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xml" ContentType="application/vnd.openxmlformats-officedocument.spreadsheetml.work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6.xml" ContentType="application/vnd.openxmlformats-officedocument.spreadsheetml.worksheet+xml"/>
  <Override PartName="/xl/chartsheets/sheet18.xml" ContentType="application/vnd.openxmlformats-officedocument.spreadsheetml.chartsheet+xml"/>
  <Override PartName="/xl/chartsheets/sheet19.xml" ContentType="application/vnd.openxmlformats-officedocument.spreadsheetml.chartsheet+xml"/>
  <Override PartName="/xl/chartsheets/sheet20.xml" ContentType="application/vnd.openxmlformats-officedocument.spreadsheetml.chartsheet+xml"/>
  <Override PartName="/xl/chartsheets/sheet21.xml" ContentType="application/vnd.openxmlformats-officedocument.spreadsheetml.chartsheet+xml"/>
  <Override PartName="/xl/chartsheets/sheet22.xml" ContentType="application/vnd.openxmlformats-officedocument.spreadsheetml.chartsheet+xml"/>
  <Override PartName="/xl/chartsheets/sheet23.xml" ContentType="application/vnd.openxmlformats-officedocument.spreadsheetml.chartsheet+xml"/>
  <Override PartName="/xl/chartsheets/sheet24.xml" ContentType="application/vnd.openxmlformats-officedocument.spreadsheetml.chartsheet+xml"/>
  <Override PartName="/xl/chartsheets/sheet25.xml" ContentType="application/vnd.openxmlformats-officedocument.spreadsheetml.chart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7.xml" ContentType="application/vnd.openxmlformats-officedocument.drawingml.chartshapes+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drawings/drawing2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4.xml" ContentType="application/vnd.openxmlformats-officedocument.drawingml.chartshapes+xml"/>
  <Override PartName="/xl/drawings/drawing2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6.xml" ContentType="application/vnd.openxmlformats-officedocument.drawingml.chartshapes+xml"/>
  <Override PartName="/xl/drawings/drawing2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ml.chartshapes+xml"/>
  <Override PartName="/xl/drawings/drawing2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0.xml" ContentType="application/vnd.openxmlformats-officedocument.drawingml.chartshapes+xml"/>
  <Override PartName="/xl/drawings/drawing3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32.xml" ContentType="application/vnd.openxmlformats-officedocument.drawingml.chartshapes+xml"/>
  <Override PartName="/xl/drawings/drawing33.xml" ContentType="application/vnd.openxmlformats-officedocument.drawing+xml"/>
  <Override PartName="/xl/ctrlProps/ctrlProp4.xml" ContentType="application/vnd.ms-excel.controlproperties+xml"/>
  <Override PartName="/xl/drawings/drawing3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35.xml" ContentType="application/vnd.openxmlformats-officedocument.drawingml.chartshapes+xml"/>
  <Override PartName="/xl/drawings/drawing3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37.xml" ContentType="application/vnd.openxmlformats-officedocument.drawingml.chartshapes+xml"/>
  <Override PartName="/xl/drawings/drawing3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9.xml" ContentType="application/vnd.openxmlformats-officedocument.drawingml.chartshapes+xml"/>
  <Override PartName="/xl/drawings/drawing4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41.xml" ContentType="application/vnd.openxmlformats-officedocument.drawingml.chartshapes+xml"/>
  <Override PartName="/xl/drawings/drawing4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43.xml" ContentType="application/vnd.openxmlformats-officedocument.drawingml.chartshapes+xml"/>
  <Override PartName="/xl/drawings/drawing4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4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46.xml" ContentType="application/vnd.openxmlformats-officedocument.drawingml.chartshapes+xml"/>
  <Override PartName="/xl/drawings/drawing47.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4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ta\health\COVID19\COVID19excel\"/>
    </mc:Choice>
  </mc:AlternateContent>
  <bookViews>
    <workbookView xWindow="0" yWindow="0" windowWidth="21675" windowHeight="8685" tabRatio="841" activeTab="3"/>
  </bookViews>
  <sheets>
    <sheet name="myData" sheetId="4" r:id="rId1"/>
    <sheet name="chtFutureNSW" sheetId="5" r:id="rId2"/>
    <sheet name="chtFutureNSW100" sheetId="45" r:id="rId3"/>
    <sheet name="time_series_19-covid-Confirmed" sheetId="1" r:id="rId4"/>
    <sheet name="chtFutureNSWGen" sheetId="43" r:id="rId5"/>
    <sheet name="chtFutureNSWEarlyLS" sheetId="42" r:id="rId6"/>
    <sheet name="Names" sheetId="20" state="hidden" r:id="rId7"/>
    <sheet name="chtFutureItalyLS" sheetId="37" r:id="rId8"/>
    <sheet name="chtTests" sheetId="22" r:id="rId9"/>
    <sheet name="solvMsgs" sheetId="21" r:id="rId10"/>
    <sheet name="TrueBlank" sheetId="41" state="hidden" r:id="rId11"/>
    <sheet name="chtAsymptoteNSW (2)" sheetId="40" r:id="rId12"/>
    <sheet name="chtFutureItalyEarly (2)" sheetId="39" r:id="rId13"/>
    <sheet name="chtFutureSKoreaLS" sheetId="38" r:id="rId14"/>
    <sheet name="chtFutureChinaLS" sheetId="36" r:id="rId15"/>
    <sheet name="chtAllcases" sheetId="35" r:id="rId16"/>
    <sheet name="chtAsymptoteNSW" sheetId="32" r:id="rId17"/>
    <sheet name="chtFutureAllSK2" sheetId="33" r:id="rId18"/>
    <sheet name="chtFutureUK" sheetId="30" r:id="rId19"/>
    <sheet name="chtFutureSKorea" sheetId="26" r:id="rId20"/>
    <sheet name="chtFutureNSWUS" sheetId="25" r:id="rId21"/>
    <sheet name="chtFutureAll" sheetId="15" r:id="rId22"/>
    <sheet name="Chart Index" sheetId="14" r:id="rId23"/>
    <sheet name="chtFutureNSWEarly" sheetId="8" r:id="rId24"/>
    <sheet name="chtFutureItalyEarly" sheetId="7" r:id="rId25"/>
    <sheet name="chtFutureItaly" sheetId="6" r:id="rId26"/>
    <sheet name="chtFutureUSEarly" sheetId="10" r:id="rId27"/>
    <sheet name="chtFutureUS" sheetId="11" r:id="rId28"/>
    <sheet name="chtFutureChina" sheetId="19" r:id="rId29"/>
    <sheet name="chtFutureAU" sheetId="24" r:id="rId30"/>
    <sheet name="chtFutureAllAU" sheetId="23" r:id="rId31"/>
    <sheet name="BedOccupancy" sheetId="16" state="hidden" r:id="rId32"/>
  </sheets>
  <functionGroups builtInGroupCount="18"/>
  <externalReferences>
    <externalReference r:id="rId33"/>
  </externalReferences>
  <definedNames>
    <definedName name="aaaTest">MATCH(myData!StartDt2NSW,tblData[Date],0)</definedName>
    <definedName name="Asymptote" localSheetId="0">myData!$D$2</definedName>
    <definedName name="AU100Cases" localSheetId="0">myData!AuCases OFFSET(tblData[Au Cases Per Capita],MATCH(solvMsgs!MinCases,tblData[Au Cases Per Capita],1),0,COUNT(tblData[Au]),1)</definedName>
    <definedName name="Au100Dates" localSheetId="0">tblData[AU100Days] OFFSET(tblData[AU100Days],MATCH(solvMsgs!MinCases,tblData[Au Cases Per Capita],1),0,COUNT(tblData[Au],0),1)</definedName>
    <definedName name="Au100dt" localSheetId="0">myData!$ED$11</definedName>
    <definedName name="Au100Logi" localSheetId="0">myData!AuLogi OFFSET(tblData[Au LogiP(t) Per Capita],MATCH(solvMsgs!MinCases,tblData[Au Cases Per Capita],1),0,COUNT(tblData[Au])-1,1)</definedName>
    <definedName name="Au100LogiDates" localSheetId="0">tblData[AU100Days] OFFSET(tblData[[#Headers],[AU100Days]],MATCH(solvMsgs!MinCases,tblData[Au Cases Per Capita],1)+1,0,COUNT(tblData[Au LogiP(t) Per Capita]),1)</definedName>
    <definedName name="AuCases" localSheetId="0">OFFSET(tblData[[#Headers],[Au Cases Per Capita]],MATCH(myData!StartDt2Au,tblData[Date],0)+1,0,COUNTIF(tblData[Au],"&gt;0")+MATCH(0,tblData[Au],0)-MATCH(myData!StartDt2Au,tblData[Date],0),1)</definedName>
    <definedName name="AuDates" localSheetId="0">myData!NSWDates</definedName>
    <definedName name="AuLabel" localSheetId="0">myData!$EE$11</definedName>
    <definedName name="AuLogi" localSheetId="0">OFFSET(tblData[[#Headers],[Au LogiP(t) Per Capita]],1+MATCH(myData!StartDt2Au,tblData[Date],0),0,COUNT(tblData[Au LogiP(t)]),1)</definedName>
    <definedName name="AuLogiDates" localSheetId="0">OFFSET(tblData[[#Headers],[Date]],MATCH(myData!StartDt2Au,tblData[Date],0),0,COUNT(tblData[Au LogiP(t)]),1)</definedName>
    <definedName name="AuMaxCasespc" localSheetId="0">myData!$DV$11</definedName>
    <definedName name="AuPop" localSheetId="0">myData!$AE$8</definedName>
    <definedName name="AuSeries" localSheetId="0">myData!$DS$11</definedName>
    <definedName name="AuStart" localSheetId="0">myData!$CX$11</definedName>
    <definedName name="beta" localSheetId="0">myData!$A$2</definedName>
    <definedName name="betaAu" localSheetId="0">myData!$DA$11</definedName>
    <definedName name="betaChina" localSheetId="0">myData!$DA$15</definedName>
    <definedName name="betaGeneric" localSheetId="0">myData!$DA$20</definedName>
    <definedName name="betaItaly" localSheetId="0">myData!$DA$13</definedName>
    <definedName name="betaNSW" localSheetId="0">myData!$DA$12</definedName>
    <definedName name="betaPodelta" localSheetId="0">myData!$F$2</definedName>
    <definedName name="betaPodeltaAu" localSheetId="0">myData!$DH$11</definedName>
    <definedName name="betaPodeltaChina" localSheetId="0">myData!$DH$15</definedName>
    <definedName name="betaPodeltaGeneric" localSheetId="0">myData!$DH$20</definedName>
    <definedName name="betaPodeltaItaly" localSheetId="0">myData!$DH$13</definedName>
    <definedName name="betaPodeltaNSW" localSheetId="0">myData!$DH$12</definedName>
    <definedName name="betaPodeltaSingapore" localSheetId="0">myData!$DH$18</definedName>
    <definedName name="betaPodeltaSKorea" localSheetId="0">myData!$DH$16</definedName>
    <definedName name="betaPodeltaTests" localSheetId="0">myData!$DH$19</definedName>
    <definedName name="betaPodeltaUK" localSheetId="0">myData!$DH$17</definedName>
    <definedName name="betaPodeltaUS" localSheetId="0">myData!$DH$14</definedName>
    <definedName name="betaSingapore" localSheetId="0">myData!$DA$18</definedName>
    <definedName name="betaSKorea" localSheetId="0">myData!$DA$16</definedName>
    <definedName name="betaTests" localSheetId="0">myData!$DA$19</definedName>
    <definedName name="betaUK" localSheetId="0">myData!$DA$17</definedName>
    <definedName name="betaUS" localSheetId="0">myData!$DA$14</definedName>
    <definedName name="China100dt" localSheetId="0">myData!$ED$15</definedName>
    <definedName name="ChinaCases" localSheetId="0">OFFSET(tblData[[#Headers],[China Cases Per Capita]],1,0,COUNTA(tblData[China Cases Per Capita]),1)</definedName>
    <definedName name="ChinaDates" localSheetId="0">OFFSET(tblData[[#Headers],[Date]],1,0,COUNTA(tblData[China]),1)</definedName>
    <definedName name="ChinaLabel" localSheetId="0">myData!$EE$15</definedName>
    <definedName name="ChinaLogi" localSheetId="0">OFFSET(tblData[[#Headers],[China LogiP(t) Per Capita]],MATCH(myData!StartDt2China,tblData[Date],0),0,COUNTA(tblData[China LogiP(t)]),1)</definedName>
    <definedName name="ChinaLogiDates" localSheetId="0">OFFSET(tblData[[#Headers],[Date]],MATCH(myData!StartDt2China,tblData[Date],0),0,COUNTA(tblData[China LogiP(t)]),1)</definedName>
    <definedName name="ChinaPop" localSheetId="0">myData!$V$8</definedName>
    <definedName name="ChinaSeries" localSheetId="0">myData!$DS$15</definedName>
    <definedName name="ChinaStart" localSheetId="0">myData!$CX$15</definedName>
    <definedName name="Countries" comment="List of Countries for running solver">solvMsgs!$E$1:$G$10</definedName>
    <definedName name="DayFrom100">solvMsgs!$Z$2:$Z$60</definedName>
    <definedName name="Days100" localSheetId="9">OFFSET(solvMsgs!$Z$1,1,0,COUNTA(solvMsgs!$Z:$Z)-1,1)</definedName>
    <definedName name="DaysBack" localSheetId="9">solvMsgs!$X$4</definedName>
    <definedName name="delta" localSheetId="0">myData!$B$2</definedName>
    <definedName name="deltaAu" localSheetId="0">myData!$DB$11</definedName>
    <definedName name="deltaChina" localSheetId="0">myData!$DB$15</definedName>
    <definedName name="deltaconstraint" localSheetId="0">myData!$B$3</definedName>
    <definedName name="deltaGeneric" localSheetId="0">myData!$DB$20</definedName>
    <definedName name="deltaItaly" localSheetId="0">myData!$DB$13</definedName>
    <definedName name="deltaNSW" localSheetId="0">myData!$DB$12</definedName>
    <definedName name="deltaSingapore" localSheetId="0">myData!$DB$18</definedName>
    <definedName name="deltaSKorea" localSheetId="0">myData!$DB$16</definedName>
    <definedName name="deltaTests" localSheetId="0">myData!$DB$19</definedName>
    <definedName name="deltaUK" localSheetId="0">myData!$DB$17</definedName>
    <definedName name="deltaUS" localSheetId="0">myData!$DB$14</definedName>
    <definedName name="GenCountry" localSheetId="0">myData!$Y$2</definedName>
    <definedName name="Generic100Cases" localSheetId="0">myData!GenericCases OFFSET(tblData[Generic Cases Per Capita],MATCH(solvMsgs!MinCases,tblData[Generic Cases Per Capita],1),0,COUNT(tblData[Generic]),1)</definedName>
    <definedName name="Generic100Dates" localSheetId="0">tblData[Generic100Days] OFFSET(tblData[Generic100Days],MATCH(solvMsgs!MinCases,tblData[Generic Cases Per Capita],1),0,COUNT(tblData[Date],0),1)</definedName>
    <definedName name="Generic100dt" localSheetId="0">myData!$ED$20</definedName>
    <definedName name="Generic100Logi" localSheetId="0">myData!GenericLogi OFFSET(tblData[Generic LogiP(t) Per Capita],MATCH(solvMsgs!MinCases,tblData[Generic Cases Per Capita],1),0,COUNT(tblData[Date]),1)</definedName>
    <definedName name="Generic100LogiDates" localSheetId="0">tblData[Generic100Days] OFFSET(tblData[[#Headers],[Generic100Days]],MATCH(solvMsgs!MinCases,tblData[Generic Cases Per Capita],1)+1,0,COUNT(tblData[Date]),1)</definedName>
    <definedName name="GenericCases" localSheetId="0">OFFSET(tblData[[#Headers],[Generic Cases Per Capita]],MATCH(0,tblData[Generic Cases Per Capita],0)+1,0,COUNTA(tblData[Generic Cases Per Capita])-1,1)</definedName>
    <definedName name="GenericDates" localSheetId="0">OFFSET(tblData[[#Headers],[Date]],MATCH(0,tblData[Generic],0)+1,0,COUNTA(tblData[Generic])-1,1)</definedName>
    <definedName name="GenericLabel" localSheetId="0">myData!$EE$20</definedName>
    <definedName name="GenericLogi" localSheetId="0">OFFSET(tblData[[#Headers],[Generic LogiP(t) Per Capita]],1+MATCH(myData!StartDt2Generic,tblData[Date],0),0,COUNT(tblData[Generic LogiP(t)]),1)</definedName>
    <definedName name="GenericLogiDates" localSheetId="0">OFFSET(tblData[[#Headers],[Date]],MATCH(myData!StartDt2Generic,tblData[Date],0),0,COUNT(tblData[Generic LogiP(t)]),1)</definedName>
    <definedName name="GenericPop" localSheetId="0">myData!$CA$8</definedName>
    <definedName name="GenericSeries" localSheetId="0">myData!$DS$20</definedName>
    <definedName name="GenericStart" localSheetId="0">myData!$CX$20</definedName>
    <definedName name="GenMatch" localSheetId="0">myData!$AC$2</definedName>
    <definedName name="GenName" localSheetId="0">myData!$AA$2</definedName>
    <definedName name="GenPop" localSheetId="0">myData!$Z$8</definedName>
    <definedName name="GenStart" localSheetId="0">myData!$AB$2</definedName>
    <definedName name="GenState" localSheetId="0">myData!$Z$2</definedName>
    <definedName name="GetTrueBlank">EVALUATE("Delete_UDF("&amp;CELL("address",TrueBlank!A1)&amp;")")</definedName>
    <definedName name="HisTableBL" localSheetId="0">OFFSET(myData!HisTableTL,COUNTA(myData!HisTableCol1All)-1,0,1,1)</definedName>
    <definedName name="HisTableCol1" localSheetId="0">OFFSET(myData!HisTableTL,1,0,COUNTA(myData!HisTableCol1All)-1,1)</definedName>
    <definedName name="HisTableCol1All" localSheetId="0">myData!$EU:$EU</definedName>
    <definedName name="HisTableItalyDates" localSheetId="0">OFFSET(myData!HisTableTL,MATCH("Italy",myData!HisTableCol1,0),12,MATCH("USA",myData!HisTableCol1,0)-MATCH("Italy",myData!HisTableCol1,0),1)</definedName>
    <definedName name="HisTableItalyLimit" localSheetId="0">OFFSET(myData!HisTableItalyDates,0,-4)</definedName>
    <definedName name="HisTableNSWDates" localSheetId="0">OFFSET(myData!HisTableTL,MATCH("NSW",myData!HisTableCol1,0),12,MATCH("Italy",myData!HisTableCol1,0)-MATCH("NSW",myData!HisTableCol1,0),1)</definedName>
    <definedName name="HisTableNSWLimit" localSheetId="0">OFFSET(myData!HisTableNSWDates,0,-4)</definedName>
    <definedName name="HisTableTL" localSheetId="0">OFFSET(myData!$A$10,0,MATCH("History Of Fits Table",myData!$10:$10,0)-1,1,1)</definedName>
    <definedName name="Italy100Cases" localSheetId="0">myData!ItalyCases OFFSET(tblData[Italy Cases per Capita],MATCH(solvMsgs!MinCases,tblData[Italy Cases per Capita],1),0,COUNT(tblData[Date]),1)</definedName>
    <definedName name="Italy100Dates" localSheetId="0">tblData[Italy100Days] OFFSET(tblData[Italy100Days],MATCH(solvMsgs!MinCases,tblData[Italy Cases per Capita],1),0,COUNT(tblData[Date],0),1)</definedName>
    <definedName name="Italy100dt" localSheetId="0">myData!$ED$13</definedName>
    <definedName name="Italy100Logi" localSheetId="0">myData!ItalyLogi OFFSET(tblData[Italy LogiP(t) Per Capita],MATCH(solvMsgs!MinCases,tblData[Italy Cases per Capita],1),0,COUNT(tblData[Date]),1)</definedName>
    <definedName name="Italy100LogiDates" localSheetId="0">tblData[Italy100Days] OFFSET(tblData[Italy100Days],MATCH(solvMsgs!MinCases,tblData[Italy Cases per Capita],1),0,COUNT(tblData[Date]),1)</definedName>
    <definedName name="ItalyCases" localSheetId="0">OFFSET(tblData[[#Headers],[Italy Cases per Capita]],MATCH(myData!StartDt2Italy,tblData[Date],0)+1,0,COUNTIF(tblData[Italy],"&gt;0")+MATCH(0,tblData[Italy],0)-MATCH(myData!StartDt2Italy,tblData[Date],0),1)</definedName>
    <definedName name="ItalyDates" localSheetId="0">OFFSET(tblData[[#Headers],[Date]],MATCH(myData!StartDt2Italy,tblData[Date],0)+1,0,COUNTIF(tblData[Italy],"&gt;0")+MATCH(0,tblData[Italy],0)-MATCH(myData!StartDt2Italy,tblData[Date],0),1)</definedName>
    <definedName name="ItalyLabel" localSheetId="0">myData!$EE$13</definedName>
    <definedName name="ItalyLogi" localSheetId="0">OFFSET(tblData[[#Headers],[Italy LogiP(t) Per Capita]],MATCH(myData!StartDt2Italy,tblData[Date],0)+1,0,COUNTIF(tblData[Italy LogiP(t)],"&gt;0"),1)</definedName>
    <definedName name="ItalyLogiDates" localSheetId="0">OFFSET(tblData[[#Headers],[Date]],MATCH(myData!StartDt2Italy,tblData[Date],0)+1,0,COUNTIF(tblData[Italy LogiP(t)],"&gt;0"),1)</definedName>
    <definedName name="ItalyPop" localSheetId="0">myData!$N$8</definedName>
    <definedName name="ItalySeries" localSheetId="0">myData!$DS$13</definedName>
    <definedName name="ItalyStart" localSheetId="0">myData!$CX$13</definedName>
    <definedName name="LastNDays" localSheetId="9">solvMsgs!$X$3</definedName>
    <definedName name="LogestBNSW" localSheetId="0">myData!$FT$2</definedName>
    <definedName name="LogEstMNSW" localSheetId="0">myData!$FS$2</definedName>
    <definedName name="LogFormula" localSheetId="0">myData!$DT$4</definedName>
    <definedName name="MaxAusCases" localSheetId="0">myData!$DM$11</definedName>
    <definedName name="MaxNSWCases" localSheetId="0">myData!$DM$12</definedName>
    <definedName name="MinCases" localSheetId="9">solvMsgs!$X$6</definedName>
    <definedName name="msqAu" localSheetId="0">myData!$DE$11</definedName>
    <definedName name="msqChina" localSheetId="0">myData!$DE$15</definedName>
    <definedName name="msqGeneric" localSheetId="0">myData!$DE$20</definedName>
    <definedName name="msqItaly" localSheetId="0">myData!$DE$13</definedName>
    <definedName name="msqNSW" localSheetId="0">myData!$DE$12</definedName>
    <definedName name="msqSingapore" localSheetId="0">myData!$DE$18</definedName>
    <definedName name="msqSKorea" localSheetId="0">myData!$DE$16</definedName>
    <definedName name="msqTests" localSheetId="0">myData!$DE$19</definedName>
    <definedName name="msqUK" localSheetId="0">myData!$DE$17</definedName>
    <definedName name="msqUS" localSheetId="0">myData!$DE$14</definedName>
    <definedName name="mySolverPar" localSheetId="0">myData!$A$2:$E$2</definedName>
    <definedName name="NSW100Cases" localSheetId="0">myData!NSWCases OFFSET(tblData[NSW Cases per Capita],MATCH(solvMsgs!MinCases,tblData[NSW Cases per Capita],1),0,COUNT(tblData[NSW]),1)</definedName>
    <definedName name="NSW100Dates" localSheetId="0">tblData[NSW100Days] OFFSET(tblData[NSW100Days],MATCH(solvMsgs!MinCases,tblData[NSW Cases per Capita],1),0,COUNT(tblData[Date],0),1)</definedName>
    <definedName name="NSW100dt" localSheetId="0">myData!$ED$12</definedName>
    <definedName name="NSW100Logi" localSheetId="0">myData!NSWLogi OFFSET(tblData[Nsw LogiP(t) Per Capita],MATCH(solvMsgs!MinCases,tblData[NSW Cases per Capita],1),0,COUNT(tblData[NSW])-1,1)</definedName>
    <definedName name="NSW100LogiDates" localSheetId="0">tblData[NSW100Days] OFFSET(tblData[[#Headers],[NSW100Days]],MATCH(solvMsgs!MinCases,tblData[NSW Cases per Capita],1)+1,0,COUNT(tblData[Nsw LogiP(t) Per Capita]),1)</definedName>
    <definedName name="NSWCases" localSheetId="0">OFFSET(tblData[[#Headers],[NSW Cases per Capita]],MATCH(myData!StartDt2NSW,tblData[Date],0)+1,0,COUNTIF(tblData[NSW],"&gt;0")+MATCH(0,tblData[NSW],0)-MATCH(myData!StartDt2NSW,tblData[Date],0),1)</definedName>
    <definedName name="NSWDates" localSheetId="0">OFFSET(tblData[[#Headers],[Date]],MATCH(myData!StartDt2NSW,tblData[Date],0)+1,0,COUNTIF(tblData[NSW],"&gt;0"),1)</definedName>
    <definedName name="NSWDayNo" localSheetId="0">OFFSET(tblData[[#Headers],[Day '# NSW]],MATCH(0,tblData[NSW],0)+1,0,COUNT(tblData[NSW])-1,1)</definedName>
    <definedName name="NSWLabel" localSheetId="0">myData!$EE$12</definedName>
    <definedName name="NSWLogest" localSheetId="0">OFFSET(tblData[[#Headers],[NSW Cases LogEst]],MATCH(0,tblData[NSW],0)+1,0,COUNTA(tblData[Date])-MATCH(0,tblData[NSW],0),1)</definedName>
    <definedName name="NSWLogestB" localSheetId="0">myData!$AR$2</definedName>
    <definedName name="NSWLogestLabel" localSheetId="0">myData!$AS$6</definedName>
    <definedName name="NSWLogestM" localSheetId="0">myData!$AQ$2</definedName>
    <definedName name="NSWLogestmsq" localSheetId="0">myData!$AU$8</definedName>
    <definedName name="NSWLogestR2" localSheetId="0">myData!$AQ$4</definedName>
    <definedName name="NSWLogi" localSheetId="0">OFFSET(tblData[[#Headers],[Nsw LogiP(t) Per Capita]],MATCH(myData!StartDt2NSW,tblData[Date],0)+1,0,COUNT(tblData[NSW LogiP(t)]),1)</definedName>
    <definedName name="NSWLogiDates" localSheetId="0">OFFSET(tblData[[#Headers],[Date]],MATCH(myData!StartDt2NSW,tblData[Date],0)+1,0,COUNT(tblData[Nsw LogiP(t) Per Capita]),1)</definedName>
    <definedName name="NSWMaxCasespc" localSheetId="0">myData!$DV$12</definedName>
    <definedName name="NSWpop" comment="NSW population" localSheetId="0">myData!$L$8</definedName>
    <definedName name="NSWSeries" localSheetId="0">myData!$DS$12</definedName>
    <definedName name="nswstart" localSheetId="0">myData!$CX$12</definedName>
    <definedName name="PerPerson" localSheetId="0">myData!$L$2</definedName>
    <definedName name="PerPersonLabel">myData!$L$3</definedName>
    <definedName name="Po" localSheetId="0">myData!$C$2</definedName>
    <definedName name="PoAu" localSheetId="0">myData!$DC$11</definedName>
    <definedName name="PoChina" localSheetId="0">myData!$DC$15</definedName>
    <definedName name="PoGeneric" localSheetId="0">myData!$DC$20</definedName>
    <definedName name="PoItaly" localSheetId="0">myData!$DC$13</definedName>
    <definedName name="PoNSW" localSheetId="0">myData!$DC$12</definedName>
    <definedName name="PopScaling" comment="Value of 1 applies population scaling so result is per 10m people" localSheetId="0">myData!$J$2</definedName>
    <definedName name="PoSingapore" localSheetId="0">myData!$DC$18</definedName>
    <definedName name="PoSKorea" localSheetId="0">myData!$DC$16</definedName>
    <definedName name="PoTests" localSheetId="0">myData!$DC$19</definedName>
    <definedName name="PoUK" localSheetId="0">myData!$DC$17</definedName>
    <definedName name="PoUS" localSheetId="0">myData!$DC$14</definedName>
    <definedName name="RunRange" localSheetId="0">OFFSET(myData!RunTableTL,0,0,COUNTA(myData!$CG:$CG),COLUMN(myData!RunTableTR)-COLUMN(myData!RunTableTL)+1)</definedName>
    <definedName name="RunTableTL" localSheetId="0">myData!$CV$10</definedName>
    <definedName name="RunTableTR" localSheetId="0">myData!$DZ$10</definedName>
    <definedName name="RunTimeAu" localSheetId="0">myData!$CW$11</definedName>
    <definedName name="Singapore100Cases" localSheetId="0">myData!SingaporeCases OFFSET(tblData[Singapore Cases Per Capita],MATCH(solvMsgs!MinCases,tblData[Singapore Cases Per Capita],1),0,COUNT(tblData[Singapore]),1)</definedName>
    <definedName name="Singapore100Dates" localSheetId="0">tblData[Singapore100Days] OFFSET(tblData[Singapore100Days],MATCH(solvMsgs!MinCases,tblData[Singapore Cases Per Capita],1),0,COUNT(tblData[Date],0),1)</definedName>
    <definedName name="Singapore100dt" localSheetId="0">myData!$ED$18</definedName>
    <definedName name="Singapore100Logi" localSheetId="0">myData!SingaporeLogi OFFSET(tblData[Singapore LogiP(t) Per Capita],MATCH(solvMsgs!MinCases,tblData[Singapore Cases Per Capita],1),0,COUNT(tblData[Singapore])-1,1)</definedName>
    <definedName name="Singapore100LogiDates" localSheetId="0">tblData[Singapore100Days] OFFSET(tblData[[#Headers],[Singapore100Days]],MATCH(solvMsgs!MinCases,tblData[Singapore Cases Per Capita],1)+1,0,COUNT(tblData[Singapore LogiP(t) Per Capita]),1)</definedName>
    <definedName name="SingaporeCases" localSheetId="0">OFFSET(tblData[[#Headers],[Singapore Cases Per Capita]],MATCH(0,tblData[Singapore Cases Per Capita],0)+1,0,COUNTA(tblData[Singapore Cases Per Capita])-1,1)</definedName>
    <definedName name="SingaporeDates" localSheetId="0">OFFSET(tblData[[#Headers],[Date]],MATCH(0,tblData[Singapore],0)+1,0,COUNTA(tblData[Singapore])-1,1)</definedName>
    <definedName name="SingaporeLabel" localSheetId="0">myData!$EE$18</definedName>
    <definedName name="SingaporeLogi" localSheetId="0">OFFSET(tblData[[#Headers],[Singapore LogiP(t) Per Capita]],MATCH(myData!StartDt2Singapore,tblData[Date],0),0,COUNT(tblData[Singapore LogiP(t)]),1)</definedName>
    <definedName name="SingaporeLogiDates" localSheetId="0">OFFSET(tblData[[#Headers],[Date]],MATCH(myData!StartDt2Singapore,tblData[Date],0),0,COUNT(tblData[Singapore LogiP(t) Per Capita]),1)</definedName>
    <definedName name="SingaporePop" localSheetId="0">myData!$X$8</definedName>
    <definedName name="SingaporeSeries" localSheetId="0">myData!$DS$18</definedName>
    <definedName name="SingaporeStart" localSheetId="0">myData!$CX$18</definedName>
    <definedName name="SKorea100Cases" localSheetId="0">myData!SKoreaCases OFFSET(tblData[SKorea Cases Per Capita],MATCH(solvMsgs!MinCases,tblData[SKorea Cases Per Capita],1),0,COUNT(tblData[SKorea]),1)</definedName>
    <definedName name="SKorea100Dates" localSheetId="0">tblData[SKorea100Days] OFFSET(tblData[SKorea100Days],MATCH(solvMsgs!MinCases,tblData[SKorea Cases Per Capita],1),0,COUNT(tblData[Date],0),1)</definedName>
    <definedName name="SKorea100dt" localSheetId="0">myData!$ED$16</definedName>
    <definedName name="SKorea100Logi" localSheetId="0">myData!SKoreaLogi OFFSET(tblData[Skorea LogiP(t) Per Capita],MATCH(solvMsgs!MinCases,tblData[SKorea Cases Per Capita],1),0,COUNT(tblData[SKorea])-1,1)</definedName>
    <definedName name="SKorea100LogiDates" localSheetId="0">tblData[SKorea100Days] OFFSET(tblData[[#Headers],[SKorea100Days]],MATCH(solvMsgs!MinCases,tblData[SKorea Cases Per Capita],1)+1,0,COUNT(tblData[Skorea LogiP(t) Per Capita]),1)</definedName>
    <definedName name="SKoreaCases" localSheetId="0">OFFSET(tblData[[#Headers],[SKorea Cases Per Capita]],MATCH(myData!StartDt2SKorea,tblData[Date],0),0,COUNTIF(tblData[SKorea],"&gt;0")+MATCH(1,tblData[SKorea],0)-MATCH(myData!StartDt2SKorea,tblData[Date],0),1)</definedName>
    <definedName name="SKoreaDates" localSheetId="0">OFFSET(tblData[[#Headers],[Date]],MATCH(myData!StartDt2SKorea,tblData[Date],0),0,COUNTIF(tblData[SKorea],"&gt;0")-MATCH(myData!StartDt2SKorea,tblData[Date],0)+1,1)</definedName>
    <definedName name="SKoreaLabel" localSheetId="0">myData!$EE$16</definedName>
    <definedName name="SKoreaLogi" localSheetId="0">OFFSET(tblData[[#Headers],[Skorea LogiP(t) Per Capita]],MATCH(myData!StartDt2SKorea,tblData[Date],0)+1,0,COUNTIF(tblData[SKorea LogiP(t)],"&gt;0"),1)</definedName>
    <definedName name="SKoreaLogiDates" localSheetId="0">OFFSET(tblData[[#Headers],[Date]],MATCH(myData!StartDt2SKorea,tblData[Date],0)+1,0,COUNTIF(tblData[SKorea LogiP(t)],"&gt;0"),1)</definedName>
    <definedName name="SKoreaPop" localSheetId="0">myData!$R$8</definedName>
    <definedName name="SKoreaSeries" localSheetId="0">myData!$DS$16</definedName>
    <definedName name="SKoreaStart" localSheetId="0">myData!$CX$16</definedName>
    <definedName name="solver_adj" localSheetId="0" hidden="1">myData!$DA$20:$DC$20</definedName>
    <definedName name="solver_cvg" localSheetId="0" hidden="1">0.000001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myData!$C$2</definedName>
    <definedName name="solver_lhs2" localSheetId="0" hidden="1">myData!$A$2</definedName>
    <definedName name="solver_lhs3" localSheetId="0" hidden="1">myData!$F$2</definedName>
    <definedName name="solver_lhs4" localSheetId="0" hidden="1">myData!$B$2</definedName>
    <definedName name="solver_lhs5" localSheetId="0" hidden="1">myData!$AJ$2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4</definedName>
    <definedName name="solver_nwt" localSheetId="0" hidden="1">1</definedName>
    <definedName name="solver_opt" localSheetId="0" hidden="1">myData!$DE$20</definedName>
    <definedName name="solver_pre" localSheetId="0" hidden="1">0.000000000001</definedName>
    <definedName name="solver_rbv" localSheetId="0" hidden="1">1</definedName>
    <definedName name="solver_rel1" localSheetId="0" hidden="1">3</definedName>
    <definedName name="solver_rel2" localSheetId="0" hidden="1">3</definedName>
    <definedName name="solver_rel3" localSheetId="0" hidden="1">3</definedName>
    <definedName name="solver_rel4" localSheetId="0" hidden="1">3</definedName>
    <definedName name="solver_rel5" localSheetId="0" hidden="1">3</definedName>
    <definedName name="solver_rhs1" localSheetId="0" hidden="1">0.001</definedName>
    <definedName name="solver_rhs2" localSheetId="0" hidden="1">0.000000001</definedName>
    <definedName name="solver_rhs3" localSheetId="0" hidden="1">0</definedName>
    <definedName name="solver_rhs4" localSheetId="0" hidden="1">myData!$B$3</definedName>
    <definedName name="solver_rhs5" localSheetId="0" hidden="1">0</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SolverMsg">solvMsgs!$A$1:$B$21</definedName>
    <definedName name="StartDt2Au" localSheetId="0">myData!$CY$11</definedName>
    <definedName name="StartDt2China" localSheetId="0">myData!$CY$15</definedName>
    <definedName name="StartDt2Generic" localSheetId="0">myData!$CY$20</definedName>
    <definedName name="StartDt2Italy" localSheetId="0">myData!$CY$13</definedName>
    <definedName name="StartDt2NSW" localSheetId="0">myData!$CY$12</definedName>
    <definedName name="StartDt2RowItaly" localSheetId="0">MATCH(myData!StartDt2Italy,tblData[Date],0)</definedName>
    <definedName name="StartDt2Singapore" localSheetId="0">myData!$CY$18</definedName>
    <definedName name="StartDt2SKorea" localSheetId="0">myData!$CY$16</definedName>
    <definedName name="StartDt2Tests" localSheetId="0">myData!$CY$19</definedName>
    <definedName name="StartDt2UK" localSheetId="0">myData!$CY$17</definedName>
    <definedName name="StartDt2US" localSheetId="0">myData!$CY$14</definedName>
    <definedName name="StartMethod" localSheetId="9">solvMsgs!$X$2</definedName>
    <definedName name="tableGeneric" localSheetId="0">myData!$Y$1:$AB$2</definedName>
    <definedName name="TestsCases" localSheetId="0">OFFSET(tblData[[#Headers],[Tests]],MATCH(0,tblData[Tests],0)+1,0,COUNT(tblData[Tests])-1,1)</definedName>
    <definedName name="TestsDates" localSheetId="0">OFFSET(tblData[[#Headers],[Date]],MATCH(0,tblData[Tests],0)+1,0,COUNT(tblData[Tests])-1,1)</definedName>
    <definedName name="TestsDayNo" localSheetId="0">OFFSET(tblData[[#Headers],[NSW Test Day Number]],MATCH(0,tblData[Tests],0)+1,0,COUNT(tblData[Tests])-1,1)</definedName>
    <definedName name="TestsLabel" localSheetId="0">myData!$EE$19</definedName>
    <definedName name="TestsLOGEST" localSheetId="0">OFFSET(tblData[[#Headers],[NSW Test LOGEST]],MATCH(0,tblData[Tests],0)+1,0,COUNTA(tblData[Date])-MATCH(0,tblData[Tests],0),1)</definedName>
    <definedName name="TestsLogestB" localSheetId="0">myData!$CC$2</definedName>
    <definedName name="TestsLogestDayNo" localSheetId="0">OFFSET(tblData[[#Headers],[NSW Test Day Number]],MATCH(0,tblData[Tests],0)+1,0,COUNTA(tblData[Date])-MATCH(0,tblData[Tests],0),1)</definedName>
    <definedName name="TestsLogestLabel" localSheetId="0">myData!$CD$6</definedName>
    <definedName name="TestsLogestM" localSheetId="0">myData!$CB$2</definedName>
    <definedName name="TestsLogestMsq" localSheetId="0">myData!$CP$8</definedName>
    <definedName name="TestsLogi" localSheetId="0">OFFSET(tblData[[#Headers],[NSW Test Logi]],MATCH(0,tblData[Tests],0)+1,0,COUNTA(tblData[Date])-MATCH(0,tblData[Tests],0),1)</definedName>
    <definedName name="TestsLogiDates" localSheetId="0">OFFSET(tblData[[#Headers],[Date]],MATCH(0,tblData[Tests],0)+1,0,COUNTA(tblData[Date])-MATCH(0,tblData[Tests],0),1)</definedName>
    <definedName name="TestsPop" localSheetId="0">myData!$CN$8</definedName>
    <definedName name="TestsStart" localSheetId="0">myData!$CX$19</definedName>
    <definedName name="TitleAll" localSheetId="0">myData!$EC$8</definedName>
    <definedName name="TitleAllSK" localSheetId="0">myData!$EC$9</definedName>
    <definedName name="TitleCases" localSheetId="0">myData!$DT$7</definedName>
    <definedName name="UK100Cases" localSheetId="0">myData!UKCases OFFSET(tblData[UK Cases Per Capita],MATCH(solvMsgs!MinCases,tblData[UK Cases Per Capita],1),0,COUNT(tblData[UK]),1)</definedName>
    <definedName name="UK100Dates" localSheetId="0">tblData[UK100Days] OFFSET(tblData[UK100Days],MATCH(solvMsgs!MinCases,tblData[UK Cases Per Capita],1),0,COUNT(tblData[Date],0),1)</definedName>
    <definedName name="UK100dt" localSheetId="0">myData!$ED$17</definedName>
    <definedName name="UK100Logi" localSheetId="0">myData!UKLogi OFFSET(tblData[UK LogiP(t) Per Capita],MATCH(solvMsgs!MinCases,tblData[UK Cases Per Capita],1),0,COUNT(tblData[UK]),1)</definedName>
    <definedName name="UK100LogiDates" localSheetId="0">tblData[UK100Days] OFFSET(tblData[[#Headers],[UK100Days]],MATCH(solvMsgs!MinCases,tblData[UK Cases Per Capita],1)+1,0,COUNT(tblData[UK LogiP(t) Per Capita]),1)</definedName>
    <definedName name="UKCases" localSheetId="0">OFFSET(tblData[[#Headers],[UK Cases Per Capita]],MATCH(myData!StartDt2UK,tblData[Date],0),0,COUNTIF(tblData[UK],"&gt;0")+MATCH(0,tblData[UK],0)-MATCH(myData!StartDt2UK,tblData[Date],0)+1,1)</definedName>
    <definedName name="UKDates" localSheetId="0">OFFSET(tblData[[#Headers],[Date]],MATCH(myData!StartDt2UK,tblData[Date],0),0,COUNTIF(tblData[UK],"&gt;0")+MATCH(0,tblData[UK],0)-MATCH(myData!StartDt2UK,tblData[Date],0)+1,1)</definedName>
    <definedName name="UKLabel" localSheetId="0">myData!$EE$17</definedName>
    <definedName name="UKLogi" localSheetId="0">OFFSET(tblData[[#Headers],[UK LogiP(t) Per Capita]],MATCH(myData!StartDt2UK,tblData[Date],0)+1,0,COUNTIF(tblData[UK LogiP(t)],"&gt;0"),1)</definedName>
    <definedName name="UKLogiDates" localSheetId="0">OFFSET(tblData[[#Headers],[Date]],MATCH(myData!StartDt2UK,tblData[Date],0)+1,0,COUNTIF(tblData[UK LogiP(t)],"&gt;0"),1)</definedName>
    <definedName name="UKPop" localSheetId="0">myData!$T$8</definedName>
    <definedName name="UKSeries" localSheetId="0">myData!$DS$17</definedName>
    <definedName name="UKStart" localSheetId="0">myData!$CX$17</definedName>
    <definedName name="US100Cases" localSheetId="0">myData!USCases OFFSET(tblData[US Cases Per Capita],MATCH(solvMsgs!MinCases,tblData[US Cases Per Capita],1),0,COUNT(tblData[US]),1)</definedName>
    <definedName name="US100Dates" localSheetId="0">tblData[US100Days] OFFSET(tblData[US100Days],MATCH(solvMsgs!MinCases,tblData[US Cases Per Capita],1),0,COUNT(tblData[Date],0),1)</definedName>
    <definedName name="US100dt" localSheetId="0">myData!$ED$14</definedName>
    <definedName name="US100Logi" localSheetId="0">myData!USLogi OFFSET(tblData[US LogiP(t) Per Capita],MATCH(solvMsgs!MinCases,tblData[US Cases Per Capita],1),0,COUNT(tblData[Date]),1)</definedName>
    <definedName name="US100LogiDates" localSheetId="0">tblData[US100Days] OFFSET(tblData[US100Days],MATCH(solvMsgs!MinCases,tblData[US Cases Per Capita],1),0,COUNT(tblData[Date]),1)</definedName>
    <definedName name="USCases" localSheetId="0">OFFSET(tblData[[#Headers],[US Cases Per Capita]],MATCH(1,tblData[US],0),0,COUNT(tblData[US]),1)</definedName>
    <definedName name="USDates" localSheetId="0">OFFSET(tblData[[#Headers],[Date]],MATCH(1,tblData[US],0),0,COUNT(tblData[US]),1)</definedName>
    <definedName name="USDays" localSheetId="0">OFFSET(tblData[[#Headers],[Days'# US]],MATCH(1,tblData[US],0)+1,0,COUNTA(tblData[US])-1,1)</definedName>
    <definedName name="USLabel" localSheetId="0">myData!$EE$14</definedName>
    <definedName name="USLogi" localSheetId="0">OFFSET(tblData[[#Headers],[US LogiP(t) Per Capita]],MATCH(myData!StartDt2US,tblData[Date],0)+1,0,COUNTIF(tblData[US LogiP(t)],"&gt;0"),1)</definedName>
    <definedName name="USLogiDates" localSheetId="0">OFFSET(tblData[[#Headers],[Date]],MATCH(myData!StartDt2US,tblData[Date],0)+1,0,COUNTIF(tblData[US LogiP(t)],"&gt;0"),1)</definedName>
    <definedName name="USpop" localSheetId="0">myData!$P$8</definedName>
    <definedName name="USSeries" localSheetId="0">myData!$DS$14</definedName>
    <definedName name="USStart" localSheetId="0">myData!$CX$14</definedName>
    <definedName name="zzzTest" localSheetId="0">myData!GenericLogi OFFSET(tblData[Generic LogiP(t) Per Capita],MATCH(solvMsgs!MinCases,tblData[Generic Cases Per Capita],1),0,COUNT(tblData[Date]),1)</definedName>
  </definedNames>
  <calcPr calcId="152511" calcOnSave="0"/>
</workbook>
</file>

<file path=xl/calcChain.xml><?xml version="1.0" encoding="utf-8"?>
<calcChain xmlns="http://schemas.openxmlformats.org/spreadsheetml/2006/main">
  <c r="DF19" i="4" l="1"/>
  <c r="DF18" i="4"/>
  <c r="C2" i="4"/>
  <c r="B2" i="4"/>
  <c r="A2" i="4"/>
  <c r="BY11" i="4"/>
  <c r="BY12" i="4"/>
  <c r="BY13" i="4"/>
  <c r="BY14" i="4"/>
  <c r="BY15" i="4"/>
  <c r="BY16" i="4"/>
  <c r="BY17" i="4"/>
  <c r="BY18" i="4"/>
  <c r="BY19" i="4"/>
  <c r="BY20" i="4"/>
  <c r="BY21" i="4"/>
  <c r="BY22" i="4"/>
  <c r="BY23" i="4"/>
  <c r="BY24" i="4"/>
  <c r="BY25" i="4"/>
  <c r="BY26" i="4"/>
  <c r="BY27" i="4"/>
  <c r="BY28" i="4"/>
  <c r="BY29" i="4"/>
  <c r="BY30" i="4"/>
  <c r="BY31" i="4"/>
  <c r="BY32" i="4"/>
  <c r="BY33" i="4"/>
  <c r="BY34" i="4"/>
  <c r="BY35" i="4"/>
  <c r="BY36" i="4"/>
  <c r="BY37" i="4"/>
  <c r="BY38" i="4"/>
  <c r="BY39" i="4"/>
  <c r="BY40" i="4"/>
  <c r="BY41" i="4"/>
  <c r="BY42" i="4"/>
  <c r="BY43" i="4"/>
  <c r="BY44" i="4"/>
  <c r="BY45" i="4"/>
  <c r="BY46" i="4"/>
  <c r="BY47" i="4"/>
  <c r="BY48" i="4"/>
  <c r="BY49" i="4"/>
  <c r="BY50" i="4"/>
  <c r="BY51" i="4"/>
  <c r="BY52" i="4"/>
  <c r="BY53" i="4"/>
  <c r="BY54" i="4"/>
  <c r="BY55" i="4"/>
  <c r="BY56" i="4"/>
  <c r="BY57" i="4"/>
  <c r="BY58" i="4"/>
  <c r="BY59" i="4"/>
  <c r="BY60" i="4"/>
  <c r="BY61" i="4"/>
  <c r="BY62" i="4"/>
  <c r="BY63" i="4"/>
  <c r="BY64" i="4"/>
  <c r="BY65" i="4"/>
  <c r="BY66" i="4"/>
  <c r="BY67" i="4"/>
  <c r="BY68" i="4"/>
  <c r="BY69" i="4"/>
  <c r="BY70" i="4"/>
  <c r="BY71" i="4"/>
  <c r="BY72" i="4"/>
  <c r="BY73" i="4"/>
  <c r="BY74" i="4"/>
  <c r="BY75" i="4"/>
  <c r="BY76" i="4"/>
  <c r="BY77" i="4"/>
  <c r="BY78" i="4"/>
  <c r="BY79" i="4"/>
  <c r="BY80" i="4"/>
  <c r="BY81" i="4"/>
  <c r="BY82" i="4"/>
  <c r="BY83" i="4"/>
  <c r="BY84" i="4"/>
  <c r="BY85" i="4"/>
  <c r="BY86" i="4"/>
  <c r="BY87" i="4"/>
  <c r="BY88" i="4"/>
  <c r="BY89" i="4"/>
  <c r="BY90" i="4"/>
  <c r="BY91" i="4"/>
  <c r="BY92" i="4"/>
  <c r="BY93" i="4"/>
  <c r="BY94" i="4"/>
  <c r="BY95" i="4"/>
  <c r="BY96" i="4"/>
  <c r="BY97" i="4"/>
  <c r="BY98" i="4"/>
  <c r="BY99" i="4"/>
  <c r="BY100" i="4"/>
  <c r="BY101" i="4"/>
  <c r="BY102" i="4"/>
  <c r="BY103" i="4"/>
  <c r="BY104" i="4"/>
  <c r="BY105" i="4"/>
  <c r="BY106" i="4"/>
  <c r="BY107" i="4"/>
  <c r="BY108" i="4"/>
  <c r="BY109" i="4"/>
  <c r="BY110" i="4"/>
  <c r="BY111" i="4"/>
  <c r="BY112" i="4"/>
  <c r="BY113" i="4"/>
  <c r="BY114" i="4"/>
  <c r="BY115" i="4"/>
  <c r="BY116" i="4"/>
  <c r="BY117" i="4"/>
  <c r="CM11" i="4"/>
  <c r="CM12" i="4"/>
  <c r="CM13" i="4"/>
  <c r="CM14" i="4"/>
  <c r="CM15" i="4"/>
  <c r="CM16" i="4"/>
  <c r="CM17" i="4"/>
  <c r="CM18" i="4"/>
  <c r="CM19" i="4"/>
  <c r="CM20" i="4"/>
  <c r="CM21" i="4"/>
  <c r="CM22" i="4"/>
  <c r="CM23" i="4"/>
  <c r="CM24" i="4"/>
  <c r="CM25" i="4"/>
  <c r="CM26" i="4"/>
  <c r="CM27" i="4"/>
  <c r="CM28" i="4"/>
  <c r="CM29" i="4"/>
  <c r="CM30" i="4"/>
  <c r="CM31" i="4"/>
  <c r="CM32" i="4"/>
  <c r="CM33" i="4"/>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D2" i="4" l="1"/>
  <c r="R4" i="4"/>
  <c r="R3" i="4"/>
  <c r="CX18" i="4" l="1"/>
  <c r="CX17" i="4"/>
  <c r="CX13" i="4"/>
  <c r="CX12" i="4"/>
  <c r="CX11" i="4"/>
  <c r="CX14" i="4"/>
  <c r="CX15" i="4"/>
  <c r="CX16" i="4"/>
  <c r="AQ11" i="4" l="1"/>
  <c r="AQ12" i="4"/>
  <c r="AQ13" i="4"/>
  <c r="AQ14" i="4"/>
  <c r="AQ15" i="4"/>
  <c r="AQ16" i="4"/>
  <c r="AQ17" i="4"/>
  <c r="AQ18" i="4"/>
  <c r="AQ19" i="4"/>
  <c r="AQ20" i="4"/>
  <c r="AQ21" i="4"/>
  <c r="AQ22" i="4"/>
  <c r="AQ23" i="4"/>
  <c r="AQ24" i="4"/>
  <c r="AQ25" i="4"/>
  <c r="AQ26" i="4"/>
  <c r="AQ27" i="4"/>
  <c r="AQ28" i="4"/>
  <c r="AQ29" i="4"/>
  <c r="AQ30" i="4"/>
  <c r="AQ31" i="4"/>
  <c r="AQ32" i="4"/>
  <c r="AQ33" i="4"/>
  <c r="AQ34" i="4"/>
  <c r="AQ35" i="4"/>
  <c r="AQ36" i="4"/>
  <c r="AQ37" i="4"/>
  <c r="AQ38" i="4"/>
  <c r="AQ39" i="4"/>
  <c r="AQ40" i="4"/>
  <c r="AQ41" i="4"/>
  <c r="AQ42" i="4"/>
  <c r="AQ43" i="4"/>
  <c r="AQ44" i="4"/>
  <c r="AQ45" i="4"/>
  <c r="AQ46" i="4"/>
  <c r="AQ47" i="4"/>
  <c r="AQ48" i="4"/>
  <c r="AQ49" i="4"/>
  <c r="AQ50" i="4"/>
  <c r="AQ51" i="4"/>
  <c r="AQ52" i="4"/>
  <c r="AQ53" i="4"/>
  <c r="AQ54" i="4"/>
  <c r="AQ55" i="4"/>
  <c r="AQ56" i="4"/>
  <c r="AQ57" i="4"/>
  <c r="AQ58" i="4"/>
  <c r="AQ59" i="4"/>
  <c r="AQ60" i="4"/>
  <c r="AQ61" i="4"/>
  <c r="AQ62" i="4"/>
  <c r="AQ63" i="4"/>
  <c r="AQ64" i="4"/>
  <c r="AQ65" i="4"/>
  <c r="AQ66" i="4"/>
  <c r="AQ67" i="4"/>
  <c r="AQ68" i="4"/>
  <c r="AQ69" i="4"/>
  <c r="AQ70" i="4"/>
  <c r="AQ71" i="4"/>
  <c r="AQ72" i="4"/>
  <c r="AQ73" i="4"/>
  <c r="AQ74" i="4"/>
  <c r="AQ75" i="4"/>
  <c r="AQ76" i="4"/>
  <c r="AQ77" i="4"/>
  <c r="AQ78" i="4"/>
  <c r="AQ79" i="4"/>
  <c r="AQ80" i="4"/>
  <c r="AQ81" i="4"/>
  <c r="AQ82" i="4"/>
  <c r="AQ83" i="4"/>
  <c r="AQ84" i="4"/>
  <c r="AQ85" i="4"/>
  <c r="AQ86" i="4"/>
  <c r="AQ87" i="4"/>
  <c r="AQ88" i="4"/>
  <c r="AQ89" i="4"/>
  <c r="AQ90" i="4"/>
  <c r="AQ91" i="4"/>
  <c r="AQ92" i="4"/>
  <c r="AQ93" i="4"/>
  <c r="AQ94" i="4"/>
  <c r="AQ95" i="4"/>
  <c r="AQ96" i="4"/>
  <c r="AQ97" i="4"/>
  <c r="AQ98" i="4"/>
  <c r="AQ99" i="4"/>
  <c r="AQ100" i="4"/>
  <c r="AQ101" i="4"/>
  <c r="AQ102" i="4"/>
  <c r="AQ103" i="4"/>
  <c r="AQ104" i="4"/>
  <c r="AQ105" i="4"/>
  <c r="AQ106" i="4"/>
  <c r="AQ107" i="4"/>
  <c r="AQ108" i="4"/>
  <c r="AQ109" i="4"/>
  <c r="AQ110" i="4"/>
  <c r="AQ111" i="4"/>
  <c r="AQ112" i="4"/>
  <c r="AQ113" i="4"/>
  <c r="AQ114" i="4"/>
  <c r="AQ115" i="4"/>
  <c r="AQ116" i="4"/>
  <c r="AQ117"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I76" i="4"/>
  <c r="AI77" i="4"/>
  <c r="AI78" i="4"/>
  <c r="AI79" i="4"/>
  <c r="AI80" i="4"/>
  <c r="AI81" i="4"/>
  <c r="AI82" i="4"/>
  <c r="AI83" i="4"/>
  <c r="AI84" i="4"/>
  <c r="AI85" i="4"/>
  <c r="AI86" i="4"/>
  <c r="AI87" i="4"/>
  <c r="AI88" i="4"/>
  <c r="AI89" i="4"/>
  <c r="AI90" i="4"/>
  <c r="AI91" i="4"/>
  <c r="AI92" i="4"/>
  <c r="AI93" i="4"/>
  <c r="AI94" i="4"/>
  <c r="AI95" i="4"/>
  <c r="AI96" i="4"/>
  <c r="AI97" i="4"/>
  <c r="AI98" i="4"/>
  <c r="AI99" i="4"/>
  <c r="AI100" i="4"/>
  <c r="AI101" i="4"/>
  <c r="AI102" i="4"/>
  <c r="AI103" i="4"/>
  <c r="AI104" i="4"/>
  <c r="AI105" i="4"/>
  <c r="AI106" i="4"/>
  <c r="AI107" i="4"/>
  <c r="AI108" i="4"/>
  <c r="AI109" i="4"/>
  <c r="AI110" i="4"/>
  <c r="AI111" i="4"/>
  <c r="AI112" i="4"/>
  <c r="AI113" i="4"/>
  <c r="AI114" i="4"/>
  <c r="AI115" i="4"/>
  <c r="AI116" i="4"/>
  <c r="AI117" i="4"/>
  <c r="AI14" i="4"/>
  <c r="AI11" i="4"/>
  <c r="AI12" i="4"/>
  <c r="AI13" i="4"/>
  <c r="E6" i="4" l="1"/>
  <c r="ED19" i="4" l="1"/>
  <c r="EE19" i="4" s="1"/>
  <c r="Z50" i="21"/>
  <c r="Z51" i="21" s="1"/>
  <c r="Z52" i="21" s="1"/>
  <c r="Z53" i="21" s="1"/>
  <c r="Z54" i="21" s="1"/>
  <c r="Z55" i="21" s="1"/>
  <c r="Z56" i="21" s="1"/>
  <c r="Z57" i="21" s="1"/>
  <c r="Z58" i="21" s="1"/>
  <c r="Z59" i="21" s="1"/>
  <c r="Z60" i="21" s="1"/>
  <c r="Z61" i="21" s="1"/>
  <c r="Z62" i="21" s="1"/>
  <c r="Z63" i="21" s="1"/>
  <c r="Z64" i="21" s="1"/>
  <c r="Z65" i="21" s="1"/>
  <c r="Z66" i="21" s="1"/>
  <c r="Z67" i="21" s="1"/>
  <c r="Z68" i="21" s="1"/>
  <c r="Z69" i="21" s="1"/>
  <c r="Z70" i="21" s="1"/>
  <c r="Z71" i="21" s="1"/>
  <c r="Z72" i="21" s="1"/>
  <c r="EH11" i="4"/>
  <c r="Z73" i="21" l="1"/>
  <c r="Z74" i="21" s="1"/>
  <c r="Z75" i="21" s="1"/>
  <c r="Z76" i="21" s="1"/>
  <c r="Z77" i="21" s="1"/>
  <c r="Z78" i="21" s="1"/>
  <c r="Z79" i="21" s="1"/>
  <c r="Z3" i="4" l="1"/>
  <c r="R13" i="21"/>
  <c r="CH61" i="4"/>
  <c r="CH62" i="4"/>
  <c r="CH63" i="4"/>
  <c r="CH64" i="4"/>
  <c r="CH65" i="4"/>
  <c r="CH66" i="4"/>
  <c r="CH67" i="4"/>
  <c r="CH68" i="4"/>
  <c r="CH69" i="4"/>
  <c r="CH70" i="4"/>
  <c r="CH71" i="4"/>
  <c r="CH72" i="4"/>
  <c r="CH73" i="4"/>
  <c r="CH74" i="4"/>
  <c r="CH75" i="4"/>
  <c r="CH76" i="4"/>
  <c r="CH77" i="4"/>
  <c r="CH78" i="4"/>
  <c r="CH79" i="4"/>
  <c r="CH80" i="4"/>
  <c r="CH81" i="4"/>
  <c r="CH82" i="4"/>
  <c r="CH83" i="4"/>
  <c r="CH84" i="4"/>
  <c r="CH85" i="4"/>
  <c r="CH86" i="4"/>
  <c r="CH87" i="4"/>
  <c r="CH88" i="4"/>
  <c r="CH89" i="4"/>
  <c r="CH90" i="4"/>
  <c r="CH91" i="4"/>
  <c r="CH92" i="4"/>
  <c r="CH93" i="4"/>
  <c r="CH94" i="4"/>
  <c r="CH95" i="4"/>
  <c r="CH96" i="4"/>
  <c r="CH97" i="4"/>
  <c r="CH98" i="4"/>
  <c r="CH99" i="4"/>
  <c r="CH100" i="4"/>
  <c r="CH101" i="4"/>
  <c r="CH102" i="4"/>
  <c r="CH103" i="4"/>
  <c r="CH104" i="4"/>
  <c r="CH105" i="4"/>
  <c r="CH106" i="4"/>
  <c r="CH107" i="4"/>
  <c r="CH108" i="4"/>
  <c r="CH109" i="4"/>
  <c r="CH110" i="4"/>
  <c r="CH111" i="4"/>
  <c r="CH112" i="4"/>
  <c r="CH113" i="4"/>
  <c r="CH114" i="4"/>
  <c r="CH115" i="4"/>
  <c r="CH116" i="4"/>
  <c r="CH117" i="4"/>
  <c r="CH57" i="4"/>
  <c r="CH58" i="4"/>
  <c r="CH59" i="4"/>
  <c r="CH60" i="4"/>
  <c r="CH56" i="4"/>
  <c r="B9" i="41" l="1"/>
  <c r="C9" i="41" s="1"/>
  <c r="C8" i="41"/>
  <c r="B7" i="41"/>
  <c r="C7" i="41" s="1"/>
  <c r="B6" i="41"/>
  <c r="C6" i="41" s="1"/>
  <c r="B5" i="41"/>
  <c r="C5" i="41" s="1"/>
  <c r="B4" i="41"/>
  <c r="C4" i="41" s="1"/>
  <c r="B3" i="41"/>
  <c r="C3" i="41" s="1"/>
  <c r="B2" i="41"/>
  <c r="C2" i="41" s="1"/>
  <c r="Y3" i="21" l="1"/>
  <c r="R2" i="21"/>
  <c r="R3" i="21" l="1"/>
  <c r="R4" i="21"/>
  <c r="R5" i="21"/>
  <c r="R6" i="21"/>
  <c r="R7" i="21"/>
  <c r="R8" i="21"/>
  <c r="R10" i="21"/>
  <c r="R11" i="21"/>
  <c r="CY20" i="4" s="1"/>
  <c r="R12" i="21"/>
  <c r="CD11" i="4" l="1"/>
  <c r="CD19" i="4"/>
  <c r="CD27" i="4"/>
  <c r="CD35" i="4"/>
  <c r="CD43" i="4"/>
  <c r="CD51" i="4"/>
  <c r="CD59" i="4"/>
  <c r="CD67" i="4"/>
  <c r="CD75" i="4"/>
  <c r="CD83" i="4"/>
  <c r="CD91" i="4"/>
  <c r="CD99" i="4"/>
  <c r="CD107" i="4"/>
  <c r="CD115" i="4"/>
  <c r="CD72" i="4"/>
  <c r="CD113" i="4"/>
  <c r="CD66" i="4"/>
  <c r="CD114" i="4"/>
  <c r="CD12" i="4"/>
  <c r="CD20" i="4"/>
  <c r="CD28" i="4"/>
  <c r="CD36" i="4"/>
  <c r="CD44" i="4"/>
  <c r="CD52" i="4"/>
  <c r="CD60" i="4"/>
  <c r="CD68" i="4"/>
  <c r="CD76" i="4"/>
  <c r="CD84" i="4"/>
  <c r="CD92" i="4"/>
  <c r="CD100" i="4"/>
  <c r="CD108" i="4"/>
  <c r="CD116" i="4"/>
  <c r="CD56" i="4"/>
  <c r="CD104" i="4"/>
  <c r="CD97" i="4"/>
  <c r="CD42" i="4"/>
  <c r="CD82" i="4"/>
  <c r="CD13" i="4"/>
  <c r="CD21" i="4"/>
  <c r="CD29" i="4"/>
  <c r="CD37" i="4"/>
  <c r="CD45" i="4"/>
  <c r="CD53" i="4"/>
  <c r="CD61" i="4"/>
  <c r="CD69" i="4"/>
  <c r="CD77" i="4"/>
  <c r="CD85" i="4"/>
  <c r="CD93" i="4"/>
  <c r="CD101" i="4"/>
  <c r="CD109" i="4"/>
  <c r="CD117" i="4"/>
  <c r="CD64" i="4"/>
  <c r="CD112" i="4"/>
  <c r="CD105" i="4"/>
  <c r="CD58" i="4"/>
  <c r="CD98" i="4"/>
  <c r="CD14" i="4"/>
  <c r="CD22" i="4"/>
  <c r="CD30" i="4"/>
  <c r="CD38" i="4"/>
  <c r="CD46" i="4"/>
  <c r="CD54" i="4"/>
  <c r="CD62" i="4"/>
  <c r="CD70" i="4"/>
  <c r="CD78" i="4"/>
  <c r="CD86" i="4"/>
  <c r="CD94" i="4"/>
  <c r="CD102" i="4"/>
  <c r="CD110" i="4"/>
  <c r="CD111" i="4"/>
  <c r="CD96" i="4"/>
  <c r="CD89" i="4"/>
  <c r="CD34" i="4"/>
  <c r="CD90" i="4"/>
  <c r="CD15" i="4"/>
  <c r="CD23" i="4"/>
  <c r="CD31" i="4"/>
  <c r="CD39" i="4"/>
  <c r="CD47" i="4"/>
  <c r="CD55" i="4"/>
  <c r="CD63" i="4"/>
  <c r="CD71" i="4"/>
  <c r="CD79" i="4"/>
  <c r="CD87" i="4"/>
  <c r="CD95" i="4"/>
  <c r="CD103" i="4"/>
  <c r="CD80" i="4"/>
  <c r="CD18" i="4"/>
  <c r="CD74" i="4"/>
  <c r="CD16" i="4"/>
  <c r="CD24" i="4"/>
  <c r="CD32" i="4"/>
  <c r="CD40" i="4"/>
  <c r="CD48" i="4"/>
  <c r="CD88" i="4"/>
  <c r="CD50" i="4"/>
  <c r="CD17" i="4"/>
  <c r="CD25" i="4"/>
  <c r="CD33" i="4"/>
  <c r="CD41" i="4"/>
  <c r="CD49" i="4"/>
  <c r="CD57" i="4"/>
  <c r="CD65" i="4"/>
  <c r="CD73" i="4"/>
  <c r="CD81" i="4"/>
  <c r="CD26" i="4"/>
  <c r="CD106" i="4"/>
  <c r="CP11" i="4"/>
  <c r="CP12" i="4"/>
  <c r="CP13" i="4"/>
  <c r="CP14" i="4"/>
  <c r="CP15" i="4"/>
  <c r="CP16" i="4"/>
  <c r="CP17" i="4"/>
  <c r="CP18" i="4"/>
  <c r="CP19" i="4"/>
  <c r="CP20" i="4"/>
  <c r="CP21" i="4"/>
  <c r="CP22" i="4"/>
  <c r="CP23" i="4"/>
  <c r="CP24" i="4"/>
  <c r="CP25" i="4"/>
  <c r="CP26" i="4"/>
  <c r="CP27" i="4"/>
  <c r="CP28" i="4"/>
  <c r="CP29" i="4"/>
  <c r="CP30" i="4"/>
  <c r="CP31" i="4"/>
  <c r="CP32" i="4"/>
  <c r="CP33" i="4"/>
  <c r="CP34" i="4"/>
  <c r="CP35" i="4"/>
  <c r="CP36" i="4"/>
  <c r="CP37" i="4"/>
  <c r="CP38" i="4"/>
  <c r="CP39" i="4"/>
  <c r="CP40" i="4"/>
  <c r="CP41" i="4"/>
  <c r="CP42" i="4"/>
  <c r="CP43" i="4"/>
  <c r="CP44" i="4"/>
  <c r="CP45" i="4"/>
  <c r="CP46" i="4"/>
  <c r="CP47" i="4"/>
  <c r="CP48" i="4"/>
  <c r="CP49" i="4"/>
  <c r="CP50" i="4"/>
  <c r="CP51" i="4"/>
  <c r="CP52" i="4"/>
  <c r="CP53" i="4"/>
  <c r="CP54" i="4"/>
  <c r="CO11" i="4"/>
  <c r="CO12" i="4"/>
  <c r="CO13" i="4"/>
  <c r="CO14" i="4"/>
  <c r="CO15" i="4"/>
  <c r="CO16" i="4"/>
  <c r="CO17" i="4"/>
  <c r="CO18" i="4"/>
  <c r="CO19" i="4"/>
  <c r="CO20" i="4"/>
  <c r="CO21" i="4"/>
  <c r="CO22" i="4"/>
  <c r="CO23" i="4"/>
  <c r="CO24" i="4"/>
  <c r="CO25" i="4"/>
  <c r="CO26" i="4"/>
  <c r="CO27" i="4"/>
  <c r="CO28" i="4"/>
  <c r="CO29" i="4"/>
  <c r="CO30" i="4"/>
  <c r="CO31" i="4"/>
  <c r="CO32" i="4"/>
  <c r="CO33" i="4"/>
  <c r="CO34" i="4"/>
  <c r="CO35" i="4"/>
  <c r="CO36" i="4"/>
  <c r="CO37" i="4"/>
  <c r="CO38" i="4"/>
  <c r="CO39" i="4"/>
  <c r="CO40" i="4"/>
  <c r="CO41" i="4"/>
  <c r="CO42" i="4"/>
  <c r="CO43" i="4"/>
  <c r="CO44" i="4"/>
  <c r="CO45" i="4"/>
  <c r="CO46" i="4"/>
  <c r="CO47" i="4"/>
  <c r="CO48" i="4"/>
  <c r="CO49" i="4"/>
  <c r="CO50" i="4"/>
  <c r="CO51" i="4"/>
  <c r="CO52" i="4"/>
  <c r="CO53" i="4"/>
  <c r="CO54" i="4"/>
  <c r="CJ56" i="4"/>
  <c r="CJ57" i="4"/>
  <c r="CJ58" i="4"/>
  <c r="CJ59" i="4"/>
  <c r="CJ60" i="4"/>
  <c r="CJ61" i="4"/>
  <c r="CJ55" i="4"/>
  <c r="CI11" i="4"/>
  <c r="CH11" i="4"/>
  <c r="CH12" i="4"/>
  <c r="CH13" i="4"/>
  <c r="CH14" i="4"/>
  <c r="CH15" i="4"/>
  <c r="CH16" i="4"/>
  <c r="CH17" i="4"/>
  <c r="CH18" i="4"/>
  <c r="CH19" i="4"/>
  <c r="CH20" i="4"/>
  <c r="CH21" i="4"/>
  <c r="CH22" i="4"/>
  <c r="CH23" i="4"/>
  <c r="CH24" i="4"/>
  <c r="CH25" i="4"/>
  <c r="CH26" i="4"/>
  <c r="CH27" i="4"/>
  <c r="CH28" i="4"/>
  <c r="CH29" i="4"/>
  <c r="CH30" i="4"/>
  <c r="CH31" i="4"/>
  <c r="CH32" i="4"/>
  <c r="CH33" i="4"/>
  <c r="CH34" i="4"/>
  <c r="CH35" i="4"/>
  <c r="CH36" i="4"/>
  <c r="CH37" i="4"/>
  <c r="CH38" i="4"/>
  <c r="CH39" i="4"/>
  <c r="CH40" i="4"/>
  <c r="CH41" i="4"/>
  <c r="CH42" i="4"/>
  <c r="CH43" i="4"/>
  <c r="CH44" i="4"/>
  <c r="CH45" i="4"/>
  <c r="CH46" i="4"/>
  <c r="CH47" i="4"/>
  <c r="CH48" i="4"/>
  <c r="CH49" i="4"/>
  <c r="CH50" i="4"/>
  <c r="CH51" i="4"/>
  <c r="CH52" i="4"/>
  <c r="CH53" i="4"/>
  <c r="CK11" i="4"/>
  <c r="CK12" i="4"/>
  <c r="CK13" i="4"/>
  <c r="CK14" i="4"/>
  <c r="CK15" i="4"/>
  <c r="CK16" i="4"/>
  <c r="CK17" i="4"/>
  <c r="CK18" i="4"/>
  <c r="CK19" i="4"/>
  <c r="CK20" i="4"/>
  <c r="CK21" i="4"/>
  <c r="CK22" i="4"/>
  <c r="CK23" i="4"/>
  <c r="CK24" i="4"/>
  <c r="CK25" i="4"/>
  <c r="CK26" i="4"/>
  <c r="CK27" i="4"/>
  <c r="CK28" i="4"/>
  <c r="CK29" i="4"/>
  <c r="CK30" i="4"/>
  <c r="CK31" i="4"/>
  <c r="CK32" i="4"/>
  <c r="CK33" i="4"/>
  <c r="CK34" i="4"/>
  <c r="CK35" i="4"/>
  <c r="CK36" i="4"/>
  <c r="CK37" i="4"/>
  <c r="CK38" i="4"/>
  <c r="CK39" i="4"/>
  <c r="CK40" i="4"/>
  <c r="CK41" i="4"/>
  <c r="CK42" i="4"/>
  <c r="CK43" i="4"/>
  <c r="CK44" i="4"/>
  <c r="CK45" i="4"/>
  <c r="CK46" i="4"/>
  <c r="CK47" i="4"/>
  <c r="CK48" i="4"/>
  <c r="CK49" i="4"/>
  <c r="CK50" i="4"/>
  <c r="CK51" i="4"/>
  <c r="CK52" i="4"/>
  <c r="CK53" i="4"/>
  <c r="CK54" i="4"/>
  <c r="DF20" i="4" l="1"/>
  <c r="DI19" i="4"/>
  <c r="DD19" i="4"/>
  <c r="CL11" i="4"/>
  <c r="CL12" i="4"/>
  <c r="CL13" i="4"/>
  <c r="CL14" i="4"/>
  <c r="CL15" i="4"/>
  <c r="CL16" i="4"/>
  <c r="CL17" i="4"/>
  <c r="CL18" i="4"/>
  <c r="CL19" i="4"/>
  <c r="CL20" i="4"/>
  <c r="CL21" i="4"/>
  <c r="CL22" i="4"/>
  <c r="CL23" i="4"/>
  <c r="CL24" i="4"/>
  <c r="CL25" i="4"/>
  <c r="CL26" i="4"/>
  <c r="CL27" i="4"/>
  <c r="CL28" i="4"/>
  <c r="CL29" i="4"/>
  <c r="CL30" i="4"/>
  <c r="CL31" i="4"/>
  <c r="CL32" i="4"/>
  <c r="CL33" i="4"/>
  <c r="CL34" i="4"/>
  <c r="CL35" i="4"/>
  <c r="CL36" i="4"/>
  <c r="CL37" i="4"/>
  <c r="CL38" i="4"/>
  <c r="CL39" i="4"/>
  <c r="CL40" i="4"/>
  <c r="CL41" i="4"/>
  <c r="CL42" i="4"/>
  <c r="CL43" i="4"/>
  <c r="CL44" i="4"/>
  <c r="CL45" i="4"/>
  <c r="CL46" i="4"/>
  <c r="CL47" i="4"/>
  <c r="CL48" i="4"/>
  <c r="CL49" i="4"/>
  <c r="CL50" i="4"/>
  <c r="CL51" i="4"/>
  <c r="CL52" i="4"/>
  <c r="CL53" i="4"/>
  <c r="CL54" i="4"/>
  <c r="CL83" i="4"/>
  <c r="CL84" i="4"/>
  <c r="CL85" i="4"/>
  <c r="CL86" i="4"/>
  <c r="CL87" i="4"/>
  <c r="CL88" i="4"/>
  <c r="CL89" i="4"/>
  <c r="CL90" i="4"/>
  <c r="CL91" i="4"/>
  <c r="CL92" i="4"/>
  <c r="CL93" i="4"/>
  <c r="CL94" i="4"/>
  <c r="CL95" i="4"/>
  <c r="CL96" i="4"/>
  <c r="CL97" i="4"/>
  <c r="CL98" i="4"/>
  <c r="CL99" i="4"/>
  <c r="CL100" i="4"/>
  <c r="CL101" i="4"/>
  <c r="CL102" i="4"/>
  <c r="CL103" i="4"/>
  <c r="CL104" i="4"/>
  <c r="CL105" i="4"/>
  <c r="CL106" i="4"/>
  <c r="CL107" i="4"/>
  <c r="CL108" i="4"/>
  <c r="CL109" i="4"/>
  <c r="CL110" i="4"/>
  <c r="CL111" i="4"/>
  <c r="CL112" i="4"/>
  <c r="CL113" i="4"/>
  <c r="CL114" i="4"/>
  <c r="CL115" i="4"/>
  <c r="CL116" i="4"/>
  <c r="CL117" i="4"/>
  <c r="O2" i="16"/>
  <c r="Q2" i="16" s="1"/>
  <c r="CN11" i="4" l="1"/>
  <c r="CN12" i="4"/>
  <c r="CN13" i="4"/>
  <c r="CN14" i="4"/>
  <c r="CN15" i="4"/>
  <c r="CN16" i="4"/>
  <c r="CN17" i="4"/>
  <c r="CN18" i="4"/>
  <c r="CN19" i="4"/>
  <c r="CN20" i="4"/>
  <c r="CN21" i="4"/>
  <c r="CN22" i="4"/>
  <c r="CN23" i="4"/>
  <c r="CN24" i="4"/>
  <c r="CN25" i="4"/>
  <c r="CN26" i="4"/>
  <c r="CN27" i="4"/>
  <c r="CN28" i="4"/>
  <c r="CN29" i="4"/>
  <c r="CN30" i="4"/>
  <c r="CN31" i="4"/>
  <c r="CN32" i="4"/>
  <c r="CN33" i="4"/>
  <c r="CN34" i="4"/>
  <c r="CN35" i="4"/>
  <c r="CN36" i="4"/>
  <c r="CN37" i="4"/>
  <c r="CN38" i="4"/>
  <c r="CN39" i="4"/>
  <c r="CN40" i="4"/>
  <c r="CN41" i="4"/>
  <c r="CN42" i="4"/>
  <c r="CN43" i="4"/>
  <c r="CN44" i="4"/>
  <c r="CN45" i="4"/>
  <c r="CN46" i="4"/>
  <c r="CN47" i="4"/>
  <c r="CN48" i="4"/>
  <c r="CN49" i="4"/>
  <c r="CN50" i="4"/>
  <c r="CN51" i="4"/>
  <c r="CN52" i="4"/>
  <c r="CN53" i="4"/>
  <c r="CN83" i="4"/>
  <c r="CN84" i="4"/>
  <c r="CN85" i="4"/>
  <c r="CN86" i="4"/>
  <c r="CN87" i="4"/>
  <c r="CN88" i="4"/>
  <c r="CN89" i="4"/>
  <c r="CN90" i="4"/>
  <c r="CN91" i="4"/>
  <c r="CN92" i="4"/>
  <c r="CN93" i="4"/>
  <c r="CN94" i="4"/>
  <c r="CN95" i="4"/>
  <c r="CN96" i="4"/>
  <c r="CN97" i="4"/>
  <c r="CN98" i="4"/>
  <c r="CN99" i="4"/>
  <c r="CN100" i="4"/>
  <c r="CN101" i="4"/>
  <c r="CN102" i="4"/>
  <c r="CN103" i="4"/>
  <c r="CN104" i="4"/>
  <c r="CN105" i="4"/>
  <c r="CN106" i="4"/>
  <c r="CN107" i="4"/>
  <c r="CN108" i="4"/>
  <c r="CN109" i="4"/>
  <c r="CN110" i="4"/>
  <c r="CN111" i="4"/>
  <c r="CN112" i="4"/>
  <c r="CN113" i="4"/>
  <c r="CN114" i="4"/>
  <c r="CN115" i="4"/>
  <c r="CN116" i="4"/>
  <c r="CN117"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Z82" i="4" l="1"/>
  <c r="Z83" i="4"/>
  <c r="Z84" i="4"/>
  <c r="Z85" i="4"/>
  <c r="Z86" i="4"/>
  <c r="Z87" i="4"/>
  <c r="Z88" i="4"/>
  <c r="Z89" i="4"/>
  <c r="Z90" i="4"/>
  <c r="Z91" i="4"/>
  <c r="Z92" i="4"/>
  <c r="Z93" i="4"/>
  <c r="Z94" i="4"/>
  <c r="Z95" i="4"/>
  <c r="Z96" i="4"/>
  <c r="Z97" i="4"/>
  <c r="Z98" i="4"/>
  <c r="Z99" i="4"/>
  <c r="Z100" i="4"/>
  <c r="Z101" i="4"/>
  <c r="Z102" i="4"/>
  <c r="Z103" i="4"/>
  <c r="Z104" i="4"/>
  <c r="Z105" i="4"/>
  <c r="Z106" i="4"/>
  <c r="Z107" i="4"/>
  <c r="Z108" i="4"/>
  <c r="Z109" i="4"/>
  <c r="Z110" i="4"/>
  <c r="Z111" i="4"/>
  <c r="Z112" i="4"/>
  <c r="Z113" i="4"/>
  <c r="Z114" i="4"/>
  <c r="Z115" i="4"/>
  <c r="Z116" i="4"/>
  <c r="Z117" i="4"/>
  <c r="DH19"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CK55" i="4" l="1"/>
  <c r="DV19" i="4" l="1" a="1"/>
  <c r="DV19" i="4" s="1"/>
  <c r="DM20" i="4" a="1"/>
  <c r="DM20" i="4" s="1"/>
  <c r="DM19" i="4" a="1"/>
  <c r="DM19" i="4" s="1"/>
  <c r="DL19" i="4"/>
  <c r="DI12" i="4"/>
  <c r="DI13" i="4"/>
  <c r="DI14" i="4"/>
  <c r="DI15" i="4"/>
  <c r="DI16" i="4"/>
  <c r="DI17" i="4"/>
  <c r="DI18" i="4"/>
  <c r="DI20" i="4"/>
  <c r="DI11" i="4"/>
  <c r="DH18" i="4"/>
  <c r="DH20" i="4"/>
  <c r="DH17" i="4"/>
  <c r="DK19" i="4"/>
  <c r="DD20" i="4" l="1"/>
  <c r="CX20" i="4"/>
  <c r="CY17" i="4"/>
  <c r="CY16" i="4"/>
  <c r="CY14" i="4"/>
  <c r="CY12" i="4"/>
  <c r="CY11" i="4"/>
  <c r="CY13" i="4"/>
  <c r="CY15" i="4"/>
  <c r="CY18" i="4"/>
  <c r="T8" i="4"/>
  <c r="R8" i="4"/>
  <c r="P8" i="4"/>
  <c r="AA2" i="4"/>
  <c r="N8" i="4"/>
  <c r="AW8" i="4" s="1"/>
  <c r="L8" i="4"/>
  <c r="V8" i="4"/>
  <c r="X8" i="4"/>
  <c r="V6" i="4"/>
  <c r="DK20" i="4"/>
  <c r="BT12" i="4" l="1"/>
  <c r="BT20" i="4"/>
  <c r="BT28" i="4"/>
  <c r="BT36" i="4"/>
  <c r="BT44" i="4"/>
  <c r="BT52" i="4"/>
  <c r="BT60" i="4"/>
  <c r="BT19" i="4"/>
  <c r="BT13" i="4"/>
  <c r="BT21" i="4"/>
  <c r="BT29" i="4"/>
  <c r="BT37" i="4"/>
  <c r="BT45" i="4"/>
  <c r="BT53" i="4"/>
  <c r="BT61" i="4"/>
  <c r="BT35" i="4"/>
  <c r="BT14" i="4"/>
  <c r="BT22" i="4"/>
  <c r="BT30" i="4"/>
  <c r="BT38" i="4"/>
  <c r="BT46" i="4"/>
  <c r="BT54" i="4"/>
  <c r="BT43" i="4"/>
  <c r="BT15" i="4"/>
  <c r="BT23" i="4"/>
  <c r="BT31" i="4"/>
  <c r="BT39" i="4"/>
  <c r="BT47" i="4"/>
  <c r="BT55" i="4"/>
  <c r="BT50" i="4"/>
  <c r="BT51" i="4"/>
  <c r="BT16" i="4"/>
  <c r="BT24" i="4"/>
  <c r="BT32" i="4"/>
  <c r="BT40" i="4"/>
  <c r="BT48" i="4"/>
  <c r="BT56" i="4"/>
  <c r="BT59" i="4"/>
  <c r="BT17" i="4"/>
  <c r="BT25" i="4"/>
  <c r="BT33" i="4"/>
  <c r="BT41" i="4"/>
  <c r="BT49" i="4"/>
  <c r="BT57" i="4"/>
  <c r="BT27" i="4"/>
  <c r="BT18" i="4"/>
  <c r="BT26" i="4"/>
  <c r="BT34" i="4"/>
  <c r="BT42" i="4"/>
  <c r="BT58" i="4"/>
  <c r="BT11" i="4"/>
  <c r="BO12" i="4"/>
  <c r="BO20" i="4"/>
  <c r="BO28" i="4"/>
  <c r="BO36" i="4"/>
  <c r="BO44" i="4"/>
  <c r="BO13" i="4"/>
  <c r="BO21" i="4"/>
  <c r="BO29" i="4"/>
  <c r="BO37" i="4"/>
  <c r="BO45" i="4"/>
  <c r="BO53" i="4"/>
  <c r="BO61" i="4"/>
  <c r="BO25" i="4"/>
  <c r="BO57" i="4"/>
  <c r="BO19" i="4"/>
  <c r="BO59" i="4"/>
  <c r="BO14" i="4"/>
  <c r="BO22" i="4"/>
  <c r="BO30" i="4"/>
  <c r="BO38" i="4"/>
  <c r="BO46" i="4"/>
  <c r="BO54" i="4"/>
  <c r="BO17" i="4"/>
  <c r="BO49" i="4"/>
  <c r="BO43" i="4"/>
  <c r="BO15" i="4"/>
  <c r="BO23" i="4"/>
  <c r="BO31" i="4"/>
  <c r="BO39" i="4"/>
  <c r="BO47" i="4"/>
  <c r="BO55" i="4"/>
  <c r="BO41" i="4"/>
  <c r="BO35" i="4"/>
  <c r="BO60" i="4"/>
  <c r="BO16" i="4"/>
  <c r="BO24" i="4"/>
  <c r="BO32" i="4"/>
  <c r="BO40" i="4"/>
  <c r="BO48" i="4"/>
  <c r="BO56" i="4"/>
  <c r="BO33" i="4"/>
  <c r="BO50" i="4"/>
  <c r="BO27" i="4"/>
  <c r="BO18" i="4"/>
  <c r="BO26" i="4"/>
  <c r="BO34" i="4"/>
  <c r="BO42" i="4"/>
  <c r="BO58" i="4"/>
  <c r="BO51" i="4"/>
  <c r="BO52" i="4"/>
  <c r="BO11" i="4"/>
  <c r="BJ11" i="4"/>
  <c r="BJ19" i="4"/>
  <c r="BJ27" i="4"/>
  <c r="BJ35" i="4"/>
  <c r="BJ43" i="4"/>
  <c r="BJ51" i="4"/>
  <c r="BJ59" i="4"/>
  <c r="BJ57" i="4"/>
  <c r="BJ50" i="4"/>
  <c r="BJ12" i="4"/>
  <c r="BJ20" i="4"/>
  <c r="BJ28" i="4"/>
  <c r="BJ36" i="4"/>
  <c r="BJ44" i="4"/>
  <c r="BJ52" i="4"/>
  <c r="BJ60" i="4"/>
  <c r="BJ49" i="4"/>
  <c r="BJ26" i="4"/>
  <c r="BJ13" i="4"/>
  <c r="BJ21" i="4"/>
  <c r="BJ29" i="4"/>
  <c r="BJ37" i="4"/>
  <c r="BJ45" i="4"/>
  <c r="BJ53" i="4"/>
  <c r="BJ61" i="4"/>
  <c r="BJ25" i="4"/>
  <c r="BJ18" i="4"/>
  <c r="BJ14" i="4"/>
  <c r="BJ22" i="4"/>
  <c r="BJ30" i="4"/>
  <c r="BJ38" i="4"/>
  <c r="BJ46" i="4"/>
  <c r="BJ54" i="4"/>
  <c r="BJ17" i="4"/>
  <c r="BJ34" i="4"/>
  <c r="BJ15" i="4"/>
  <c r="BJ23" i="4"/>
  <c r="BJ31" i="4"/>
  <c r="BJ39" i="4"/>
  <c r="BJ47" i="4"/>
  <c r="BJ55" i="4"/>
  <c r="BJ33" i="4"/>
  <c r="BJ58" i="4"/>
  <c r="BJ16" i="4"/>
  <c r="BJ24" i="4"/>
  <c r="BJ32" i="4"/>
  <c r="BJ40" i="4"/>
  <c r="BJ48" i="4"/>
  <c r="BJ56" i="4"/>
  <c r="BJ42" i="4"/>
  <c r="BJ41" i="4"/>
  <c r="BE11" i="4"/>
  <c r="BE19" i="4"/>
  <c r="BE27" i="4"/>
  <c r="BE35" i="4"/>
  <c r="BE43" i="4"/>
  <c r="BE51" i="4"/>
  <c r="BE59" i="4"/>
  <c r="BE33" i="4"/>
  <c r="BE50" i="4"/>
  <c r="BE12" i="4"/>
  <c r="BE20" i="4"/>
  <c r="BE28" i="4"/>
  <c r="BE36" i="4"/>
  <c r="BE44" i="4"/>
  <c r="BE52" i="4"/>
  <c r="BE60" i="4"/>
  <c r="BE17" i="4"/>
  <c r="BE49" i="4"/>
  <c r="BE26" i="4"/>
  <c r="BE13" i="4"/>
  <c r="BE21" i="4"/>
  <c r="BE29" i="4"/>
  <c r="BE37" i="4"/>
  <c r="BE45" i="4"/>
  <c r="BE53" i="4"/>
  <c r="BE61" i="4"/>
  <c r="BE25" i="4"/>
  <c r="BE42" i="4"/>
  <c r="BE14" i="4"/>
  <c r="BE22" i="4"/>
  <c r="BE30" i="4"/>
  <c r="BE38" i="4"/>
  <c r="BE46" i="4"/>
  <c r="BE54" i="4"/>
  <c r="BE57" i="4"/>
  <c r="BE58" i="4"/>
  <c r="BE15" i="4"/>
  <c r="BE23" i="4"/>
  <c r="BE31" i="4"/>
  <c r="BE39" i="4"/>
  <c r="BE47" i="4"/>
  <c r="BE55" i="4"/>
  <c r="BE18" i="4"/>
  <c r="BE16" i="4"/>
  <c r="BE24" i="4"/>
  <c r="BE32" i="4"/>
  <c r="BE40" i="4"/>
  <c r="BE48" i="4"/>
  <c r="BE56" i="4"/>
  <c r="BE41" i="4"/>
  <c r="BE34" i="4"/>
  <c r="AZ11" i="4"/>
  <c r="AZ19" i="4"/>
  <c r="AZ27" i="4"/>
  <c r="AZ35" i="4"/>
  <c r="AZ43" i="4"/>
  <c r="AZ51" i="4"/>
  <c r="AZ59" i="4"/>
  <c r="AZ34" i="4"/>
  <c r="AZ12" i="4"/>
  <c r="AZ20" i="4"/>
  <c r="AZ28" i="4"/>
  <c r="AZ36" i="4"/>
  <c r="AZ44" i="4"/>
  <c r="AZ52" i="4"/>
  <c r="AZ60" i="4"/>
  <c r="AZ13" i="4"/>
  <c r="AZ21" i="4"/>
  <c r="AZ29" i="4"/>
  <c r="AZ37" i="4"/>
  <c r="AZ45" i="4"/>
  <c r="AZ53" i="4"/>
  <c r="AZ61" i="4"/>
  <c r="AZ58" i="4"/>
  <c r="AZ14" i="4"/>
  <c r="AZ22" i="4"/>
  <c r="AZ30" i="4"/>
  <c r="AZ38" i="4"/>
  <c r="AZ46" i="4"/>
  <c r="AZ54" i="4"/>
  <c r="AZ50" i="4"/>
  <c r="AZ15" i="4"/>
  <c r="AZ23" i="4"/>
  <c r="AZ31" i="4"/>
  <c r="AZ39" i="4"/>
  <c r="AZ47" i="4"/>
  <c r="AZ55" i="4"/>
  <c r="AZ49" i="4"/>
  <c r="AZ42" i="4"/>
  <c r="AZ16" i="4"/>
  <c r="AZ24" i="4"/>
  <c r="AZ32" i="4"/>
  <c r="AZ40" i="4"/>
  <c r="AZ48" i="4"/>
  <c r="AZ56" i="4"/>
  <c r="AZ26" i="4"/>
  <c r="AZ17" i="4"/>
  <c r="AZ25" i="4"/>
  <c r="AZ33" i="4"/>
  <c r="AZ41" i="4"/>
  <c r="AZ57" i="4"/>
  <c r="AZ18" i="4"/>
  <c r="AN11" i="4"/>
  <c r="AN19" i="4"/>
  <c r="AN27" i="4"/>
  <c r="AN35" i="4"/>
  <c r="AN43" i="4"/>
  <c r="AN51" i="4"/>
  <c r="AN59" i="4"/>
  <c r="AN17" i="4"/>
  <c r="AN42" i="4"/>
  <c r="AN12" i="4"/>
  <c r="AN20" i="4"/>
  <c r="AN28" i="4"/>
  <c r="AN36" i="4"/>
  <c r="AN44" i="4"/>
  <c r="AN52" i="4"/>
  <c r="AN60" i="4"/>
  <c r="AN56" i="4"/>
  <c r="AN57" i="4"/>
  <c r="AN26" i="4"/>
  <c r="AN13" i="4"/>
  <c r="AN21" i="4"/>
  <c r="AN29" i="4"/>
  <c r="AN37" i="4"/>
  <c r="AN45" i="4"/>
  <c r="AN53" i="4"/>
  <c r="AN61" i="4"/>
  <c r="AN41" i="4"/>
  <c r="AN18" i="4"/>
  <c r="AN14" i="4"/>
  <c r="AN22" i="4"/>
  <c r="AN30" i="4"/>
  <c r="AN38" i="4"/>
  <c r="AN46" i="4"/>
  <c r="AN54" i="4"/>
  <c r="AN25" i="4"/>
  <c r="AN58" i="4"/>
  <c r="AN15" i="4"/>
  <c r="AN23" i="4"/>
  <c r="AN31" i="4"/>
  <c r="AN39" i="4"/>
  <c r="AN47" i="4"/>
  <c r="AN55" i="4"/>
  <c r="AN33" i="4"/>
  <c r="AN50" i="4"/>
  <c r="AN16" i="4"/>
  <c r="AN24" i="4"/>
  <c r="AN32" i="4"/>
  <c r="AN40" i="4"/>
  <c r="AN48" i="4"/>
  <c r="AN49" i="4"/>
  <c r="AN34" i="4"/>
  <c r="AV11" i="4"/>
  <c r="AV19" i="4"/>
  <c r="AV27" i="4"/>
  <c r="AV35" i="4"/>
  <c r="AV43" i="4"/>
  <c r="AV51" i="4"/>
  <c r="AV59" i="4"/>
  <c r="AV55" i="4"/>
  <c r="AV16" i="4"/>
  <c r="AV48" i="4"/>
  <c r="AV12" i="4"/>
  <c r="AV20" i="4"/>
  <c r="AV28" i="4"/>
  <c r="AV36" i="4"/>
  <c r="AV44" i="4"/>
  <c r="AV52" i="4"/>
  <c r="AV60" i="4"/>
  <c r="AV14" i="4"/>
  <c r="AV30" i="4"/>
  <c r="AV46" i="4"/>
  <c r="AV54" i="4"/>
  <c r="AV23" i="4"/>
  <c r="AV39" i="4"/>
  <c r="AV24" i="4"/>
  <c r="AV40" i="4"/>
  <c r="AV13" i="4"/>
  <c r="AV21" i="4"/>
  <c r="AV29" i="4"/>
  <c r="AV37" i="4"/>
  <c r="AV45" i="4"/>
  <c r="AV53" i="4"/>
  <c r="AV61" i="4"/>
  <c r="AV22" i="4"/>
  <c r="AV38" i="4"/>
  <c r="AV15" i="4"/>
  <c r="AV31" i="4"/>
  <c r="AV47" i="4"/>
  <c r="AV32" i="4"/>
  <c r="AV56" i="4"/>
  <c r="AV17" i="4"/>
  <c r="AV25" i="4"/>
  <c r="AV33" i="4"/>
  <c r="AV41" i="4"/>
  <c r="AV49" i="4"/>
  <c r="AV57" i="4"/>
  <c r="AV18" i="4"/>
  <c r="AV26" i="4"/>
  <c r="AV34" i="4"/>
  <c r="AV42" i="4"/>
  <c r="AV50" i="4"/>
  <c r="AV58" i="4"/>
  <c r="BW11" i="4"/>
  <c r="BW19" i="4"/>
  <c r="BW27" i="4"/>
  <c r="BW12" i="4"/>
  <c r="BW20" i="4"/>
  <c r="BW28" i="4"/>
  <c r="BW13" i="4"/>
  <c r="BW21" i="4"/>
  <c r="BW29" i="4"/>
  <c r="BW14" i="4"/>
  <c r="BW22" i="4"/>
  <c r="BW26" i="4"/>
  <c r="BW15" i="4"/>
  <c r="BW23" i="4"/>
  <c r="BW16" i="4"/>
  <c r="BW24" i="4"/>
  <c r="BW18" i="4"/>
  <c r="BW17" i="4"/>
  <c r="BW25" i="4"/>
  <c r="AS11" i="4"/>
  <c r="AS12" i="4"/>
  <c r="AS13" i="4"/>
  <c r="AS14" i="4"/>
  <c r="AC2" i="4"/>
  <c r="Z8" i="4" s="1"/>
  <c r="Z9" i="4" s="1"/>
  <c r="AR8" i="4"/>
  <c r="CR8" i="4"/>
  <c r="CR9" i="4" s="1"/>
  <c r="CR14" i="4"/>
  <c r="AD16" i="4"/>
  <c r="AD24" i="4"/>
  <c r="AD32" i="4"/>
  <c r="AD40" i="4"/>
  <c r="AD48" i="4"/>
  <c r="AD56" i="4"/>
  <c r="AD13" i="4"/>
  <c r="AD53" i="4"/>
  <c r="AD17" i="4"/>
  <c r="AD25" i="4"/>
  <c r="AD33" i="4"/>
  <c r="AD41" i="4"/>
  <c r="AD49" i="4"/>
  <c r="AD57" i="4"/>
  <c r="AD37" i="4"/>
  <c r="AD18" i="4"/>
  <c r="AD26" i="4"/>
  <c r="AD34" i="4"/>
  <c r="AD42" i="4"/>
  <c r="AD50" i="4"/>
  <c r="AD58" i="4"/>
  <c r="AD29" i="4"/>
  <c r="AD11" i="4"/>
  <c r="AD19" i="4"/>
  <c r="AD27" i="4"/>
  <c r="AD35" i="4"/>
  <c r="AD43" i="4"/>
  <c r="AD51" i="4"/>
  <c r="AD59" i="4"/>
  <c r="AD45" i="4"/>
  <c r="AD55" i="4"/>
  <c r="AD12" i="4"/>
  <c r="AD20" i="4"/>
  <c r="AD28" i="4"/>
  <c r="AD36" i="4"/>
  <c r="AD44" i="4"/>
  <c r="AD52" i="4"/>
  <c r="AD60" i="4"/>
  <c r="AD21" i="4"/>
  <c r="AD61" i="4"/>
  <c r="AD14" i="4"/>
  <c r="AD22" i="4"/>
  <c r="AD30" i="4"/>
  <c r="AD38" i="4"/>
  <c r="AD46" i="4"/>
  <c r="AD54" i="4"/>
  <c r="AD15" i="4"/>
  <c r="AD23" i="4"/>
  <c r="AD31" i="4"/>
  <c r="AD39" i="4"/>
  <c r="AD47" i="4"/>
  <c r="BC11" i="4"/>
  <c r="AH11" i="4"/>
  <c r="AH19" i="4"/>
  <c r="AH27" i="4"/>
  <c r="AH35" i="4"/>
  <c r="AH43" i="4"/>
  <c r="AH51" i="4"/>
  <c r="AH59" i="4"/>
  <c r="AH40" i="4"/>
  <c r="AH12" i="4"/>
  <c r="AH20" i="4"/>
  <c r="AH28" i="4"/>
  <c r="AH36" i="4"/>
  <c r="AH44" i="4"/>
  <c r="AH52" i="4"/>
  <c r="AH60" i="4"/>
  <c r="AH16" i="4"/>
  <c r="AH13" i="4"/>
  <c r="AH21" i="4"/>
  <c r="AH29" i="4"/>
  <c r="AH37" i="4"/>
  <c r="AH45" i="4"/>
  <c r="AH53" i="4"/>
  <c r="AH61" i="4"/>
  <c r="AH48" i="4"/>
  <c r="AH42" i="4"/>
  <c r="AH14" i="4"/>
  <c r="AH22" i="4"/>
  <c r="AH30" i="4"/>
  <c r="AH38" i="4"/>
  <c r="AH46" i="4"/>
  <c r="AH54" i="4"/>
  <c r="AH32" i="4"/>
  <c r="AH56" i="4"/>
  <c r="AH58" i="4"/>
  <c r="AH15" i="4"/>
  <c r="AH23" i="4"/>
  <c r="AH31" i="4"/>
  <c r="AH39" i="4"/>
  <c r="AH47" i="4"/>
  <c r="AH55" i="4"/>
  <c r="AH24" i="4"/>
  <c r="AH50" i="4"/>
  <c r="AH17" i="4"/>
  <c r="AH25" i="4"/>
  <c r="AH33" i="4"/>
  <c r="AH41" i="4"/>
  <c r="AH49" i="4"/>
  <c r="AH57" i="4"/>
  <c r="AH18" i="4"/>
  <c r="AH26" i="4"/>
  <c r="AH34" i="4"/>
  <c r="AG11" i="4"/>
  <c r="CA11" i="4" s="1"/>
  <c r="AG19" i="4"/>
  <c r="CA19" i="4" s="1"/>
  <c r="CB19" i="4" s="1"/>
  <c r="AG27" i="4"/>
  <c r="CA27" i="4" s="1"/>
  <c r="CB27" i="4" s="1"/>
  <c r="AG35" i="4"/>
  <c r="CA35" i="4" s="1"/>
  <c r="CB35" i="4" s="1"/>
  <c r="AG43" i="4"/>
  <c r="CA43" i="4" s="1"/>
  <c r="CB43" i="4" s="1"/>
  <c r="AG51" i="4"/>
  <c r="CA51" i="4" s="1"/>
  <c r="CB51" i="4" s="1"/>
  <c r="AG59" i="4"/>
  <c r="CA59" i="4" s="1"/>
  <c r="CB59" i="4" s="1"/>
  <c r="AG26" i="4"/>
  <c r="CA26" i="4" s="1"/>
  <c r="CB26" i="4" s="1"/>
  <c r="AG12" i="4"/>
  <c r="CA12" i="4" s="1"/>
  <c r="CB12" i="4" s="1"/>
  <c r="AG20" i="4"/>
  <c r="CA20" i="4" s="1"/>
  <c r="AG28" i="4"/>
  <c r="CA28" i="4" s="1"/>
  <c r="CB28" i="4" s="1"/>
  <c r="AG36" i="4"/>
  <c r="CA36" i="4" s="1"/>
  <c r="CB36" i="4" s="1"/>
  <c r="AG44" i="4"/>
  <c r="CA44" i="4" s="1"/>
  <c r="CB44" i="4" s="1"/>
  <c r="AG52" i="4"/>
  <c r="CA52" i="4" s="1"/>
  <c r="CB52" i="4" s="1"/>
  <c r="AG60" i="4"/>
  <c r="CA60" i="4" s="1"/>
  <c r="CB60" i="4" s="1"/>
  <c r="AG50" i="4"/>
  <c r="CA50" i="4" s="1"/>
  <c r="AG13" i="4"/>
  <c r="CA13" i="4" s="1"/>
  <c r="CB13" i="4" s="1"/>
  <c r="AG21" i="4"/>
  <c r="CA21" i="4" s="1"/>
  <c r="AG29" i="4"/>
  <c r="CA29" i="4" s="1"/>
  <c r="CB29" i="4" s="1"/>
  <c r="AG37" i="4"/>
  <c r="CA37" i="4" s="1"/>
  <c r="CB37" i="4" s="1"/>
  <c r="AG45" i="4"/>
  <c r="CA45" i="4" s="1"/>
  <c r="CB45" i="4" s="1"/>
  <c r="AG53" i="4"/>
  <c r="CA53" i="4" s="1"/>
  <c r="CB53" i="4" s="1"/>
  <c r="AG61" i="4"/>
  <c r="CA61" i="4" s="1"/>
  <c r="CB61" i="4" s="1"/>
  <c r="AG14" i="4"/>
  <c r="CA14" i="4" s="1"/>
  <c r="CB14" i="4" s="1"/>
  <c r="AG22" i="4"/>
  <c r="CA22" i="4" s="1"/>
  <c r="CB22" i="4" s="1"/>
  <c r="AG30" i="4"/>
  <c r="CA30" i="4" s="1"/>
  <c r="AG38" i="4"/>
  <c r="CA38" i="4" s="1"/>
  <c r="CB38" i="4" s="1"/>
  <c r="AG46" i="4"/>
  <c r="CA46" i="4" s="1"/>
  <c r="AG54" i="4"/>
  <c r="CA54" i="4" s="1"/>
  <c r="AG18" i="4"/>
  <c r="CA18" i="4" s="1"/>
  <c r="CB18" i="4" s="1"/>
  <c r="AG15" i="4"/>
  <c r="CA15" i="4" s="1"/>
  <c r="CB15" i="4" s="1"/>
  <c r="AG23" i="4"/>
  <c r="CA23" i="4" s="1"/>
  <c r="CB23" i="4" s="1"/>
  <c r="AG31" i="4"/>
  <c r="CA31" i="4" s="1"/>
  <c r="CB31" i="4" s="1"/>
  <c r="AG39" i="4"/>
  <c r="CA39" i="4" s="1"/>
  <c r="CB39" i="4" s="1"/>
  <c r="AG47" i="4"/>
  <c r="AG55" i="4"/>
  <c r="CA55" i="4" s="1"/>
  <c r="AG42" i="4"/>
  <c r="CA42" i="4" s="1"/>
  <c r="CB42" i="4" s="1"/>
  <c r="AG16" i="4"/>
  <c r="CA16" i="4" s="1"/>
  <c r="CB16" i="4" s="1"/>
  <c r="AG24" i="4"/>
  <c r="CA24" i="4" s="1"/>
  <c r="CB24" i="4" s="1"/>
  <c r="AG32" i="4"/>
  <c r="CA32" i="4" s="1"/>
  <c r="CB32" i="4" s="1"/>
  <c r="AG40" i="4"/>
  <c r="CA40" i="4" s="1"/>
  <c r="CB40" i="4" s="1"/>
  <c r="AG48" i="4"/>
  <c r="CA48" i="4" s="1"/>
  <c r="CB48" i="4" s="1"/>
  <c r="AG56" i="4"/>
  <c r="CA56" i="4" s="1"/>
  <c r="CB56" i="4" s="1"/>
  <c r="AG34" i="4"/>
  <c r="CA34" i="4" s="1"/>
  <c r="CB34" i="4" s="1"/>
  <c r="AG17" i="4"/>
  <c r="CA17" i="4" s="1"/>
  <c r="CB17" i="4" s="1"/>
  <c r="AG25" i="4"/>
  <c r="CA25" i="4" s="1"/>
  <c r="AG33" i="4"/>
  <c r="CA33" i="4" s="1"/>
  <c r="CB33" i="4" s="1"/>
  <c r="AG41" i="4"/>
  <c r="CA41" i="4" s="1"/>
  <c r="CB41" i="4" s="1"/>
  <c r="AG49" i="4"/>
  <c r="AG57" i="4"/>
  <c r="CA57" i="4" s="1"/>
  <c r="CB57" i="4" s="1"/>
  <c r="AG58" i="4"/>
  <c r="CA58" i="4" s="1"/>
  <c r="CB58" i="4" s="1"/>
  <c r="AF11" i="4"/>
  <c r="BV11" i="4" s="1"/>
  <c r="AE11" i="4"/>
  <c r="BL11" i="4" s="1"/>
  <c r="AE19" i="4"/>
  <c r="BL19" i="4" s="1"/>
  <c r="AE27" i="4"/>
  <c r="BL27" i="4" s="1"/>
  <c r="BM27" i="4" s="1"/>
  <c r="AE35" i="4"/>
  <c r="BL35" i="4" s="1"/>
  <c r="BM35" i="4" s="1"/>
  <c r="AE43" i="4"/>
  <c r="BL43" i="4" s="1"/>
  <c r="BM43" i="4" s="1"/>
  <c r="AE51" i="4"/>
  <c r="BL51" i="4" s="1"/>
  <c r="BM51" i="4" s="1"/>
  <c r="AE59" i="4"/>
  <c r="BL59" i="4" s="1"/>
  <c r="BM59" i="4" s="1"/>
  <c r="AE34" i="4"/>
  <c r="BL34" i="4" s="1"/>
  <c r="BM34" i="4" s="1"/>
  <c r="AE12" i="4"/>
  <c r="BL12" i="4" s="1"/>
  <c r="AE20" i="4"/>
  <c r="BL20" i="4" s="1"/>
  <c r="BM20" i="4" s="1"/>
  <c r="AE28" i="4"/>
  <c r="BL28" i="4" s="1"/>
  <c r="BM28" i="4" s="1"/>
  <c r="AE36" i="4"/>
  <c r="BL36" i="4" s="1"/>
  <c r="BM36" i="4" s="1"/>
  <c r="AE44" i="4"/>
  <c r="BL44" i="4" s="1"/>
  <c r="BM44" i="4" s="1"/>
  <c r="AE52" i="4"/>
  <c r="BL52" i="4" s="1"/>
  <c r="BM52" i="4" s="1"/>
  <c r="AE60" i="4"/>
  <c r="BL60" i="4" s="1"/>
  <c r="BM60" i="4" s="1"/>
  <c r="AE58" i="4"/>
  <c r="BL58" i="4" s="1"/>
  <c r="BM58" i="4" s="1"/>
  <c r="AE13" i="4"/>
  <c r="BL13" i="4" s="1"/>
  <c r="AE21" i="4"/>
  <c r="BL21" i="4" s="1"/>
  <c r="BM21" i="4" s="1"/>
  <c r="AE29" i="4"/>
  <c r="BL29" i="4" s="1"/>
  <c r="BM29" i="4" s="1"/>
  <c r="AE37" i="4"/>
  <c r="BL37" i="4" s="1"/>
  <c r="BM37" i="4" s="1"/>
  <c r="AE45" i="4"/>
  <c r="BL45" i="4" s="1"/>
  <c r="BM45" i="4" s="1"/>
  <c r="AE53" i="4"/>
  <c r="BL53" i="4" s="1"/>
  <c r="BM53" i="4" s="1"/>
  <c r="AE61" i="4"/>
  <c r="BL61" i="4" s="1"/>
  <c r="BM61" i="4" s="1"/>
  <c r="AE42" i="4"/>
  <c r="BL42" i="4" s="1"/>
  <c r="BM42" i="4" s="1"/>
  <c r="AE14" i="4"/>
  <c r="BL14" i="4" s="1"/>
  <c r="AE22" i="4"/>
  <c r="BL22" i="4" s="1"/>
  <c r="BM22" i="4" s="1"/>
  <c r="AE30" i="4"/>
  <c r="BL30" i="4" s="1"/>
  <c r="BM30" i="4" s="1"/>
  <c r="AE38" i="4"/>
  <c r="BL38" i="4" s="1"/>
  <c r="BM38" i="4" s="1"/>
  <c r="AE46" i="4"/>
  <c r="BL46" i="4" s="1"/>
  <c r="BM46" i="4" s="1"/>
  <c r="AE54" i="4"/>
  <c r="BL54" i="4" s="1"/>
  <c r="BM54" i="4" s="1"/>
  <c r="AE50" i="4"/>
  <c r="BL50" i="4" s="1"/>
  <c r="BM50" i="4" s="1"/>
  <c r="AE15" i="4"/>
  <c r="BL15" i="4" s="1"/>
  <c r="AE23" i="4"/>
  <c r="BL23" i="4" s="1"/>
  <c r="BM23" i="4" s="1"/>
  <c r="AE31" i="4"/>
  <c r="BL31" i="4" s="1"/>
  <c r="BM31" i="4" s="1"/>
  <c r="AE39" i="4"/>
  <c r="BL39" i="4" s="1"/>
  <c r="BM39" i="4" s="1"/>
  <c r="AE47" i="4"/>
  <c r="BL47" i="4" s="1"/>
  <c r="BM47" i="4" s="1"/>
  <c r="AE55" i="4"/>
  <c r="BL55" i="4" s="1"/>
  <c r="BM55" i="4" s="1"/>
  <c r="AE18" i="4"/>
  <c r="BL18" i="4" s="1"/>
  <c r="AE16" i="4"/>
  <c r="BL16" i="4" s="1"/>
  <c r="AE24" i="4"/>
  <c r="BL24" i="4" s="1"/>
  <c r="BM24" i="4" s="1"/>
  <c r="AE32" i="4"/>
  <c r="BL32" i="4" s="1"/>
  <c r="BM32" i="4" s="1"/>
  <c r="AE40" i="4"/>
  <c r="BL40" i="4" s="1"/>
  <c r="BM40" i="4" s="1"/>
  <c r="AE48" i="4"/>
  <c r="BL48" i="4" s="1"/>
  <c r="BM48" i="4" s="1"/>
  <c r="AE56" i="4"/>
  <c r="BL56" i="4" s="1"/>
  <c r="BM56" i="4" s="1"/>
  <c r="AE26" i="4"/>
  <c r="BL26" i="4" s="1"/>
  <c r="BM26" i="4" s="1"/>
  <c r="AE17" i="4"/>
  <c r="BL17" i="4" s="1"/>
  <c r="AE25" i="4"/>
  <c r="BL25" i="4" s="1"/>
  <c r="BM25" i="4" s="1"/>
  <c r="AE33" i="4"/>
  <c r="BL33" i="4" s="1"/>
  <c r="BM33" i="4" s="1"/>
  <c r="AE41" i="4"/>
  <c r="BL41" i="4" s="1"/>
  <c r="BM41" i="4" s="1"/>
  <c r="AE49" i="4"/>
  <c r="BL49" i="4" s="1"/>
  <c r="BM49" i="4" s="1"/>
  <c r="AE57" i="4"/>
  <c r="BL57" i="4" s="1"/>
  <c r="BM57" i="4" s="1"/>
  <c r="AC11" i="4"/>
  <c r="AC19" i="4"/>
  <c r="AC27" i="4"/>
  <c r="AC35" i="4"/>
  <c r="AC43" i="4"/>
  <c r="AC51" i="4"/>
  <c r="AC59" i="4"/>
  <c r="AC56" i="4"/>
  <c r="AC57" i="4"/>
  <c r="AC26" i="4"/>
  <c r="AC12" i="4"/>
  <c r="AC20" i="4"/>
  <c r="AC28" i="4"/>
  <c r="AC36" i="4"/>
  <c r="AC44" i="4"/>
  <c r="AC52" i="4"/>
  <c r="AC60" i="4"/>
  <c r="AC32" i="4"/>
  <c r="AC18" i="4"/>
  <c r="AC13" i="4"/>
  <c r="AC21" i="4"/>
  <c r="AC29" i="4"/>
  <c r="AC37" i="4"/>
  <c r="AC45" i="4"/>
  <c r="AC53" i="4"/>
  <c r="AC61" i="4"/>
  <c r="AC41" i="4"/>
  <c r="AC14" i="4"/>
  <c r="AC22" i="4"/>
  <c r="AC30" i="4"/>
  <c r="AC38" i="4"/>
  <c r="AC46" i="4"/>
  <c r="AC54" i="4"/>
  <c r="AC40" i="4"/>
  <c r="AC58" i="4"/>
  <c r="AC15" i="4"/>
  <c r="AC23" i="4"/>
  <c r="AC31" i="4"/>
  <c r="AC39" i="4"/>
  <c r="AC47" i="4"/>
  <c r="AC55" i="4"/>
  <c r="AC49" i="4"/>
  <c r="AC50" i="4"/>
  <c r="AC16" i="4"/>
  <c r="AC24" i="4"/>
  <c r="AC48" i="4"/>
  <c r="AC34" i="4"/>
  <c r="AC17" i="4"/>
  <c r="AC25" i="4"/>
  <c r="AC33" i="4"/>
  <c r="AC42" i="4"/>
  <c r="AB11" i="4"/>
  <c r="AB19" i="4"/>
  <c r="AB27" i="4"/>
  <c r="AB35" i="4"/>
  <c r="AB43" i="4"/>
  <c r="AB51" i="4"/>
  <c r="AB59" i="4"/>
  <c r="AB16" i="4"/>
  <c r="AB41" i="4"/>
  <c r="AB58" i="4"/>
  <c r="AB12" i="4"/>
  <c r="AB20" i="4"/>
  <c r="AB28" i="4"/>
  <c r="AB36" i="4"/>
  <c r="AB44" i="4"/>
  <c r="AB52" i="4"/>
  <c r="AB60" i="4"/>
  <c r="AB55" i="4"/>
  <c r="AB32" i="4"/>
  <c r="AB56" i="4"/>
  <c r="AB33" i="4"/>
  <c r="AB34" i="4"/>
  <c r="AB13" i="4"/>
  <c r="AB21" i="4"/>
  <c r="AB29" i="4"/>
  <c r="AB37" i="4"/>
  <c r="AB45" i="4"/>
  <c r="AB53" i="4"/>
  <c r="AB61" i="4"/>
  <c r="AB24" i="4"/>
  <c r="AB48" i="4"/>
  <c r="AB25" i="4"/>
  <c r="AB57" i="4"/>
  <c r="AB42" i="4"/>
  <c r="AB14" i="4"/>
  <c r="AB22" i="4"/>
  <c r="AB30" i="4"/>
  <c r="AB38" i="4"/>
  <c r="AB46" i="4"/>
  <c r="AB54" i="4"/>
  <c r="AB40" i="4"/>
  <c r="AB17" i="4"/>
  <c r="AB49" i="4"/>
  <c r="AB26" i="4"/>
  <c r="AB15" i="4"/>
  <c r="AB23" i="4"/>
  <c r="AB31" i="4"/>
  <c r="AB39" i="4"/>
  <c r="AB47" i="4"/>
  <c r="AB18" i="4"/>
  <c r="AB50" i="4"/>
  <c r="AA11" i="4"/>
  <c r="AA19" i="4"/>
  <c r="AA27" i="4"/>
  <c r="AA35" i="4"/>
  <c r="AA43" i="4"/>
  <c r="AA51" i="4"/>
  <c r="AA59" i="4"/>
  <c r="AA32" i="4"/>
  <c r="AA56" i="4"/>
  <c r="AA25" i="4"/>
  <c r="AA58" i="4"/>
  <c r="AA12" i="4"/>
  <c r="AA20" i="4"/>
  <c r="AA28" i="4"/>
  <c r="AA36" i="4"/>
  <c r="AA44" i="4"/>
  <c r="AA52" i="4"/>
  <c r="AA60" i="4"/>
  <c r="AA17" i="4"/>
  <c r="AA34" i="4"/>
  <c r="AA13" i="4"/>
  <c r="AA21" i="4"/>
  <c r="AA29" i="4"/>
  <c r="AA37" i="4"/>
  <c r="AA45" i="4"/>
  <c r="AA53" i="4"/>
  <c r="AA61" i="4"/>
  <c r="AA33" i="4"/>
  <c r="AA18" i="4"/>
  <c r="AA14" i="4"/>
  <c r="AA22" i="4"/>
  <c r="AA30" i="4"/>
  <c r="AA38" i="4"/>
  <c r="AA46" i="4"/>
  <c r="AA54" i="4"/>
  <c r="AA40" i="4"/>
  <c r="AA57" i="4"/>
  <c r="AA50" i="4"/>
  <c r="AA15" i="4"/>
  <c r="AA23" i="4"/>
  <c r="AA31" i="4"/>
  <c r="AA39" i="4"/>
  <c r="AA47" i="4"/>
  <c r="AA55" i="4"/>
  <c r="AA24" i="4"/>
  <c r="AA48" i="4"/>
  <c r="AA49" i="4"/>
  <c r="AA26" i="4"/>
  <c r="AA16" i="4"/>
  <c r="AA41" i="4"/>
  <c r="AA42" i="4"/>
  <c r="BI11" i="4"/>
  <c r="BI19" i="4"/>
  <c r="BI27" i="4"/>
  <c r="BI35" i="4"/>
  <c r="BI33" i="4"/>
  <c r="BI12" i="4"/>
  <c r="BI20" i="4"/>
  <c r="BI28" i="4"/>
  <c r="BI36" i="4"/>
  <c r="BI17" i="4"/>
  <c r="BI13" i="4"/>
  <c r="BI21" i="4"/>
  <c r="BI29" i="4"/>
  <c r="BI37" i="4"/>
  <c r="BI14" i="4"/>
  <c r="BI22" i="4"/>
  <c r="BI30" i="4"/>
  <c r="BI38" i="4"/>
  <c r="BI15" i="4"/>
  <c r="BI23" i="4"/>
  <c r="BI31" i="4"/>
  <c r="BI39" i="4"/>
  <c r="BI25" i="4"/>
  <c r="BI16" i="4"/>
  <c r="BI24" i="4"/>
  <c r="BI32" i="4"/>
  <c r="BI18" i="4"/>
  <c r="BI26" i="4"/>
  <c r="BI34" i="4"/>
  <c r="BH11" i="4"/>
  <c r="BH19" i="4"/>
  <c r="BH27" i="4"/>
  <c r="BH35" i="4"/>
  <c r="BH12" i="4"/>
  <c r="BH20" i="4"/>
  <c r="BH28" i="4"/>
  <c r="BH36" i="4"/>
  <c r="BH13" i="4"/>
  <c r="BH21" i="4"/>
  <c r="BH29" i="4"/>
  <c r="BH37" i="4"/>
  <c r="BH33" i="4"/>
  <c r="BH18" i="4"/>
  <c r="BH14" i="4"/>
  <c r="BH22" i="4"/>
  <c r="BH30" i="4"/>
  <c r="BH38" i="4"/>
  <c r="BH34" i="4"/>
  <c r="BH15" i="4"/>
  <c r="BH23" i="4"/>
  <c r="BH31" i="4"/>
  <c r="BH39" i="4"/>
  <c r="BH17" i="4"/>
  <c r="BH16" i="4"/>
  <c r="BH24" i="4"/>
  <c r="BH32" i="4"/>
  <c r="BH25" i="4"/>
  <c r="BH26" i="4"/>
  <c r="CC11" i="4"/>
  <c r="CB11" i="4"/>
  <c r="BM11" i="4"/>
  <c r="BM19" i="4"/>
  <c r="BM12" i="4"/>
  <c r="BM13" i="4"/>
  <c r="BM18" i="4"/>
  <c r="BM14" i="4"/>
  <c r="BM15" i="4"/>
  <c r="BM16" i="4"/>
  <c r="BM17" i="4"/>
  <c r="BG11" i="4"/>
  <c r="BG19" i="4"/>
  <c r="BG27" i="4"/>
  <c r="BG35" i="4"/>
  <c r="BG15" i="4"/>
  <c r="BG39" i="4"/>
  <c r="BG34" i="4"/>
  <c r="BG12" i="4"/>
  <c r="BG20" i="4"/>
  <c r="BG28" i="4"/>
  <c r="BG36" i="4"/>
  <c r="BG31" i="4"/>
  <c r="BG13" i="4"/>
  <c r="BG21" i="4"/>
  <c r="BG29" i="4"/>
  <c r="BG37" i="4"/>
  <c r="BG23" i="4"/>
  <c r="BG26" i="4"/>
  <c r="BG14" i="4"/>
  <c r="BG22" i="4"/>
  <c r="BG30" i="4"/>
  <c r="BG38" i="4"/>
  <c r="BG16" i="4"/>
  <c r="BG24" i="4"/>
  <c r="BG32" i="4"/>
  <c r="BG17" i="4"/>
  <c r="BG25" i="4"/>
  <c r="BG33" i="4"/>
  <c r="BG18" i="4"/>
  <c r="AM14" i="4"/>
  <c r="CN8"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BV8" i="4"/>
  <c r="BV9" i="4" s="1"/>
  <c r="DM18" i="4"/>
  <c r="CA8" i="4" l="1"/>
  <c r="CA9" i="4" s="1"/>
  <c r="CC25" i="4" s="1"/>
  <c r="Z80" i="4"/>
  <c r="Z81" i="4"/>
  <c r="Z78" i="4"/>
  <c r="Z79" i="4"/>
  <c r="Z76" i="4"/>
  <c r="Z77" i="4"/>
  <c r="CB30" i="4"/>
  <c r="CB25" i="4"/>
  <c r="CB21" i="4"/>
  <c r="CB20" i="4"/>
  <c r="CB50" i="4"/>
  <c r="CB46" i="4"/>
  <c r="CB54" i="4"/>
  <c r="CB55" i="4"/>
  <c r="CA49" i="4"/>
  <c r="CA47" i="4"/>
  <c r="Z74" i="4"/>
  <c r="Z75" i="4"/>
  <c r="Z15" i="4"/>
  <c r="Z23" i="4"/>
  <c r="Z31" i="4"/>
  <c r="Z39" i="4"/>
  <c r="Z47" i="4"/>
  <c r="Z55" i="4"/>
  <c r="Z63" i="4"/>
  <c r="Z71" i="4"/>
  <c r="Z42" i="4"/>
  <c r="Z16" i="4"/>
  <c r="Z24" i="4"/>
  <c r="Z32" i="4"/>
  <c r="Z40" i="4"/>
  <c r="Z48" i="4"/>
  <c r="Z56" i="4"/>
  <c r="Z64" i="4"/>
  <c r="Z72" i="4"/>
  <c r="Z18" i="4"/>
  <c r="Z58" i="4"/>
  <c r="Z17" i="4"/>
  <c r="Z25" i="4"/>
  <c r="Z33" i="4"/>
  <c r="Z41" i="4"/>
  <c r="Z49" i="4"/>
  <c r="Z57" i="4"/>
  <c r="Z65" i="4"/>
  <c r="Z73" i="4"/>
  <c r="Z11" i="4"/>
  <c r="Z19" i="4"/>
  <c r="Z27" i="4"/>
  <c r="Z35" i="4"/>
  <c r="Z43" i="4"/>
  <c r="Z51" i="4"/>
  <c r="Z59" i="4"/>
  <c r="Z67" i="4"/>
  <c r="Z12" i="4"/>
  <c r="Z20" i="4"/>
  <c r="Z28" i="4"/>
  <c r="Z36" i="4"/>
  <c r="Z44" i="4"/>
  <c r="Z52" i="4"/>
  <c r="Z60" i="4"/>
  <c r="Z68" i="4"/>
  <c r="Z13" i="4"/>
  <c r="Z21" i="4"/>
  <c r="Z29" i="4"/>
  <c r="Z37" i="4"/>
  <c r="Z45" i="4"/>
  <c r="Z53" i="4"/>
  <c r="Z61" i="4"/>
  <c r="Z69" i="4"/>
  <c r="Z34" i="4"/>
  <c r="Z50" i="4"/>
  <c r="Z14" i="4"/>
  <c r="Z22" i="4"/>
  <c r="Z30" i="4"/>
  <c r="Z38" i="4"/>
  <c r="Z46" i="4"/>
  <c r="Z54" i="4"/>
  <c r="Z62" i="4"/>
  <c r="Z70" i="4"/>
  <c r="Z26" i="4"/>
  <c r="Z66" i="4"/>
  <c r="CN9" i="4"/>
  <c r="CN82" i="4" s="1"/>
  <c r="BX11" i="4"/>
  <c r="DD18" i="4"/>
  <c r="X9" i="4"/>
  <c r="X80" i="4" s="1"/>
  <c r="EO20" i="4"/>
  <c r="EO21" i="4"/>
  <c r="EP22" i="4"/>
  <c r="EO19" i="4"/>
  <c r="DN19" i="4"/>
  <c r="DN20" i="4"/>
  <c r="DK18" i="4"/>
  <c r="DN18" i="4"/>
  <c r="BW3" i="4" l="1"/>
  <c r="DS20" i="4"/>
  <c r="CN80" i="4"/>
  <c r="CN81" i="4"/>
  <c r="X78" i="4"/>
  <c r="X79" i="4"/>
  <c r="CN78" i="4"/>
  <c r="CN79" i="4"/>
  <c r="X76" i="4"/>
  <c r="X77" i="4"/>
  <c r="CC19" i="4"/>
  <c r="CC59" i="4"/>
  <c r="CC13" i="4"/>
  <c r="CC24" i="4"/>
  <c r="CC29" i="4"/>
  <c r="CC39" i="4"/>
  <c r="CC44" i="4"/>
  <c r="CC52" i="4"/>
  <c r="CC46" i="4"/>
  <c r="CC14" i="4"/>
  <c r="CC32" i="4"/>
  <c r="CC48" i="4"/>
  <c r="CC34" i="4"/>
  <c r="CC23" i="4"/>
  <c r="CC50" i="4"/>
  <c r="CC42" i="4"/>
  <c r="CC53" i="4"/>
  <c r="CC28" i="4"/>
  <c r="CC27" i="4"/>
  <c r="CC22" i="4"/>
  <c r="CC41" i="4"/>
  <c r="CC36" i="4"/>
  <c r="CC26" i="4"/>
  <c r="CC58" i="4"/>
  <c r="CC20" i="4"/>
  <c r="CC15" i="4"/>
  <c r="CC30" i="4"/>
  <c r="CC16" i="4"/>
  <c r="CC61" i="4"/>
  <c r="CC18" i="4"/>
  <c r="CC38" i="4"/>
  <c r="CC12" i="4"/>
  <c r="CC37" i="4"/>
  <c r="CC55" i="4"/>
  <c r="CC31" i="4"/>
  <c r="CC35" i="4"/>
  <c r="CC43" i="4"/>
  <c r="CC54" i="4"/>
  <c r="CC51" i="4"/>
  <c r="CC60" i="4"/>
  <c r="CC21" i="4"/>
  <c r="CC56" i="4"/>
  <c r="CC17" i="4"/>
  <c r="CC57" i="4"/>
  <c r="CC45" i="4"/>
  <c r="CC33" i="4"/>
  <c r="CC40" i="4"/>
  <c r="CB49" i="4"/>
  <c r="CC49" i="4"/>
  <c r="CB47" i="4"/>
  <c r="CC47" i="4"/>
  <c r="CN76" i="4"/>
  <c r="CN77" i="4"/>
  <c r="X74" i="4"/>
  <c r="X75" i="4"/>
  <c r="DS19" i="4"/>
  <c r="CN54" i="4"/>
  <c r="CN75" i="4"/>
  <c r="CN62" i="4"/>
  <c r="CN70" i="4"/>
  <c r="CN55" i="4"/>
  <c r="CP55" i="4" s="1"/>
  <c r="CN63" i="4"/>
  <c r="CN71" i="4"/>
  <c r="CN61" i="4"/>
  <c r="CP61" i="4" s="1"/>
  <c r="CN56" i="4"/>
  <c r="CP56" i="4" s="1"/>
  <c r="CN64" i="4"/>
  <c r="CN72" i="4"/>
  <c r="CN57" i="4"/>
  <c r="CP57" i="4" s="1"/>
  <c r="CN65" i="4"/>
  <c r="CN73" i="4"/>
  <c r="CN69" i="4"/>
  <c r="CN58" i="4"/>
  <c r="CP58" i="4" s="1"/>
  <c r="CN66" i="4"/>
  <c r="CN74" i="4"/>
  <c r="CN59" i="4"/>
  <c r="CP59" i="4" s="1"/>
  <c r="CN67" i="4"/>
  <c r="CN60" i="4"/>
  <c r="CP60" i="4" s="1"/>
  <c r="CN68" i="4"/>
  <c r="X72" i="4"/>
  <c r="X73" i="4"/>
  <c r="DV20" i="4" a="1"/>
  <c r="DV20" i="4" s="1"/>
  <c r="X16" i="4"/>
  <c r="X24" i="4"/>
  <c r="X32" i="4"/>
  <c r="X40" i="4"/>
  <c r="X48" i="4"/>
  <c r="X56" i="4"/>
  <c r="X64" i="4"/>
  <c r="X13" i="4"/>
  <c r="X21" i="4"/>
  <c r="X37" i="4"/>
  <c r="X17" i="4"/>
  <c r="X25" i="4"/>
  <c r="X33" i="4"/>
  <c r="X41" i="4"/>
  <c r="X49" i="4"/>
  <c r="X57" i="4"/>
  <c r="X65" i="4"/>
  <c r="X69" i="4"/>
  <c r="X18" i="4"/>
  <c r="X26" i="4"/>
  <c r="X34" i="4"/>
  <c r="X42" i="4"/>
  <c r="X50" i="4"/>
  <c r="X58" i="4"/>
  <c r="X66" i="4"/>
  <c r="X45" i="4"/>
  <c r="X11" i="4"/>
  <c r="X19" i="4"/>
  <c r="X27" i="4"/>
  <c r="X35" i="4"/>
  <c r="X43" i="4"/>
  <c r="X51" i="4"/>
  <c r="X59" i="4"/>
  <c r="X67" i="4"/>
  <c r="X29" i="4"/>
  <c r="X53" i="4"/>
  <c r="X12" i="4"/>
  <c r="X20" i="4"/>
  <c r="X28" i="4"/>
  <c r="X36" i="4"/>
  <c r="X44" i="4"/>
  <c r="X52" i="4"/>
  <c r="X60" i="4"/>
  <c r="X68" i="4"/>
  <c r="X61" i="4"/>
  <c r="X14" i="4"/>
  <c r="X22" i="4"/>
  <c r="X30" i="4"/>
  <c r="X38" i="4"/>
  <c r="X46" i="4"/>
  <c r="X54" i="4"/>
  <c r="X62" i="4"/>
  <c r="X70" i="4"/>
  <c r="X15" i="4"/>
  <c r="X23" i="4"/>
  <c r="X31" i="4"/>
  <c r="X39" i="4"/>
  <c r="X47" i="4"/>
  <c r="X55" i="4"/>
  <c r="X63" i="4"/>
  <c r="X71" i="4"/>
  <c r="DS18" i="4"/>
  <c r="DT16" i="4"/>
  <c r="ED18" i="4" l="1"/>
  <c r="EE18" i="4" l="1"/>
  <c r="BZ11" i="4"/>
  <c r="BZ19" i="4"/>
  <c r="BZ27" i="4"/>
  <c r="BZ35" i="4"/>
  <c r="BZ43" i="4"/>
  <c r="BZ51" i="4"/>
  <c r="BZ59" i="4"/>
  <c r="BZ42" i="4"/>
  <c r="BZ12" i="4"/>
  <c r="BZ20" i="4"/>
  <c r="BZ28" i="4"/>
  <c r="BZ36" i="4"/>
  <c r="BZ44" i="4"/>
  <c r="BZ52" i="4"/>
  <c r="BZ60" i="4"/>
  <c r="BZ26" i="4"/>
  <c r="BZ13" i="4"/>
  <c r="BZ21" i="4"/>
  <c r="BZ29" i="4"/>
  <c r="BZ37" i="4"/>
  <c r="BZ45" i="4"/>
  <c r="BZ53" i="4"/>
  <c r="BZ61" i="4"/>
  <c r="BZ34" i="4"/>
  <c r="BZ14" i="4"/>
  <c r="BZ22" i="4"/>
  <c r="BZ30" i="4"/>
  <c r="BZ38" i="4"/>
  <c r="BZ46" i="4"/>
  <c r="BZ54" i="4"/>
  <c r="BZ58" i="4"/>
  <c r="BZ15" i="4"/>
  <c r="BZ23" i="4"/>
  <c r="BZ31" i="4"/>
  <c r="BZ39" i="4"/>
  <c r="BZ47" i="4"/>
  <c r="BZ55" i="4"/>
  <c r="BZ50" i="4"/>
  <c r="BZ16" i="4"/>
  <c r="BZ24" i="4"/>
  <c r="BZ32" i="4"/>
  <c r="BZ40" i="4"/>
  <c r="BZ48" i="4"/>
  <c r="BZ56" i="4"/>
  <c r="BZ17" i="4"/>
  <c r="BZ25" i="4"/>
  <c r="BZ33" i="4"/>
  <c r="BZ41" i="4"/>
  <c r="BZ49" i="4"/>
  <c r="BZ57" i="4"/>
  <c r="BZ18" i="4"/>
  <c r="AX11" i="4"/>
  <c r="AX12" i="4"/>
  <c r="AX13" i="4"/>
  <c r="AX14" i="4"/>
  <c r="AX15" i="4"/>
  <c r="AX16" i="4"/>
  <c r="AX17" i="4"/>
  <c r="AX18" i="4"/>
  <c r="AT11" i="4"/>
  <c r="AT12" i="4"/>
  <c r="AT13" i="4"/>
  <c r="AT14" i="4"/>
  <c r="AR11" i="4"/>
  <c r="AR12" i="4"/>
  <c r="AR13" i="4"/>
  <c r="AR14" i="4"/>
  <c r="AP11" i="4"/>
  <c r="CQ11" i="4" s="1"/>
  <c r="AP12" i="4"/>
  <c r="CQ12" i="4" s="1"/>
  <c r="AP13" i="4"/>
  <c r="CQ13" i="4" s="1"/>
  <c r="AP14" i="4"/>
  <c r="CQ14" i="4" s="1"/>
  <c r="AP15" i="4"/>
  <c r="AP16" i="4"/>
  <c r="AP17" i="4"/>
  <c r="AP18" i="4"/>
  <c r="AP19" i="4"/>
  <c r="AP20" i="4"/>
  <c r="AP21" i="4"/>
  <c r="AP22" i="4"/>
  <c r="AP23" i="4"/>
  <c r="AP24" i="4"/>
  <c r="AP25" i="4"/>
  <c r="AP26" i="4"/>
  <c r="AP27" i="4"/>
  <c r="AP28" i="4"/>
  <c r="AP29" i="4"/>
  <c r="AP30" i="4"/>
  <c r="AP31" i="4"/>
  <c r="AP32" i="4"/>
  <c r="AP33" i="4"/>
  <c r="AP34" i="4"/>
  <c r="AP35" i="4"/>
  <c r="AP36" i="4"/>
  <c r="AP37" i="4"/>
  <c r="AP38" i="4"/>
  <c r="AP39" i="4"/>
  <c r="AP40" i="4"/>
  <c r="AP41" i="4"/>
  <c r="AP42" i="4"/>
  <c r="AP43" i="4"/>
  <c r="AP44" i="4"/>
  <c r="AP45" i="4"/>
  <c r="AP46" i="4"/>
  <c r="AP47" i="4"/>
  <c r="AP48" i="4"/>
  <c r="AP49" i="4"/>
  <c r="AP50" i="4"/>
  <c r="AP51" i="4"/>
  <c r="AP52" i="4"/>
  <c r="AP53" i="4"/>
  <c r="AP54" i="4"/>
  <c r="AP55" i="4"/>
  <c r="AP56" i="4"/>
  <c r="AP57" i="4"/>
  <c r="AP58" i="4"/>
  <c r="AP59" i="4"/>
  <c r="AP60" i="4"/>
  <c r="AP61" i="4"/>
  <c r="BL8" i="4" l="1"/>
  <c r="BL9" i="4" s="1"/>
  <c r="BG8" i="4"/>
  <c r="BG9" i="4" s="1"/>
  <c r="BQ8" i="4"/>
  <c r="DM17" i="4"/>
  <c r="DM16" i="4"/>
  <c r="DH16" i="4"/>
  <c r="DD17" i="4"/>
  <c r="DD16"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T11" i="4"/>
  <c r="T12" i="4"/>
  <c r="T13" i="4"/>
  <c r="T14" i="4"/>
  <c r="T15" i="4"/>
  <c r="T16" i="4"/>
  <c r="T17" i="4"/>
  <c r="T18" i="4"/>
  <c r="T9" i="4"/>
  <c r="T71" i="4" s="1"/>
  <c r="R9" i="4"/>
  <c r="R18" i="4" s="1"/>
  <c r="DK16" i="4"/>
  <c r="DK17" i="4"/>
  <c r="DN16" i="4"/>
  <c r="DN17" i="4"/>
  <c r="T80" i="4" l="1"/>
  <c r="R79" i="4"/>
  <c r="R80" i="4"/>
  <c r="T79" i="4"/>
  <c r="DS16" i="4"/>
  <c r="R78" i="4"/>
  <c r="T78" i="4"/>
  <c r="R77" i="4"/>
  <c r="T77" i="4"/>
  <c r="BG54" i="4"/>
  <c r="BG44" i="4"/>
  <c r="BG45" i="4"/>
  <c r="BG58" i="4"/>
  <c r="BG52" i="4"/>
  <c r="BG53" i="4"/>
  <c r="BG55" i="4"/>
  <c r="BG41" i="4"/>
  <c r="BG60" i="4"/>
  <c r="BG50" i="4"/>
  <c r="BG61" i="4"/>
  <c r="BG40" i="4"/>
  <c r="BG42" i="4"/>
  <c r="BG57" i="4"/>
  <c r="BG43" i="4"/>
  <c r="BG48" i="4"/>
  <c r="BG46" i="4"/>
  <c r="BG51" i="4"/>
  <c r="BG47" i="4"/>
  <c r="BG56" i="4"/>
  <c r="BG49" i="4"/>
  <c r="BG59" i="4"/>
  <c r="T76" i="4"/>
  <c r="R76" i="4"/>
  <c r="R75" i="4"/>
  <c r="T75" i="4"/>
  <c r="T74" i="4"/>
  <c r="R74" i="4"/>
  <c r="R73" i="4"/>
  <c r="T73" i="4"/>
  <c r="T72" i="4"/>
  <c r="R72" i="4"/>
  <c r="T28" i="4"/>
  <c r="R71" i="4"/>
  <c r="R70" i="4"/>
  <c r="AW15" i="4"/>
  <c r="AY15" i="4" s="1"/>
  <c r="AW14" i="4"/>
  <c r="AY14" i="4" s="1"/>
  <c r="AW13" i="4"/>
  <c r="AY13" i="4" s="1"/>
  <c r="AW12" i="4"/>
  <c r="AY12" i="4" s="1"/>
  <c r="AW16" i="4"/>
  <c r="AY16" i="4" s="1"/>
  <c r="AW18" i="4"/>
  <c r="AY18" i="4" s="1"/>
  <c r="AW17" i="4"/>
  <c r="AY17" i="4" s="1"/>
  <c r="T70" i="4"/>
  <c r="R68" i="4"/>
  <c r="R69" i="4"/>
  <c r="T69" i="4"/>
  <c r="T68" i="4"/>
  <c r="DS17" i="4"/>
  <c r="BN16" i="4"/>
  <c r="BN11" i="4"/>
  <c r="BN18" i="4"/>
  <c r="BN17" i="4"/>
  <c r="BN55" i="4"/>
  <c r="BN15" i="4"/>
  <c r="BN14" i="4"/>
  <c r="BN13" i="4"/>
  <c r="BN12" i="4"/>
  <c r="R25" i="4"/>
  <c r="R33" i="4"/>
  <c r="R17" i="4"/>
  <c r="R65" i="4"/>
  <c r="R57" i="4"/>
  <c r="R49" i="4"/>
  <c r="R41" i="4"/>
  <c r="T43" i="4"/>
  <c r="R32" i="4"/>
  <c r="T26" i="4"/>
  <c r="T20" i="4"/>
  <c r="R63" i="4"/>
  <c r="R55" i="4"/>
  <c r="R47" i="4"/>
  <c r="R39" i="4"/>
  <c r="R31" i="4"/>
  <c r="R23" i="4"/>
  <c r="R15" i="4"/>
  <c r="T65" i="4"/>
  <c r="T57" i="4"/>
  <c r="T49" i="4"/>
  <c r="T41" i="4"/>
  <c r="T33" i="4"/>
  <c r="T25" i="4"/>
  <c r="T35" i="4"/>
  <c r="R64" i="4"/>
  <c r="R16" i="4"/>
  <c r="T42" i="4"/>
  <c r="R62" i="4"/>
  <c r="R54" i="4"/>
  <c r="R46" i="4"/>
  <c r="R38" i="4"/>
  <c r="R30" i="4"/>
  <c r="R22" i="4"/>
  <c r="R14" i="4"/>
  <c r="T64" i="4"/>
  <c r="T56" i="4"/>
  <c r="T48" i="4"/>
  <c r="T40" i="4"/>
  <c r="T32" i="4"/>
  <c r="T24" i="4"/>
  <c r="T67" i="4"/>
  <c r="R40" i="4"/>
  <c r="T58" i="4"/>
  <c r="T19" i="4"/>
  <c r="R61" i="4"/>
  <c r="R53" i="4"/>
  <c r="R45" i="4"/>
  <c r="R37" i="4"/>
  <c r="R29" i="4"/>
  <c r="R21" i="4"/>
  <c r="R13" i="4"/>
  <c r="T63" i="4"/>
  <c r="T55" i="4"/>
  <c r="T47" i="4"/>
  <c r="T39" i="4"/>
  <c r="T31" i="4"/>
  <c r="T23" i="4"/>
  <c r="T51" i="4"/>
  <c r="R11" i="4"/>
  <c r="R56" i="4"/>
  <c r="R24" i="4"/>
  <c r="T66" i="4"/>
  <c r="T50" i="4"/>
  <c r="R60" i="4"/>
  <c r="R52" i="4"/>
  <c r="R44" i="4"/>
  <c r="R36" i="4"/>
  <c r="R28" i="4"/>
  <c r="R20" i="4"/>
  <c r="R12" i="4"/>
  <c r="T62" i="4"/>
  <c r="T54" i="4"/>
  <c r="T46" i="4"/>
  <c r="T38" i="4"/>
  <c r="T30" i="4"/>
  <c r="T22" i="4"/>
  <c r="T27" i="4"/>
  <c r="R48" i="4"/>
  <c r="T34" i="4"/>
  <c r="R67" i="4"/>
  <c r="R59" i="4"/>
  <c r="R51" i="4"/>
  <c r="R43" i="4"/>
  <c r="R35" i="4"/>
  <c r="R27" i="4"/>
  <c r="R19" i="4"/>
  <c r="T61" i="4"/>
  <c r="T53" i="4"/>
  <c r="T45" i="4"/>
  <c r="T37" i="4"/>
  <c r="T29" i="4"/>
  <c r="T21" i="4"/>
  <c r="T59" i="4"/>
  <c r="R66" i="4"/>
  <c r="R58" i="4"/>
  <c r="R50" i="4"/>
  <c r="R42" i="4"/>
  <c r="R34" i="4"/>
  <c r="R26" i="4"/>
  <c r="T60" i="4"/>
  <c r="T52" i="4"/>
  <c r="T44" i="4"/>
  <c r="T36" i="4"/>
  <c r="V123" i="4"/>
  <c r="W123" i="4"/>
  <c r="ED16" i="4" l="1"/>
  <c r="ED17" i="4"/>
  <c r="BH46" i="4"/>
  <c r="BI46" i="4"/>
  <c r="BH59" i="4"/>
  <c r="BI59" i="4"/>
  <c r="BH51" i="4"/>
  <c r="BI51" i="4"/>
  <c r="BH52" i="4"/>
  <c r="BI52" i="4"/>
  <c r="BI49" i="4"/>
  <c r="BH49" i="4"/>
  <c r="BI56" i="4"/>
  <c r="BH56" i="4"/>
  <c r="BI45" i="4"/>
  <c r="BH45" i="4"/>
  <c r="BH40" i="4"/>
  <c r="BI40" i="4"/>
  <c r="BI54" i="4"/>
  <c r="BH54" i="4"/>
  <c r="BH47" i="4"/>
  <c r="BI47" i="4"/>
  <c r="BH41" i="4"/>
  <c r="BI41" i="4"/>
  <c r="BH60" i="4"/>
  <c r="BI60" i="4"/>
  <c r="BI48" i="4"/>
  <c r="BH48" i="4"/>
  <c r="BH43" i="4"/>
  <c r="BI43" i="4"/>
  <c r="BH53" i="4"/>
  <c r="BI53" i="4"/>
  <c r="BH58" i="4"/>
  <c r="BI58" i="4"/>
  <c r="BH44" i="4"/>
  <c r="BI44" i="4"/>
  <c r="BH42" i="4"/>
  <c r="BI42" i="4"/>
  <c r="BH57" i="4"/>
  <c r="BI57" i="4"/>
  <c r="BH61" i="4"/>
  <c r="BI61" i="4"/>
  <c r="BH55" i="4"/>
  <c r="BI55" i="4"/>
  <c r="BH50" i="4"/>
  <c r="BI50" i="4"/>
  <c r="DV18" i="4"/>
  <c r="BN23" i="4"/>
  <c r="BN47" i="4"/>
  <c r="BN39" i="4"/>
  <c r="BN31" i="4"/>
  <c r="BN30" i="4"/>
  <c r="BN59" i="4"/>
  <c r="BN29" i="4"/>
  <c r="BN46" i="4"/>
  <c r="BN37" i="4"/>
  <c r="BN54" i="4"/>
  <c r="BN20" i="4"/>
  <c r="BN50" i="4"/>
  <c r="BN51" i="4"/>
  <c r="BN25" i="4"/>
  <c r="BN19" i="4"/>
  <c r="BN56" i="4"/>
  <c r="BN42" i="4"/>
  <c r="BN43" i="4"/>
  <c r="BN60" i="4"/>
  <c r="BN26" i="4"/>
  <c r="BN34" i="4"/>
  <c r="BN40" i="4"/>
  <c r="BN27" i="4"/>
  <c r="BN49" i="4"/>
  <c r="BN44" i="4"/>
  <c r="BN35" i="4"/>
  <c r="BN61" i="4"/>
  <c r="BN52" i="4"/>
  <c r="BN38" i="4"/>
  <c r="BN22" i="4"/>
  <c r="BN21" i="4"/>
  <c r="BN24" i="4"/>
  <c r="BN48" i="4"/>
  <c r="BN28" i="4"/>
  <c r="BN32" i="4"/>
  <c r="BN53" i="4"/>
  <c r="BN33" i="4"/>
  <c r="BN45" i="4"/>
  <c r="BN41" i="4"/>
  <c r="BN58" i="4"/>
  <c r="BN36" i="4"/>
  <c r="BN57" i="4"/>
  <c r="DV17" i="4"/>
  <c r="DV16" i="4"/>
  <c r="BQ9" i="4"/>
  <c r="BB8" i="4"/>
  <c r="BB9" i="4" s="1"/>
  <c r="BK11" i="4" l="1"/>
  <c r="BK33" i="4"/>
  <c r="BK26" i="4"/>
  <c r="BK56" i="4"/>
  <c r="BK39" i="4"/>
  <c r="BK53" i="4"/>
  <c r="BK12" i="4"/>
  <c r="BK27" i="4"/>
  <c r="BK47" i="4"/>
  <c r="BK35" i="4"/>
  <c r="BK25" i="4"/>
  <c r="BK48" i="4"/>
  <c r="BK31" i="4"/>
  <c r="BK45" i="4"/>
  <c r="BK38" i="4"/>
  <c r="BK19" i="4"/>
  <c r="BK30" i="4"/>
  <c r="BK17" i="4"/>
  <c r="BK40" i="4"/>
  <c r="BK23" i="4"/>
  <c r="BK37" i="4"/>
  <c r="BK14" i="4"/>
  <c r="BK60" i="4"/>
  <c r="BK50" i="4"/>
  <c r="BK32" i="4"/>
  <c r="BK15" i="4"/>
  <c r="BK29" i="4"/>
  <c r="BK52" i="4"/>
  <c r="BK54" i="4"/>
  <c r="BK34" i="4"/>
  <c r="BK24" i="4"/>
  <c r="BK21" i="4"/>
  <c r="BK44" i="4"/>
  <c r="BK22" i="4"/>
  <c r="BK59" i="4"/>
  <c r="BK61" i="4"/>
  <c r="BK18" i="4"/>
  <c r="BK57" i="4"/>
  <c r="BK16" i="4"/>
  <c r="BK13" i="4"/>
  <c r="BK36" i="4"/>
  <c r="BK51" i="4"/>
  <c r="BK42" i="4"/>
  <c r="BK49" i="4"/>
  <c r="BK58" i="4"/>
  <c r="BK55" i="4"/>
  <c r="BK46" i="4"/>
  <c r="BK28" i="4"/>
  <c r="BK43" i="4"/>
  <c r="BK41" i="4"/>
  <c r="BK20" i="4"/>
  <c r="AJ9" i="4"/>
  <c r="AJ8" i="4"/>
  <c r="DH11" i="4"/>
  <c r="AE9" i="4"/>
  <c r="DD11" i="4"/>
  <c r="FC85" i="4"/>
  <c r="FE85" i="4"/>
  <c r="FF85" i="4"/>
  <c r="FH85" i="4"/>
  <c r="DK11" i="4"/>
  <c r="DN11" i="4"/>
  <c r="AJ14" i="4" l="1"/>
  <c r="AJ11" i="4"/>
  <c r="AJ13" i="4"/>
  <c r="AJ12" i="4"/>
  <c r="DS11" i="4"/>
  <c r="EQ12" i="4"/>
  <c r="EQ11" i="4"/>
  <c r="EP11" i="4"/>
  <c r="EP12" i="4" s="1"/>
  <c r="V9" i="4"/>
  <c r="P9" i="4"/>
  <c r="P80" i="4" s="1"/>
  <c r="N9" i="4"/>
  <c r="L9" i="4"/>
  <c r="L82" i="4" s="1"/>
  <c r="L3" i="4"/>
  <c r="L80" i="4" l="1"/>
  <c r="L81" i="4"/>
  <c r="P78" i="4"/>
  <c r="P79" i="4"/>
  <c r="L78" i="4"/>
  <c r="L79" i="4"/>
  <c r="P76" i="4"/>
  <c r="P77" i="4"/>
  <c r="L63" i="4"/>
  <c r="L77" i="4"/>
  <c r="L76" i="4"/>
  <c r="L75" i="4"/>
  <c r="L74" i="4"/>
  <c r="L72" i="4"/>
  <c r="L71" i="4"/>
  <c r="P74" i="4"/>
  <c r="P75" i="4"/>
  <c r="P14" i="4"/>
  <c r="P22" i="4"/>
  <c r="P33" i="4"/>
  <c r="P41" i="4"/>
  <c r="P49" i="4"/>
  <c r="P57" i="4"/>
  <c r="P65" i="4"/>
  <c r="P73" i="4"/>
  <c r="P52" i="4"/>
  <c r="P15" i="4"/>
  <c r="P23" i="4"/>
  <c r="P34" i="4"/>
  <c r="P42" i="4"/>
  <c r="P50" i="4"/>
  <c r="P58" i="4"/>
  <c r="P66" i="4"/>
  <c r="P30" i="4"/>
  <c r="P17" i="4"/>
  <c r="P60" i="4"/>
  <c r="P29" i="4"/>
  <c r="P16" i="4"/>
  <c r="P24" i="4"/>
  <c r="P35" i="4"/>
  <c r="P43" i="4"/>
  <c r="P51" i="4"/>
  <c r="P59" i="4"/>
  <c r="P67" i="4"/>
  <c r="P25" i="4"/>
  <c r="P31" i="4"/>
  <c r="P18" i="4"/>
  <c r="P26" i="4"/>
  <c r="P37" i="4"/>
  <c r="P45" i="4"/>
  <c r="P53" i="4"/>
  <c r="P61" i="4"/>
  <c r="P69" i="4"/>
  <c r="P44" i="4"/>
  <c r="P11" i="4"/>
  <c r="P19" i="4"/>
  <c r="P27" i="4"/>
  <c r="P38" i="4"/>
  <c r="P46" i="4"/>
  <c r="P54" i="4"/>
  <c r="P62" i="4"/>
  <c r="P70" i="4"/>
  <c r="P12" i="4"/>
  <c r="P20" i="4"/>
  <c r="P28" i="4"/>
  <c r="P39" i="4"/>
  <c r="P47" i="4"/>
  <c r="P55" i="4"/>
  <c r="P63" i="4"/>
  <c r="P71" i="4"/>
  <c r="P36" i="4"/>
  <c r="P13" i="4"/>
  <c r="P21" i="4"/>
  <c r="P32" i="4"/>
  <c r="P40" i="4"/>
  <c r="P48" i="4"/>
  <c r="P56" i="4"/>
  <c r="P64" i="4"/>
  <c r="P72" i="4"/>
  <c r="P68" i="4"/>
  <c r="K8" i="4"/>
  <c r="L14" i="4"/>
  <c r="EC7" i="4" l="1"/>
  <c r="EC6"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N11" i="4"/>
  <c r="N12" i="4"/>
  <c r="N13" i="4"/>
  <c r="N14" i="4"/>
  <c r="N15" i="4"/>
  <c r="N16" i="4"/>
  <c r="N17" i="4"/>
  <c r="N18"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AW9" i="4"/>
  <c r="AR9" i="4"/>
  <c r="V38" i="4" l="1"/>
  <c r="V39" i="4"/>
  <c r="V63" i="4"/>
  <c r="V31" i="4"/>
  <c r="V62" i="4"/>
  <c r="V30" i="4"/>
  <c r="V55" i="4"/>
  <c r="V23" i="4"/>
  <c r="V54" i="4"/>
  <c r="V22" i="4"/>
  <c r="V47" i="4"/>
  <c r="V15" i="4"/>
  <c r="V46" i="4"/>
  <c r="V14" i="4"/>
  <c r="V58" i="4"/>
  <c r="V50" i="4"/>
  <c r="V42" i="4"/>
  <c r="V34" i="4"/>
  <c r="V26" i="4"/>
  <c r="V18" i="4"/>
  <c r="N57" i="4"/>
  <c r="V57" i="4"/>
  <c r="V49" i="4"/>
  <c r="V41" i="4"/>
  <c r="V33" i="4"/>
  <c r="V25" i="4"/>
  <c r="V17" i="4"/>
  <c r="V64" i="4"/>
  <c r="V56" i="4"/>
  <c r="V48" i="4"/>
  <c r="V40" i="4"/>
  <c r="V32" i="4"/>
  <c r="V24" i="4"/>
  <c r="V16" i="4"/>
  <c r="V61" i="4"/>
  <c r="V53" i="4"/>
  <c r="V45" i="4"/>
  <c r="V37" i="4"/>
  <c r="V29" i="4"/>
  <c r="V21" i="4"/>
  <c r="V13" i="4"/>
  <c r="V60" i="4"/>
  <c r="V52" i="4"/>
  <c r="V44" i="4"/>
  <c r="V36" i="4"/>
  <c r="V28" i="4"/>
  <c r="V20" i="4"/>
  <c r="V12" i="4"/>
  <c r="V59" i="4"/>
  <c r="V51" i="4"/>
  <c r="V43" i="4"/>
  <c r="V35" i="4"/>
  <c r="V27" i="4"/>
  <c r="V19" i="4"/>
  <c r="V11" i="4"/>
  <c r="N50" i="4"/>
  <c r="N49" i="4"/>
  <c r="N42" i="4"/>
  <c r="N41" i="4"/>
  <c r="N34" i="4"/>
  <c r="N33" i="4"/>
  <c r="N58" i="4"/>
  <c r="N26" i="4"/>
  <c r="N64" i="4"/>
  <c r="N56" i="4"/>
  <c r="N48" i="4"/>
  <c r="N40" i="4"/>
  <c r="N32" i="4"/>
  <c r="N24" i="4"/>
  <c r="N25" i="4"/>
  <c r="N63" i="4"/>
  <c r="N55" i="4"/>
  <c r="N47" i="4"/>
  <c r="N39" i="4"/>
  <c r="N31" i="4"/>
  <c r="N23" i="4"/>
  <c r="N62" i="4"/>
  <c r="N54" i="4"/>
  <c r="N46" i="4"/>
  <c r="N38" i="4"/>
  <c r="N30" i="4"/>
  <c r="N22" i="4"/>
  <c r="N61" i="4"/>
  <c r="N53" i="4"/>
  <c r="N45" i="4"/>
  <c r="N37" i="4"/>
  <c r="N29" i="4"/>
  <c r="N21" i="4"/>
  <c r="N60" i="4"/>
  <c r="N52" i="4"/>
  <c r="N44" i="4"/>
  <c r="N36" i="4"/>
  <c r="N28" i="4"/>
  <c r="N20" i="4"/>
  <c r="N59" i="4"/>
  <c r="N51" i="4"/>
  <c r="N43" i="4"/>
  <c r="N35" i="4"/>
  <c r="N27" i="4"/>
  <c r="N19" i="4"/>
  <c r="ED13" i="4" l="1"/>
  <c r="DV13" i="4"/>
  <c r="DV15" i="4"/>
  <c r="DV14" i="4"/>
  <c r="CK56" i="4"/>
  <c r="CL55" i="4"/>
  <c r="DM15" i="4"/>
  <c r="DM14" i="4"/>
  <c r="DM13" i="4"/>
  <c r="BA15" i="4" l="1"/>
  <c r="BA23" i="4"/>
  <c r="BA31" i="4"/>
  <c r="BA39" i="4"/>
  <c r="BA47" i="4"/>
  <c r="BA55" i="4"/>
  <c r="BA22" i="4"/>
  <c r="BA16" i="4"/>
  <c r="BA24" i="4"/>
  <c r="BA32" i="4"/>
  <c r="BA40" i="4"/>
  <c r="BA48" i="4"/>
  <c r="BA56" i="4"/>
  <c r="BA54" i="4"/>
  <c r="BA17" i="4"/>
  <c r="BA25" i="4"/>
  <c r="BA33" i="4"/>
  <c r="BA41" i="4"/>
  <c r="BA49" i="4"/>
  <c r="BA57" i="4"/>
  <c r="BA30" i="4"/>
  <c r="BA18" i="4"/>
  <c r="BA26" i="4"/>
  <c r="BA34" i="4"/>
  <c r="BA42" i="4"/>
  <c r="BA50" i="4"/>
  <c r="BA58" i="4"/>
  <c r="BA11" i="4"/>
  <c r="BA19" i="4"/>
  <c r="BA27" i="4"/>
  <c r="BA35" i="4"/>
  <c r="BA43" i="4"/>
  <c r="BA51" i="4"/>
  <c r="BA59" i="4"/>
  <c r="BA14" i="4"/>
  <c r="BA12" i="4"/>
  <c r="BA20" i="4"/>
  <c r="BA28" i="4"/>
  <c r="BA36" i="4"/>
  <c r="BA44" i="4"/>
  <c r="BA52" i="4"/>
  <c r="BA60" i="4"/>
  <c r="BA46" i="4"/>
  <c r="BA13" i="4"/>
  <c r="BA21" i="4"/>
  <c r="BA29" i="4"/>
  <c r="BA37" i="4"/>
  <c r="BA45" i="4"/>
  <c r="BA53" i="4"/>
  <c r="BA61" i="4"/>
  <c r="BA38" i="4"/>
  <c r="EE13" i="4"/>
  <c r="CK57" i="4"/>
  <c r="CL56" i="4"/>
  <c r="DD12" i="4"/>
  <c r="DK12" i="4"/>
  <c r="DN12" i="4"/>
  <c r="CK58" i="4" l="1"/>
  <c r="CL57" i="4"/>
  <c r="DS12" i="4"/>
  <c r="AJ105" i="4"/>
  <c r="AJ106" i="4"/>
  <c r="AJ107" i="4"/>
  <c r="AJ108" i="4"/>
  <c r="AJ109" i="4"/>
  <c r="AJ110" i="4"/>
  <c r="AJ111" i="4"/>
  <c r="AJ112" i="4"/>
  <c r="AJ113" i="4"/>
  <c r="AJ114" i="4"/>
  <c r="AJ115" i="4"/>
  <c r="AJ116" i="4"/>
  <c r="AJ117" i="4"/>
  <c r="BR108" i="4"/>
  <c r="BR109" i="4"/>
  <c r="BR110" i="4"/>
  <c r="BR111" i="4"/>
  <c r="BR112" i="4"/>
  <c r="BR113" i="4"/>
  <c r="BR114" i="4"/>
  <c r="BR115" i="4"/>
  <c r="BR116" i="4"/>
  <c r="BR117" i="4"/>
  <c r="CI108" i="4"/>
  <c r="CI109" i="4"/>
  <c r="CI110" i="4"/>
  <c r="CI111" i="4"/>
  <c r="CI112" i="4"/>
  <c r="CI113" i="4"/>
  <c r="CI114" i="4"/>
  <c r="CI115" i="4"/>
  <c r="CI116" i="4"/>
  <c r="CI117" i="4"/>
  <c r="CK59" i="4" l="1"/>
  <c r="CL58" i="4"/>
  <c r="AJ64" i="4"/>
  <c r="BR82" i="4"/>
  <c r="BR83" i="4"/>
  <c r="BR84" i="4"/>
  <c r="BR85" i="4"/>
  <c r="BR86" i="4"/>
  <c r="BR87" i="4"/>
  <c r="BR88" i="4"/>
  <c r="BR89" i="4"/>
  <c r="BR90" i="4"/>
  <c r="BR91" i="4"/>
  <c r="BR92" i="4"/>
  <c r="BR93" i="4"/>
  <c r="BR94" i="4"/>
  <c r="BR95" i="4"/>
  <c r="BR96" i="4"/>
  <c r="BR97" i="4"/>
  <c r="BR98" i="4"/>
  <c r="BR99" i="4"/>
  <c r="BR100" i="4"/>
  <c r="BR101" i="4"/>
  <c r="BR102" i="4"/>
  <c r="BR103" i="4"/>
  <c r="BR104" i="4"/>
  <c r="BR105" i="4"/>
  <c r="BR106" i="4"/>
  <c r="BR107" i="4"/>
  <c r="DH15" i="4"/>
  <c r="DD15" i="4"/>
  <c r="K23" i="16"/>
  <c r="H13" i="16"/>
  <c r="H12" i="16"/>
  <c r="H11" i="16"/>
  <c r="H10" i="16"/>
  <c r="H9" i="16"/>
  <c r="H8" i="16"/>
  <c r="H7" i="16"/>
  <c r="H6" i="16"/>
  <c r="H5" i="16"/>
  <c r="G5" i="16"/>
  <c r="DK15" i="4"/>
  <c r="DN15" i="4"/>
  <c r="CK60" i="4" l="1"/>
  <c r="CL59" i="4"/>
  <c r="DS15" i="4"/>
  <c r="BQ27" i="4"/>
  <c r="BS27" i="4" s="1"/>
  <c r="I11" i="16"/>
  <c r="BQ11" i="4"/>
  <c r="BQ57" i="4"/>
  <c r="BS57" i="4" s="1"/>
  <c r="BQ49" i="4"/>
  <c r="BS49" i="4" s="1"/>
  <c r="BQ41" i="4"/>
  <c r="BS41" i="4" s="1"/>
  <c r="BQ33" i="4"/>
  <c r="BS33" i="4" s="1"/>
  <c r="BQ25" i="4"/>
  <c r="BS25" i="4" s="1"/>
  <c r="BQ17" i="4"/>
  <c r="BS17" i="4" s="1"/>
  <c r="BQ59" i="4"/>
  <c r="BS59" i="4" s="1"/>
  <c r="BQ50" i="4"/>
  <c r="BS50" i="4" s="1"/>
  <c r="BQ56" i="4"/>
  <c r="BS56" i="4" s="1"/>
  <c r="BQ48" i="4"/>
  <c r="BS48" i="4" s="1"/>
  <c r="BQ40" i="4"/>
  <c r="BS40" i="4" s="1"/>
  <c r="BQ32" i="4"/>
  <c r="BS32" i="4" s="1"/>
  <c r="BQ24" i="4"/>
  <c r="BS24" i="4" s="1"/>
  <c r="BQ16" i="4"/>
  <c r="BS16" i="4" s="1"/>
  <c r="BQ18" i="4"/>
  <c r="BS18" i="4" s="1"/>
  <c r="BQ55" i="4"/>
  <c r="BS55" i="4" s="1"/>
  <c r="BQ47" i="4"/>
  <c r="BS47" i="4" s="1"/>
  <c r="BQ39" i="4"/>
  <c r="BS39" i="4" s="1"/>
  <c r="BQ31" i="4"/>
  <c r="BS31" i="4" s="1"/>
  <c r="BQ23" i="4"/>
  <c r="BS23" i="4" s="1"/>
  <c r="BQ15" i="4"/>
  <c r="BS15" i="4" s="1"/>
  <c r="BQ58" i="4"/>
  <c r="BS58" i="4" s="1"/>
  <c r="BQ34" i="4"/>
  <c r="BS34" i="4" s="1"/>
  <c r="BQ54" i="4"/>
  <c r="BS54" i="4" s="1"/>
  <c r="BQ46" i="4"/>
  <c r="BS46" i="4" s="1"/>
  <c r="BQ38" i="4"/>
  <c r="BS38" i="4" s="1"/>
  <c r="BQ30" i="4"/>
  <c r="BS30" i="4" s="1"/>
  <c r="BQ22" i="4"/>
  <c r="BS22" i="4" s="1"/>
  <c r="BQ14" i="4"/>
  <c r="BS14" i="4" s="1"/>
  <c r="BQ42" i="4"/>
  <c r="BS42" i="4" s="1"/>
  <c r="BQ61" i="4"/>
  <c r="BS61" i="4" s="1"/>
  <c r="BQ53" i="4"/>
  <c r="BS53" i="4" s="1"/>
  <c r="BQ45" i="4"/>
  <c r="BS45" i="4" s="1"/>
  <c r="BQ37" i="4"/>
  <c r="BS37" i="4" s="1"/>
  <c r="BQ29" i="4"/>
  <c r="BS29" i="4" s="1"/>
  <c r="BQ21" i="4"/>
  <c r="BS21" i="4" s="1"/>
  <c r="BQ13" i="4"/>
  <c r="BS13" i="4" s="1"/>
  <c r="BQ26" i="4"/>
  <c r="BS26" i="4" s="1"/>
  <c r="BQ60" i="4"/>
  <c r="BS60" i="4" s="1"/>
  <c r="BQ52" i="4"/>
  <c r="BS52" i="4" s="1"/>
  <c r="BQ44" i="4"/>
  <c r="BS44" i="4" s="1"/>
  <c r="BQ36" i="4"/>
  <c r="BS36" i="4" s="1"/>
  <c r="BQ28" i="4"/>
  <c r="BS28" i="4" s="1"/>
  <c r="BQ20" i="4"/>
  <c r="BS20" i="4" s="1"/>
  <c r="BQ12" i="4"/>
  <c r="BS12" i="4" s="1"/>
  <c r="BQ51" i="4"/>
  <c r="BS51" i="4" s="1"/>
  <c r="BQ43" i="4"/>
  <c r="BS43" i="4" s="1"/>
  <c r="BQ35" i="4"/>
  <c r="BS35" i="4" s="1"/>
  <c r="BQ19" i="4"/>
  <c r="BS19" i="4" s="1"/>
  <c r="CK61" i="4" l="1"/>
  <c r="CL60" i="4"/>
  <c r="BS11" i="4"/>
  <c r="BR28" i="4"/>
  <c r="BR19" i="4"/>
  <c r="BR36" i="4"/>
  <c r="BR37" i="4"/>
  <c r="BR38" i="4"/>
  <c r="BR31" i="4"/>
  <c r="BR40" i="4"/>
  <c r="BR41" i="4"/>
  <c r="BR23" i="4"/>
  <c r="BR44" i="4"/>
  <c r="BR46" i="4"/>
  <c r="BR52" i="4"/>
  <c r="BR53" i="4"/>
  <c r="BR42" i="4"/>
  <c r="BR54" i="4"/>
  <c r="BR34" i="4"/>
  <c r="BR47" i="4"/>
  <c r="BR18" i="4"/>
  <c r="BR56" i="4"/>
  <c r="BR50" i="4"/>
  <c r="BR57" i="4"/>
  <c r="BR27" i="4"/>
  <c r="BR29" i="4"/>
  <c r="BR26" i="4"/>
  <c r="BR43" i="4"/>
  <c r="BR51" i="4"/>
  <c r="BR60" i="4"/>
  <c r="BR61" i="4"/>
  <c r="BR58" i="4"/>
  <c r="BR55" i="4"/>
  <c r="BR32" i="4"/>
  <c r="BR39" i="4"/>
  <c r="BR59" i="4"/>
  <c r="BR35" i="4"/>
  <c r="BR49" i="4"/>
  <c r="BR12" i="4"/>
  <c r="BR13" i="4"/>
  <c r="BR14" i="4"/>
  <c r="BR16" i="4"/>
  <c r="BR17" i="4"/>
  <c r="BR30" i="4"/>
  <c r="BR33" i="4"/>
  <c r="BR45" i="4"/>
  <c r="BR48" i="4"/>
  <c r="BR20" i="4"/>
  <c r="BR21" i="4"/>
  <c r="BR22" i="4"/>
  <c r="BR15" i="4"/>
  <c r="BR24" i="4"/>
  <c r="BR25" i="4"/>
  <c r="BR11" i="4"/>
  <c r="CL61" i="4" l="1"/>
  <c r="AJ71" i="4"/>
  <c r="AJ72" i="4"/>
  <c r="AJ73" i="4"/>
  <c r="AJ74" i="4"/>
  <c r="AJ75" i="4"/>
  <c r="AJ76" i="4"/>
  <c r="AJ77" i="4"/>
  <c r="AJ78" i="4"/>
  <c r="AJ80" i="4"/>
  <c r="AJ81" i="4"/>
  <c r="AJ82" i="4"/>
  <c r="AJ83" i="4"/>
  <c r="AJ84" i="4"/>
  <c r="AJ85" i="4"/>
  <c r="AJ86" i="4"/>
  <c r="AJ87" i="4"/>
  <c r="AJ88" i="4"/>
  <c r="AJ89" i="4"/>
  <c r="AJ90" i="4"/>
  <c r="AJ91" i="4"/>
  <c r="AJ92" i="4"/>
  <c r="AJ93" i="4"/>
  <c r="AJ94" i="4"/>
  <c r="AJ95" i="4"/>
  <c r="AJ96" i="4"/>
  <c r="AJ97" i="4"/>
  <c r="AJ98" i="4"/>
  <c r="AJ99" i="4"/>
  <c r="AJ100" i="4"/>
  <c r="AJ101" i="4"/>
  <c r="AJ102" i="4"/>
  <c r="AJ103" i="4"/>
  <c r="AJ104" i="4"/>
  <c r="DY15" i="4" l="1"/>
  <c r="AJ79" i="4"/>
  <c r="EG11" i="4"/>
  <c r="AJ69" i="4"/>
  <c r="AJ44" i="4"/>
  <c r="AJ20" i="4"/>
  <c r="AJ68" i="4"/>
  <c r="AJ43" i="4"/>
  <c r="AJ35" i="4"/>
  <c r="AJ27" i="4"/>
  <c r="AJ19" i="4"/>
  <c r="AJ67" i="4"/>
  <c r="AJ58" i="4"/>
  <c r="AJ50" i="4"/>
  <c r="AJ42" i="4"/>
  <c r="AJ34" i="4"/>
  <c r="AJ26" i="4"/>
  <c r="AJ18" i="4"/>
  <c r="AJ52" i="4"/>
  <c r="AJ41" i="4"/>
  <c r="AJ59" i="4"/>
  <c r="AJ49" i="4"/>
  <c r="AJ17" i="4"/>
  <c r="AJ65" i="4"/>
  <c r="AJ56" i="4"/>
  <c r="AJ48" i="4"/>
  <c r="AJ40" i="4"/>
  <c r="AJ32" i="4"/>
  <c r="AJ24" i="4"/>
  <c r="AJ16" i="4"/>
  <c r="AJ28" i="4"/>
  <c r="AJ66" i="4"/>
  <c r="AJ33" i="4"/>
  <c r="AJ15" i="4"/>
  <c r="AJ63" i="4"/>
  <c r="AJ55" i="4"/>
  <c r="AJ47" i="4"/>
  <c r="AJ39" i="4"/>
  <c r="AJ31" i="4"/>
  <c r="AJ23" i="4"/>
  <c r="AJ62" i="4"/>
  <c r="AJ54" i="4"/>
  <c r="AJ46" i="4"/>
  <c r="AJ38" i="4"/>
  <c r="AJ30" i="4"/>
  <c r="AJ22" i="4"/>
  <c r="AJ60" i="4"/>
  <c r="AJ36" i="4"/>
  <c r="AJ51" i="4"/>
  <c r="AJ57" i="4"/>
  <c r="AJ25" i="4"/>
  <c r="AJ70" i="4"/>
  <c r="AJ61" i="4"/>
  <c r="AJ53" i="4"/>
  <c r="AJ45" i="4"/>
  <c r="AJ37" i="4"/>
  <c r="AJ29" i="4"/>
  <c r="AJ21" i="4"/>
  <c r="DM11" i="4"/>
  <c r="ER12" i="4"/>
  <c r="DD14" i="4"/>
  <c r="DH14" i="4"/>
  <c r="L62" i="4"/>
  <c r="L60" i="4"/>
  <c r="L61" i="4"/>
  <c r="DK14" i="4"/>
  <c r="DN14" i="4"/>
  <c r="BB58" i="4" l="1"/>
  <c r="BC58" i="4" s="1"/>
  <c r="BB23" i="4"/>
  <c r="BC23" i="4" s="1"/>
  <c r="BB37" i="4"/>
  <c r="BC37" i="4" s="1"/>
  <c r="BB40" i="4"/>
  <c r="BC40" i="4" s="1"/>
  <c r="BB52" i="4"/>
  <c r="BC52" i="4" s="1"/>
  <c r="BB13" i="4"/>
  <c r="BC13" i="4" s="1"/>
  <c r="BB46" i="4"/>
  <c r="BC46" i="4" s="1"/>
  <c r="BB28" i="4"/>
  <c r="BC28" i="4" s="1"/>
  <c r="BB16" i="4"/>
  <c r="BC16" i="4" s="1"/>
  <c r="BB12" i="4"/>
  <c r="BC12" i="4" s="1"/>
  <c r="BB30" i="4"/>
  <c r="BC30" i="4" s="1"/>
  <c r="BB48" i="4"/>
  <c r="BC48" i="4" s="1"/>
  <c r="BB60" i="4"/>
  <c r="BC60" i="4" s="1"/>
  <c r="BB24" i="4"/>
  <c r="BC24" i="4" s="1"/>
  <c r="BB36" i="4"/>
  <c r="BC36" i="4" s="1"/>
  <c r="BB47" i="4"/>
  <c r="BC47" i="4" s="1"/>
  <c r="BB51" i="4"/>
  <c r="BC51" i="4" s="1"/>
  <c r="BB61" i="4"/>
  <c r="BC61" i="4" s="1"/>
  <c r="BB31" i="4"/>
  <c r="BC31" i="4" s="1"/>
  <c r="BB11" i="4"/>
  <c r="BB21" i="4"/>
  <c r="BC21" i="4" s="1"/>
  <c r="BB55" i="4"/>
  <c r="BC55" i="4" s="1"/>
  <c r="BB42" i="4"/>
  <c r="BC42" i="4" s="1"/>
  <c r="BB35" i="4"/>
  <c r="BC35" i="4" s="1"/>
  <c r="BB45" i="4"/>
  <c r="BC45" i="4" s="1"/>
  <c r="BB15" i="4"/>
  <c r="BC15" i="4" s="1"/>
  <c r="BB14" i="4"/>
  <c r="BC14" i="4" s="1"/>
  <c r="BB18" i="4"/>
  <c r="BC18" i="4" s="1"/>
  <c r="BB41" i="4"/>
  <c r="BC41" i="4" s="1"/>
  <c r="BB59" i="4"/>
  <c r="BC59" i="4" s="1"/>
  <c r="BB17" i="4"/>
  <c r="BC17" i="4" s="1"/>
  <c r="BB54" i="4"/>
  <c r="BC54" i="4" s="1"/>
  <c r="BB20" i="4"/>
  <c r="BC20" i="4" s="1"/>
  <c r="BB38" i="4"/>
  <c r="BC38" i="4" s="1"/>
  <c r="BB25" i="4"/>
  <c r="BC25" i="4" s="1"/>
  <c r="BB19" i="4"/>
  <c r="BC19" i="4" s="1"/>
  <c r="BB44" i="4"/>
  <c r="BC44" i="4" s="1"/>
  <c r="BB34" i="4"/>
  <c r="BC34" i="4" s="1"/>
  <c r="BB49" i="4"/>
  <c r="BC49" i="4" s="1"/>
  <c r="BB56" i="4"/>
  <c r="BC56" i="4" s="1"/>
  <c r="BB22" i="4"/>
  <c r="BC22" i="4" s="1"/>
  <c r="BB26" i="4"/>
  <c r="BC26" i="4" s="1"/>
  <c r="BB29" i="4"/>
  <c r="BC29" i="4" s="1"/>
  <c r="BB33" i="4"/>
  <c r="BC33" i="4" s="1"/>
  <c r="BB50" i="4"/>
  <c r="BC50" i="4" s="1"/>
  <c r="BB27" i="4"/>
  <c r="BC27" i="4" s="1"/>
  <c r="BB39" i="4"/>
  <c r="BC39" i="4" s="1"/>
  <c r="BB43" i="4"/>
  <c r="BC43" i="4" s="1"/>
  <c r="BB53" i="4"/>
  <c r="BC53" i="4" s="1"/>
  <c r="BB57" i="4"/>
  <c r="BC57" i="4" s="1"/>
  <c r="BB32" i="4"/>
  <c r="BC32" i="4" s="1"/>
  <c r="DS14" i="4"/>
  <c r="D3" i="4"/>
  <c r="BD39" i="4" l="1"/>
  <c r="BD22" i="4"/>
  <c r="BD38" i="4"/>
  <c r="BD18" i="4"/>
  <c r="BD36" i="4"/>
  <c r="BD12" i="4"/>
  <c r="BD37" i="4"/>
  <c r="BD20" i="4"/>
  <c r="BD14" i="4"/>
  <c r="BD24" i="4"/>
  <c r="BD27" i="4"/>
  <c r="BD42" i="4"/>
  <c r="BD23" i="4"/>
  <c r="BD15" i="4"/>
  <c r="BD13" i="4"/>
  <c r="BD33" i="4"/>
  <c r="BD19" i="4"/>
  <c r="BD17" i="4"/>
  <c r="BD31" i="4"/>
  <c r="BD16" i="4"/>
  <c r="BD35" i="4"/>
  <c r="BD21" i="4"/>
  <c r="BD28" i="4"/>
  <c r="BD29" i="4"/>
  <c r="BD25" i="4"/>
  <c r="BD41" i="4"/>
  <c r="BD11" i="4"/>
  <c r="BD32" i="4"/>
  <c r="BD43" i="4"/>
  <c r="BD26" i="4"/>
  <c r="BD34" i="4"/>
  <c r="BD30" i="4"/>
  <c r="BD40" i="4"/>
  <c r="BD53" i="4"/>
  <c r="BD49" i="4"/>
  <c r="BD45" i="4"/>
  <c r="BD60" i="4"/>
  <c r="BD46" i="4"/>
  <c r="BD56" i="4"/>
  <c r="BD50" i="4"/>
  <c r="BD48" i="4"/>
  <c r="BD57" i="4"/>
  <c r="BD47" i="4"/>
  <c r="BD59" i="4"/>
  <c r="BD55" i="4"/>
  <c r="BD51" i="4"/>
  <c r="BD58" i="4"/>
  <c r="BD61" i="4"/>
  <c r="BD54" i="4"/>
  <c r="BD52" i="4"/>
  <c r="BD44" i="4"/>
  <c r="CI12" i="4"/>
  <c r="CI13" i="4"/>
  <c r="CI14" i="4"/>
  <c r="CI15" i="4"/>
  <c r="CI16" i="4"/>
  <c r="CI17" i="4"/>
  <c r="CI18" i="4"/>
  <c r="CI19" i="4"/>
  <c r="CI20" i="4"/>
  <c r="CI21" i="4"/>
  <c r="CI22" i="4"/>
  <c r="CI23" i="4"/>
  <c r="CI24" i="4"/>
  <c r="CI25" i="4"/>
  <c r="CI26" i="4"/>
  <c r="CI27" i="4"/>
  <c r="CI28" i="4"/>
  <c r="CI29" i="4"/>
  <c r="CI30" i="4"/>
  <c r="CI31" i="4"/>
  <c r="CI32" i="4"/>
  <c r="CI33" i="4"/>
  <c r="CI34" i="4"/>
  <c r="CI35" i="4"/>
  <c r="CI36" i="4"/>
  <c r="CI37" i="4"/>
  <c r="CI38" i="4"/>
  <c r="CI39" i="4"/>
  <c r="CI40" i="4"/>
  <c r="CI41" i="4"/>
  <c r="CI42" i="4"/>
  <c r="CI43" i="4"/>
  <c r="CI44" i="4"/>
  <c r="CI45" i="4"/>
  <c r="CI46" i="4"/>
  <c r="CI47" i="4"/>
  <c r="CI48" i="4"/>
  <c r="CI49" i="4"/>
  <c r="CI50" i="4"/>
  <c r="CI51" i="4"/>
  <c r="CI52" i="4"/>
  <c r="CI53" i="4"/>
  <c r="CI54" i="4"/>
  <c r="CI55" i="4"/>
  <c r="CI56" i="4"/>
  <c r="CI57" i="4"/>
  <c r="CI58" i="4"/>
  <c r="CI59" i="4"/>
  <c r="CI60" i="4"/>
  <c r="CI61" i="4"/>
  <c r="CI62" i="4"/>
  <c r="CI63" i="4"/>
  <c r="CI64" i="4"/>
  <c r="CI65" i="4"/>
  <c r="CI66" i="4"/>
  <c r="CI67" i="4"/>
  <c r="CI68" i="4"/>
  <c r="CI69" i="4"/>
  <c r="CI70" i="4"/>
  <c r="CI71" i="4"/>
  <c r="CI72" i="4"/>
  <c r="CI73" i="4"/>
  <c r="CI74" i="4"/>
  <c r="CI75" i="4"/>
  <c r="CI76" i="4"/>
  <c r="CI77" i="4"/>
  <c r="CI78" i="4"/>
  <c r="CI79" i="4"/>
  <c r="CI80" i="4"/>
  <c r="CI81" i="4"/>
  <c r="CI82" i="4"/>
  <c r="CI83" i="4"/>
  <c r="CI84" i="4"/>
  <c r="CI85" i="4"/>
  <c r="CI86" i="4"/>
  <c r="CI87" i="4"/>
  <c r="CI88" i="4"/>
  <c r="CI89" i="4"/>
  <c r="CI90" i="4"/>
  <c r="CI91" i="4"/>
  <c r="CI92" i="4"/>
  <c r="CI93" i="4"/>
  <c r="CI94" i="4"/>
  <c r="CI95" i="4"/>
  <c r="CI96" i="4"/>
  <c r="CI97" i="4"/>
  <c r="CI98" i="4"/>
  <c r="CI99" i="4"/>
  <c r="CI100" i="4"/>
  <c r="CI101" i="4"/>
  <c r="CI102" i="4"/>
  <c r="CI103" i="4"/>
  <c r="CI104" i="4"/>
  <c r="CI105" i="4"/>
  <c r="CI106" i="4"/>
  <c r="CI107" i="4"/>
  <c r="DH13" i="4"/>
  <c r="AW42" i="4" s="1"/>
  <c r="DH12" i="4"/>
  <c r="DD13" i="4"/>
  <c r="DK13" i="4"/>
  <c r="DN13" i="4"/>
  <c r="AR15" i="4" l="1"/>
  <c r="AS15" i="4" s="1"/>
  <c r="AR50" i="4"/>
  <c r="AS50" i="4" s="1"/>
  <c r="AR19" i="4"/>
  <c r="AS19" i="4" s="1"/>
  <c r="AR27" i="4"/>
  <c r="AS27" i="4" s="1"/>
  <c r="AR35" i="4"/>
  <c r="AS35" i="4" s="1"/>
  <c r="AR43" i="4"/>
  <c r="AS43" i="4" s="1"/>
  <c r="AR44" i="4"/>
  <c r="AS44" i="4" s="1"/>
  <c r="AR41" i="4"/>
  <c r="AS41" i="4" s="1"/>
  <c r="AR16" i="4"/>
  <c r="AS16" i="4" s="1"/>
  <c r="AR30" i="4"/>
  <c r="AS30" i="4" s="1"/>
  <c r="AR36" i="4"/>
  <c r="AS36" i="4" s="1"/>
  <c r="AR33" i="4"/>
  <c r="AS33" i="4" s="1"/>
  <c r="AR47" i="4"/>
  <c r="AS47" i="4" s="1"/>
  <c r="AR22" i="4"/>
  <c r="AS22" i="4" s="1"/>
  <c r="AR28" i="4"/>
  <c r="AS28" i="4" s="1"/>
  <c r="AR25" i="4"/>
  <c r="AS25" i="4" s="1"/>
  <c r="AR39" i="4"/>
  <c r="AS39" i="4" s="1"/>
  <c r="AR45" i="4"/>
  <c r="AS45" i="4" s="1"/>
  <c r="AR20" i="4"/>
  <c r="AS20" i="4" s="1"/>
  <c r="AR17" i="4"/>
  <c r="AS17" i="4" s="1"/>
  <c r="AR31" i="4"/>
  <c r="AS31" i="4" s="1"/>
  <c r="AR37" i="4"/>
  <c r="AS37" i="4" s="1"/>
  <c r="AR42" i="4"/>
  <c r="AS42" i="4" s="1"/>
  <c r="AR48" i="4"/>
  <c r="AS48" i="4" s="1"/>
  <c r="AR23" i="4"/>
  <c r="AS23" i="4" s="1"/>
  <c r="AR29" i="4"/>
  <c r="AS29" i="4" s="1"/>
  <c r="AR34" i="4"/>
  <c r="AS34" i="4" s="1"/>
  <c r="AR40" i="4"/>
  <c r="AS40" i="4" s="1"/>
  <c r="AR21" i="4"/>
  <c r="AS21" i="4" s="1"/>
  <c r="AR26" i="4"/>
  <c r="AS26" i="4" s="1"/>
  <c r="AR32" i="4"/>
  <c r="AS32" i="4" s="1"/>
  <c r="AR46" i="4"/>
  <c r="AS46" i="4" s="1"/>
  <c r="AR18" i="4"/>
  <c r="AS18" i="4" s="1"/>
  <c r="AR24" i="4"/>
  <c r="AS24" i="4" s="1"/>
  <c r="AR38" i="4"/>
  <c r="AS38" i="4" s="1"/>
  <c r="AW26" i="4"/>
  <c r="AY26" i="4" s="1"/>
  <c r="AW34" i="4"/>
  <c r="AY34" i="4" s="1"/>
  <c r="AW19" i="4"/>
  <c r="AY19" i="4" s="1"/>
  <c r="AW27" i="4"/>
  <c r="AY27" i="4" s="1"/>
  <c r="AW35" i="4"/>
  <c r="AY35" i="4" s="1"/>
  <c r="AW20" i="4"/>
  <c r="AY20" i="4" s="1"/>
  <c r="AW28" i="4"/>
  <c r="AY28" i="4" s="1"/>
  <c r="AW36" i="4"/>
  <c r="AY36" i="4" s="1"/>
  <c r="AW21" i="4"/>
  <c r="AY21" i="4" s="1"/>
  <c r="AW29" i="4"/>
  <c r="AY29" i="4" s="1"/>
  <c r="AW37" i="4"/>
  <c r="AY37" i="4" s="1"/>
  <c r="AW22" i="4"/>
  <c r="AY22" i="4" s="1"/>
  <c r="AW30" i="4"/>
  <c r="AY30" i="4" s="1"/>
  <c r="AW38" i="4"/>
  <c r="AY38" i="4" s="1"/>
  <c r="AW23" i="4"/>
  <c r="AY23" i="4" s="1"/>
  <c r="AW31" i="4"/>
  <c r="AY31" i="4" s="1"/>
  <c r="AW39" i="4"/>
  <c r="AY39" i="4" s="1"/>
  <c r="AW24" i="4"/>
  <c r="AY24" i="4" s="1"/>
  <c r="AW32" i="4"/>
  <c r="AY32" i="4" s="1"/>
  <c r="AW25" i="4"/>
  <c r="AY25" i="4" s="1"/>
  <c r="AW33" i="4"/>
  <c r="AY33" i="4" s="1"/>
  <c r="AW11" i="4"/>
  <c r="AW47" i="4"/>
  <c r="AY47" i="4" s="1"/>
  <c r="AW55" i="4"/>
  <c r="AY55" i="4" s="1"/>
  <c r="AW40" i="4"/>
  <c r="AY40" i="4" s="1"/>
  <c r="AW48" i="4"/>
  <c r="AY48" i="4" s="1"/>
  <c r="AW56" i="4"/>
  <c r="AY56" i="4" s="1"/>
  <c r="AW41" i="4"/>
  <c r="AY41" i="4" s="1"/>
  <c r="AW49" i="4"/>
  <c r="AY49" i="4" s="1"/>
  <c r="AW57" i="4"/>
  <c r="AY57" i="4" s="1"/>
  <c r="AY42" i="4"/>
  <c r="AW50" i="4"/>
  <c r="AY50" i="4" s="1"/>
  <c r="AW58" i="4"/>
  <c r="AY58" i="4" s="1"/>
  <c r="AW43" i="4"/>
  <c r="AW51" i="4"/>
  <c r="AY51" i="4" s="1"/>
  <c r="AW59" i="4"/>
  <c r="AY59" i="4" s="1"/>
  <c r="AW44" i="4"/>
  <c r="AY44" i="4" s="1"/>
  <c r="AW52" i="4"/>
  <c r="AY52" i="4" s="1"/>
  <c r="AW60" i="4"/>
  <c r="AY60" i="4" s="1"/>
  <c r="AW45" i="4"/>
  <c r="AY45" i="4" s="1"/>
  <c r="AW53" i="4"/>
  <c r="AY53" i="4" s="1"/>
  <c r="AW61" i="4"/>
  <c r="AY61" i="4" s="1"/>
  <c r="AW46" i="4"/>
  <c r="AY46" i="4" s="1"/>
  <c r="AW54" i="4"/>
  <c r="AY54" i="4" s="1"/>
  <c r="AR51" i="4"/>
  <c r="AS51" i="4" s="1"/>
  <c r="AR52" i="4"/>
  <c r="AS52" i="4" s="1"/>
  <c r="AR60" i="4"/>
  <c r="AS60" i="4" s="1"/>
  <c r="AR53" i="4"/>
  <c r="AS53" i="4" s="1"/>
  <c r="AR61" i="4"/>
  <c r="AS61" i="4" s="1"/>
  <c r="AR54" i="4"/>
  <c r="AS54" i="4" s="1"/>
  <c r="AR55" i="4"/>
  <c r="AS55" i="4" s="1"/>
  <c r="AR56" i="4"/>
  <c r="AS56" i="4" s="1"/>
  <c r="AR49" i="4"/>
  <c r="AS49" i="4" s="1"/>
  <c r="AR57" i="4"/>
  <c r="AS57" i="4" s="1"/>
  <c r="AT50" i="4"/>
  <c r="AR58" i="4"/>
  <c r="AS58" i="4" s="1"/>
  <c r="AR59" i="4"/>
  <c r="AS59" i="4" s="1"/>
  <c r="DS13" i="4"/>
  <c r="L65" i="4"/>
  <c r="L66" i="4"/>
  <c r="L67" i="4"/>
  <c r="L68" i="4"/>
  <c r="L69" i="4"/>
  <c r="L70" i="4"/>
  <c r="L73" i="4"/>
  <c r="CR12" i="4"/>
  <c r="CR13"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B62" i="4"/>
  <c r="AK60" i="4"/>
  <c r="AM60" i="4" s="1"/>
  <c r="AK61" i="4"/>
  <c r="AM61" i="4" s="1"/>
  <c r="BZ62" i="4" l="1"/>
  <c r="BE62" i="4"/>
  <c r="BJ62" i="4"/>
  <c r="BT62" i="4"/>
  <c r="AN62" i="4"/>
  <c r="AZ62" i="4"/>
  <c r="AV62" i="4"/>
  <c r="BO62" i="4"/>
  <c r="BA62" i="4"/>
  <c r="BK62" i="4"/>
  <c r="AT25" i="4"/>
  <c r="AT56" i="4"/>
  <c r="AT32" i="4"/>
  <c r="AT42" i="4"/>
  <c r="AT28" i="4"/>
  <c r="AT44" i="4"/>
  <c r="AT22" i="4"/>
  <c r="AT43" i="4"/>
  <c r="AT54" i="4"/>
  <c r="AT21" i="4"/>
  <c r="AT31" i="4"/>
  <c r="AT47" i="4"/>
  <c r="AT35" i="4"/>
  <c r="AT49" i="4"/>
  <c r="AT51" i="4"/>
  <c r="AT46" i="4"/>
  <c r="AT55" i="4"/>
  <c r="AT61" i="4"/>
  <c r="AT40" i="4"/>
  <c r="AT17" i="4"/>
  <c r="AT33" i="4"/>
  <c r="AT27" i="4"/>
  <c r="AT48" i="4"/>
  <c r="AT26" i="4"/>
  <c r="AT53" i="4"/>
  <c r="AT38" i="4"/>
  <c r="AT34" i="4"/>
  <c r="AT20" i="4"/>
  <c r="AT36" i="4"/>
  <c r="AT19" i="4"/>
  <c r="AT59" i="4"/>
  <c r="AT60" i="4"/>
  <c r="AT24" i="4"/>
  <c r="AT29" i="4"/>
  <c r="AT45" i="4"/>
  <c r="AT30" i="4"/>
  <c r="AT41" i="4"/>
  <c r="AT37" i="4"/>
  <c r="AT58" i="4"/>
  <c r="AT57" i="4"/>
  <c r="AT52" i="4"/>
  <c r="AT18" i="4"/>
  <c r="AT23" i="4"/>
  <c r="AT39" i="4"/>
  <c r="AT16" i="4"/>
  <c r="AT15" i="4"/>
  <c r="L64" i="4"/>
  <c r="EI11" i="4"/>
  <c r="CR11" i="4"/>
  <c r="AM13" i="4"/>
  <c r="AM12" i="4"/>
  <c r="AH62" i="4"/>
  <c r="AE62" i="4"/>
  <c r="BL62" i="4" s="1"/>
  <c r="BM62" i="4" s="1"/>
  <c r="AG62" i="4"/>
  <c r="CA62" i="4" s="1"/>
  <c r="CB62" i="4" s="1"/>
  <c r="AC62" i="4"/>
  <c r="BQ62" i="4" s="1"/>
  <c r="AD62" i="4"/>
  <c r="AA62" i="4"/>
  <c r="AW62" i="4" s="1"/>
  <c r="AY62" i="4" s="1"/>
  <c r="AB62" i="4"/>
  <c r="BB62" i="4" s="1"/>
  <c r="BC62" i="4" s="1"/>
  <c r="AY43" i="4"/>
  <c r="AX43" i="4"/>
  <c r="AM11" i="4"/>
  <c r="L11" i="4"/>
  <c r="BG62" i="4"/>
  <c r="BI62" i="4" s="1"/>
  <c r="CJ62" i="4"/>
  <c r="L12" i="4"/>
  <c r="L13" i="4"/>
  <c r="AY11" i="4"/>
  <c r="AP62" i="4"/>
  <c r="AX31" i="4"/>
  <c r="AX36" i="4"/>
  <c r="AX23" i="4"/>
  <c r="AX28" i="4"/>
  <c r="AX38" i="4"/>
  <c r="AX20" i="4"/>
  <c r="AX33" i="4"/>
  <c r="AX30" i="4"/>
  <c r="AX35" i="4"/>
  <c r="AX25" i="4"/>
  <c r="AX22" i="4"/>
  <c r="AX27" i="4"/>
  <c r="AX32" i="4"/>
  <c r="AX37" i="4"/>
  <c r="AX19" i="4"/>
  <c r="AX24" i="4"/>
  <c r="AX29" i="4"/>
  <c r="AX34" i="4"/>
  <c r="AX39" i="4"/>
  <c r="AX21" i="4"/>
  <c r="AX26" i="4"/>
  <c r="AX58" i="4"/>
  <c r="AX54" i="4"/>
  <c r="AX50" i="4"/>
  <c r="AX46" i="4"/>
  <c r="AX61" i="4"/>
  <c r="AX42" i="4"/>
  <c r="AX57" i="4"/>
  <c r="AX53" i="4"/>
  <c r="AX49" i="4"/>
  <c r="AX45" i="4"/>
  <c r="AX60" i="4"/>
  <c r="AX41" i="4"/>
  <c r="AX56" i="4"/>
  <c r="AX52" i="4"/>
  <c r="AX48" i="4"/>
  <c r="AX44" i="4"/>
  <c r="AX59" i="4"/>
  <c r="AX40" i="4"/>
  <c r="AX55" i="4"/>
  <c r="AX51" i="4"/>
  <c r="AX47" i="4"/>
  <c r="AL61" i="4"/>
  <c r="AL60" i="4"/>
  <c r="DM12" i="4"/>
  <c r="B63" i="4"/>
  <c r="G2" i="4"/>
  <c r="F2" i="4"/>
  <c r="AK23" i="4"/>
  <c r="AM23" i="4" s="1"/>
  <c r="AK24" i="4"/>
  <c r="AM24" i="4" s="1"/>
  <c r="AK25" i="4"/>
  <c r="AM25" i="4" s="1"/>
  <c r="AK26" i="4"/>
  <c r="AM26" i="4" s="1"/>
  <c r="AK27" i="4"/>
  <c r="AM27" i="4" s="1"/>
  <c r="AK28" i="4"/>
  <c r="AM28" i="4" s="1"/>
  <c r="AK29" i="4"/>
  <c r="AM29" i="4" s="1"/>
  <c r="AK30" i="4"/>
  <c r="AM30" i="4" s="1"/>
  <c r="AK31" i="4"/>
  <c r="AM31" i="4" s="1"/>
  <c r="AK32" i="4"/>
  <c r="AM32" i="4" s="1"/>
  <c r="AK33" i="4"/>
  <c r="AM33" i="4" s="1"/>
  <c r="AK34" i="4"/>
  <c r="AM34" i="4" s="1"/>
  <c r="AK35" i="4"/>
  <c r="AM35" i="4" s="1"/>
  <c r="AK36" i="4"/>
  <c r="AM36" i="4" s="1"/>
  <c r="AK37" i="4"/>
  <c r="AM37" i="4" s="1"/>
  <c r="AK38" i="4"/>
  <c r="AM38" i="4" s="1"/>
  <c r="AK39" i="4"/>
  <c r="AM39" i="4" s="1"/>
  <c r="AK40" i="4"/>
  <c r="AM40" i="4" s="1"/>
  <c r="AK41" i="4"/>
  <c r="AM41" i="4" s="1"/>
  <c r="AK42" i="4"/>
  <c r="AM42" i="4" s="1"/>
  <c r="AK43" i="4"/>
  <c r="AM43" i="4" s="1"/>
  <c r="AK44" i="4"/>
  <c r="AM44" i="4" s="1"/>
  <c r="AK45" i="4"/>
  <c r="AM45" i="4" s="1"/>
  <c r="AK46" i="4"/>
  <c r="AM46" i="4" s="1"/>
  <c r="AK47" i="4"/>
  <c r="AM47" i="4" s="1"/>
  <c r="AK48" i="4"/>
  <c r="AM48" i="4" s="1"/>
  <c r="AK49" i="4"/>
  <c r="AM49" i="4" s="1"/>
  <c r="AK50" i="4"/>
  <c r="AM50" i="4" s="1"/>
  <c r="AK51" i="4"/>
  <c r="AM51" i="4" s="1"/>
  <c r="AK52" i="4"/>
  <c r="AM52" i="4" s="1"/>
  <c r="AK53" i="4"/>
  <c r="AM53" i="4" s="1"/>
  <c r="AK54" i="4"/>
  <c r="AM54" i="4" s="1"/>
  <c r="AK55" i="4"/>
  <c r="AM55" i="4" s="1"/>
  <c r="AK56" i="4"/>
  <c r="AM56" i="4" s="1"/>
  <c r="AK57" i="4"/>
  <c r="AM57" i="4" s="1"/>
  <c r="AK58" i="4"/>
  <c r="AM58" i="4" s="1"/>
  <c r="AK59" i="4"/>
  <c r="AM59" i="4" s="1"/>
  <c r="AK15" i="4"/>
  <c r="AM15" i="4" s="1"/>
  <c r="AK16" i="4"/>
  <c r="AM16" i="4" s="1"/>
  <c r="AK17" i="4"/>
  <c r="AM17" i="4" s="1"/>
  <c r="AK18" i="4"/>
  <c r="AM18" i="4" s="1"/>
  <c r="AK19" i="4"/>
  <c r="AM19" i="4" s="1"/>
  <c r="AK20" i="4"/>
  <c r="AM20" i="4" s="1"/>
  <c r="AK21" i="4"/>
  <c r="AM21" i="4" s="1"/>
  <c r="AK22" i="4"/>
  <c r="AM22" i="4" s="1"/>
  <c r="AK14" i="4"/>
  <c r="BZ63" i="4" l="1"/>
  <c r="AV63" i="4"/>
  <c r="BE63" i="4"/>
  <c r="BT63" i="4"/>
  <c r="BJ63" i="4"/>
  <c r="AZ63" i="4"/>
  <c r="BO63" i="4"/>
  <c r="AN63" i="4"/>
  <c r="BA63" i="4"/>
  <c r="BK63" i="4"/>
  <c r="ED12" i="4"/>
  <c r="AU39" i="4" s="1"/>
  <c r="ED14" i="4"/>
  <c r="EL8" i="4"/>
  <c r="CP62" i="4"/>
  <c r="BP63" i="4"/>
  <c r="EE17" i="4"/>
  <c r="BP11" i="4"/>
  <c r="BP19" i="4"/>
  <c r="BP27" i="4"/>
  <c r="BP35" i="4"/>
  <c r="BP43" i="4"/>
  <c r="BP51" i="4"/>
  <c r="BP59" i="4"/>
  <c r="BP57" i="4"/>
  <c r="BP26" i="4"/>
  <c r="BP12" i="4"/>
  <c r="BP20" i="4"/>
  <c r="BP28" i="4"/>
  <c r="BP36" i="4"/>
  <c r="BP44" i="4"/>
  <c r="BP52" i="4"/>
  <c r="BP60" i="4"/>
  <c r="BP41" i="4"/>
  <c r="BP13" i="4"/>
  <c r="BP21" i="4"/>
  <c r="BP29" i="4"/>
  <c r="BP37" i="4"/>
  <c r="BP45" i="4"/>
  <c r="BP53" i="4"/>
  <c r="BP61" i="4"/>
  <c r="BP49" i="4"/>
  <c r="BP34" i="4"/>
  <c r="BP14" i="4"/>
  <c r="BP22" i="4"/>
  <c r="BP30" i="4"/>
  <c r="BP38" i="4"/>
  <c r="BP46" i="4"/>
  <c r="BP54" i="4"/>
  <c r="BP25" i="4"/>
  <c r="BP18" i="4"/>
  <c r="BP58" i="4"/>
  <c r="BP15" i="4"/>
  <c r="BP23" i="4"/>
  <c r="BP31" i="4"/>
  <c r="BP39" i="4"/>
  <c r="BP47" i="4"/>
  <c r="BP55" i="4"/>
  <c r="BP33" i="4"/>
  <c r="BP50" i="4"/>
  <c r="BP16" i="4"/>
  <c r="BP24" i="4"/>
  <c r="BP32" i="4"/>
  <c r="BP40" i="4"/>
  <c r="BP48" i="4"/>
  <c r="BP56" i="4"/>
  <c r="BP17" i="4"/>
  <c r="BP42" i="4"/>
  <c r="BP62" i="4"/>
  <c r="ED11" i="4"/>
  <c r="EI12" i="4"/>
  <c r="EJ12" i="4" a="1"/>
  <c r="EJ12" i="4" s="1"/>
  <c r="EG12" i="4"/>
  <c r="EH12" i="4"/>
  <c r="AC63" i="4"/>
  <c r="BQ63" i="4" s="1"/>
  <c r="AD63" i="4"/>
  <c r="AH63" i="4"/>
  <c r="AE63" i="4"/>
  <c r="BL63" i="4" s="1"/>
  <c r="BM63" i="4" s="1"/>
  <c r="AG63" i="4"/>
  <c r="CA63" i="4" s="1"/>
  <c r="CB63" i="4" s="1"/>
  <c r="AA63" i="4"/>
  <c r="AW63" i="4" s="1"/>
  <c r="AB63" i="4"/>
  <c r="BB63" i="4" s="1"/>
  <c r="BC63" i="4" s="1"/>
  <c r="BH62" i="4"/>
  <c r="BG63" i="4"/>
  <c r="BH63" i="4" s="1"/>
  <c r="CC62" i="4"/>
  <c r="CJ63" i="4"/>
  <c r="CK63" i="4" s="1"/>
  <c r="CL63" i="4" s="1"/>
  <c r="CK62" i="4"/>
  <c r="CL62" i="4" s="1"/>
  <c r="BS62" i="4"/>
  <c r="BR62" i="4"/>
  <c r="AK62" i="4"/>
  <c r="AM62" i="4" s="1"/>
  <c r="AR62" i="4"/>
  <c r="AS62" i="4" s="1"/>
  <c r="AP63" i="4"/>
  <c r="AX62" i="4"/>
  <c r="DV11" i="4"/>
  <c r="DV12" i="4"/>
  <c r="AL53" i="4"/>
  <c r="AL15" i="4"/>
  <c r="AL52" i="4"/>
  <c r="AL44" i="4"/>
  <c r="AL36" i="4"/>
  <c r="AL28" i="4"/>
  <c r="AL16" i="4"/>
  <c r="AL22" i="4"/>
  <c r="AL59" i="4"/>
  <c r="AL51" i="4"/>
  <c r="AL43" i="4"/>
  <c r="AL35" i="4"/>
  <c r="AL27" i="4"/>
  <c r="AL14" i="4"/>
  <c r="AL50" i="4"/>
  <c r="AL34" i="4"/>
  <c r="AL26" i="4"/>
  <c r="AL42" i="4"/>
  <c r="AL20" i="4"/>
  <c r="AL57" i="4"/>
  <c r="AL49" i="4"/>
  <c r="AL41" i="4"/>
  <c r="AL33" i="4"/>
  <c r="AL25" i="4"/>
  <c r="AL37" i="4"/>
  <c r="AL21" i="4"/>
  <c r="AL56" i="4"/>
  <c r="AL48" i="4"/>
  <c r="AL40" i="4"/>
  <c r="AL32" i="4"/>
  <c r="AL24" i="4"/>
  <c r="AL45" i="4"/>
  <c r="AL19" i="4"/>
  <c r="AL55" i="4"/>
  <c r="AL47" i="4"/>
  <c r="AL31" i="4"/>
  <c r="AL23" i="4"/>
  <c r="AL29" i="4"/>
  <c r="AL58" i="4"/>
  <c r="AL18" i="4"/>
  <c r="AL39" i="4"/>
  <c r="AL17" i="4"/>
  <c r="AL54" i="4"/>
  <c r="AL46" i="4"/>
  <c r="AL38" i="4"/>
  <c r="AL30" i="4"/>
  <c r="AL12" i="4"/>
  <c r="AK12" i="4"/>
  <c r="AL11" i="4"/>
  <c r="AK11" i="4"/>
  <c r="AK13" i="4"/>
  <c r="AL13" i="4"/>
  <c r="B64" i="4"/>
  <c r="BZ64" i="4" l="1"/>
  <c r="BO64" i="4"/>
  <c r="AN64" i="4"/>
  <c r="BE64" i="4"/>
  <c r="BT64" i="4"/>
  <c r="AZ64" i="4"/>
  <c r="AV64" i="4"/>
  <c r="BJ64" i="4"/>
  <c r="AU53" i="4"/>
  <c r="AU56" i="4"/>
  <c r="AU51" i="4"/>
  <c r="EE12" i="4"/>
  <c r="AU43" i="4"/>
  <c r="AU40" i="4"/>
  <c r="AU42" i="4"/>
  <c r="AU36" i="4"/>
  <c r="AU61" i="4"/>
  <c r="AU18" i="4"/>
  <c r="AU50" i="4"/>
  <c r="AU32" i="4"/>
  <c r="AU19" i="4"/>
  <c r="AU54" i="4"/>
  <c r="AU62" i="4"/>
  <c r="AU44" i="4"/>
  <c r="AU37" i="4"/>
  <c r="AU30" i="4"/>
  <c r="AU58" i="4"/>
  <c r="AU24" i="4"/>
  <c r="AU33" i="4"/>
  <c r="AU55" i="4"/>
  <c r="AU29" i="4"/>
  <c r="AU22" i="4"/>
  <c r="AU23" i="4"/>
  <c r="AU27" i="4"/>
  <c r="AU11" i="4"/>
  <c r="AU47" i="4"/>
  <c r="AU25" i="4"/>
  <c r="AU14" i="4"/>
  <c r="AU15" i="4"/>
  <c r="AU63" i="4"/>
  <c r="AU12" i="4"/>
  <c r="BF18" i="4"/>
  <c r="BF26" i="4"/>
  <c r="BF34" i="4"/>
  <c r="BF42" i="4"/>
  <c r="BF50" i="4"/>
  <c r="BF58" i="4"/>
  <c r="BF41" i="4"/>
  <c r="BF11" i="4"/>
  <c r="BF19" i="4"/>
  <c r="BF27" i="4"/>
  <c r="BF35" i="4"/>
  <c r="BF43" i="4"/>
  <c r="BF51" i="4"/>
  <c r="BF59" i="4"/>
  <c r="BF57" i="4"/>
  <c r="BF12" i="4"/>
  <c r="BF20" i="4"/>
  <c r="BF28" i="4"/>
  <c r="BF36" i="4"/>
  <c r="BF44" i="4"/>
  <c r="BF52" i="4"/>
  <c r="BF60" i="4"/>
  <c r="BF13" i="4"/>
  <c r="BF21" i="4"/>
  <c r="BF29" i="4"/>
  <c r="BF37" i="4"/>
  <c r="BF45" i="4"/>
  <c r="BF53" i="4"/>
  <c r="BF61" i="4"/>
  <c r="BF25" i="4"/>
  <c r="BF14" i="4"/>
  <c r="BF22" i="4"/>
  <c r="BF30" i="4"/>
  <c r="BF38" i="4"/>
  <c r="BF46" i="4"/>
  <c r="BF54" i="4"/>
  <c r="BF49" i="4"/>
  <c r="BF15" i="4"/>
  <c r="BF23" i="4"/>
  <c r="BF31" i="4"/>
  <c r="BF39" i="4"/>
  <c r="BF47" i="4"/>
  <c r="BF55" i="4"/>
  <c r="BF33" i="4"/>
  <c r="BF16" i="4"/>
  <c r="BF24" i="4"/>
  <c r="BF32" i="4"/>
  <c r="BF40" i="4"/>
  <c r="BF48" i="4"/>
  <c r="BF56" i="4"/>
  <c r="BF17" i="4"/>
  <c r="BF62" i="4"/>
  <c r="AU26" i="4"/>
  <c r="AU28" i="4"/>
  <c r="AU48" i="4"/>
  <c r="AU17" i="4"/>
  <c r="AU60" i="4"/>
  <c r="AU38" i="4"/>
  <c r="AU41" i="4"/>
  <c r="AU35" i="4"/>
  <c r="AU13" i="4"/>
  <c r="AU59" i="4"/>
  <c r="AU21" i="4"/>
  <c r="AU49" i="4"/>
  <c r="AU31" i="4"/>
  <c r="AU46" i="4"/>
  <c r="BF63" i="4"/>
  <c r="AU64" i="4"/>
  <c r="BA64" i="4"/>
  <c r="BF64" i="4"/>
  <c r="BK64" i="4"/>
  <c r="AU20" i="4"/>
  <c r="AU34" i="4"/>
  <c r="AU57" i="4"/>
  <c r="AU52" i="4"/>
  <c r="AU45" i="4"/>
  <c r="AU16" i="4"/>
  <c r="BP64" i="4"/>
  <c r="DW13" i="4"/>
  <c r="DP6" i="4"/>
  <c r="DP5" i="4"/>
  <c r="DY13" i="4"/>
  <c r="AO11" i="4"/>
  <c r="AO19" i="4"/>
  <c r="AO27" i="4"/>
  <c r="AO35" i="4"/>
  <c r="AO43" i="4"/>
  <c r="AO51" i="4"/>
  <c r="AO59" i="4"/>
  <c r="AO24" i="4"/>
  <c r="AO56" i="4"/>
  <c r="AO57" i="4"/>
  <c r="AO18" i="4"/>
  <c r="AO12" i="4"/>
  <c r="AO20" i="4"/>
  <c r="AO28" i="4"/>
  <c r="AO36" i="4"/>
  <c r="AO44" i="4"/>
  <c r="AO52" i="4"/>
  <c r="AO60" i="4"/>
  <c r="AO13" i="4"/>
  <c r="AO21" i="4"/>
  <c r="AO29" i="4"/>
  <c r="AO37" i="4"/>
  <c r="AO45" i="4"/>
  <c r="AO53" i="4"/>
  <c r="AO61" i="4"/>
  <c r="AO40" i="4"/>
  <c r="AO41" i="4"/>
  <c r="AO34" i="4"/>
  <c r="AO58" i="4"/>
  <c r="AO14" i="4"/>
  <c r="AO22" i="4"/>
  <c r="AO30" i="4"/>
  <c r="AO38" i="4"/>
  <c r="AO46" i="4"/>
  <c r="AO54" i="4"/>
  <c r="AO62" i="4"/>
  <c r="AO16" i="4"/>
  <c r="AO64" i="4"/>
  <c r="AO49" i="4"/>
  <c r="AO26" i="4"/>
  <c r="AO15" i="4"/>
  <c r="AO23" i="4"/>
  <c r="AO31" i="4"/>
  <c r="AO39" i="4"/>
  <c r="AO47" i="4"/>
  <c r="AO55" i="4"/>
  <c r="AO63" i="4"/>
  <c r="AO48" i="4"/>
  <c r="AO50" i="4"/>
  <c r="AO32" i="4"/>
  <c r="AO42" i="4"/>
  <c r="AO17" i="4"/>
  <c r="AO25" i="4"/>
  <c r="AO33" i="4"/>
  <c r="EE11" i="4"/>
  <c r="EE20" i="4"/>
  <c r="AC64" i="4"/>
  <c r="BQ64" i="4" s="1"/>
  <c r="AG64" i="4"/>
  <c r="CA64" i="4" s="1"/>
  <c r="CB64" i="4" s="1"/>
  <c r="AH64" i="4"/>
  <c r="AE64" i="4"/>
  <c r="BL64" i="4" s="1"/>
  <c r="BM64" i="4" s="1"/>
  <c r="AD64" i="4"/>
  <c r="AA64" i="4"/>
  <c r="AW64" i="4" s="1"/>
  <c r="AB64" i="4"/>
  <c r="BB64" i="4" s="1"/>
  <c r="BC64" i="4" s="1"/>
  <c r="BI63" i="4"/>
  <c r="CC63" i="4"/>
  <c r="BG64" i="4"/>
  <c r="BH64" i="4" s="1"/>
  <c r="CP63" i="4"/>
  <c r="CJ64" i="4"/>
  <c r="CK64" i="4" s="1"/>
  <c r="CL64" i="4" s="1"/>
  <c r="BD62" i="4"/>
  <c r="AL62" i="4"/>
  <c r="BS63" i="4"/>
  <c r="BR63" i="4"/>
  <c r="AT62" i="4"/>
  <c r="AK63" i="4"/>
  <c r="AM63" i="4" s="1"/>
  <c r="AR63" i="4"/>
  <c r="AS63" i="4" s="1"/>
  <c r="AP64" i="4"/>
  <c r="AY63" i="4"/>
  <c r="AX63" i="4"/>
  <c r="BN62" i="4"/>
  <c r="B65" i="4"/>
  <c r="BZ65" i="4" l="1"/>
  <c r="BT65" i="4"/>
  <c r="BE65" i="4"/>
  <c r="AV65" i="4"/>
  <c r="BJ65" i="4"/>
  <c r="AN65" i="4"/>
  <c r="BO65" i="4"/>
  <c r="AZ65" i="4"/>
  <c r="AU65" i="4"/>
  <c r="BA65" i="4"/>
  <c r="BF65" i="4"/>
  <c r="BK65" i="4"/>
  <c r="BP65" i="4"/>
  <c r="AT63" i="4"/>
  <c r="AO65" i="4"/>
  <c r="AD65" i="4"/>
  <c r="AE65" i="4"/>
  <c r="BL65" i="4" s="1"/>
  <c r="BM65" i="4" s="1"/>
  <c r="AC65" i="4"/>
  <c r="BQ65" i="4" s="1"/>
  <c r="AG65" i="4"/>
  <c r="CA65" i="4" s="1"/>
  <c r="CB65" i="4" s="1"/>
  <c r="AH65" i="4"/>
  <c r="AA65" i="4"/>
  <c r="AW65" i="4" s="1"/>
  <c r="AB65" i="4"/>
  <c r="BB65" i="4" s="1"/>
  <c r="BC65" i="4" s="1"/>
  <c r="BI64" i="4"/>
  <c r="BG65" i="4"/>
  <c r="BH65" i="4" s="1"/>
  <c r="CC64" i="4"/>
  <c r="CP64" i="4"/>
  <c r="CJ65" i="4"/>
  <c r="CK65" i="4" s="1"/>
  <c r="CL65" i="4" s="1"/>
  <c r="BD63" i="4"/>
  <c r="BS64" i="4"/>
  <c r="BR64" i="4"/>
  <c r="AL63" i="4"/>
  <c r="AK64" i="4"/>
  <c r="AM64" i="4" s="1"/>
  <c r="AR64" i="4"/>
  <c r="AS64" i="4" s="1"/>
  <c r="AP65" i="4"/>
  <c r="AY64" i="4"/>
  <c r="AX64" i="4"/>
  <c r="BN63" i="4"/>
  <c r="B66" i="4"/>
  <c r="BZ66" i="4" l="1"/>
  <c r="BO66" i="4"/>
  <c r="BJ66" i="4"/>
  <c r="AZ66" i="4"/>
  <c r="AN66" i="4"/>
  <c r="AV66" i="4"/>
  <c r="BT66" i="4"/>
  <c r="BE66" i="4"/>
  <c r="AU66" i="4"/>
  <c r="BF66" i="4"/>
  <c r="BA66" i="4"/>
  <c r="BK66" i="4"/>
  <c r="BP66" i="4"/>
  <c r="AO66" i="4"/>
  <c r="AE66" i="4"/>
  <c r="BL66" i="4" s="1"/>
  <c r="BM66" i="4" s="1"/>
  <c r="AD66" i="4"/>
  <c r="AG66" i="4"/>
  <c r="CA66" i="4" s="1"/>
  <c r="CB66" i="4" s="1"/>
  <c r="AC66" i="4"/>
  <c r="BQ66" i="4" s="1"/>
  <c r="AH66" i="4"/>
  <c r="AA66" i="4"/>
  <c r="AW66" i="4" s="1"/>
  <c r="AB66" i="4"/>
  <c r="BB66" i="4" s="1"/>
  <c r="BC66" i="4" s="1"/>
  <c r="BI65" i="4"/>
  <c r="CC65" i="4"/>
  <c r="BG66" i="4"/>
  <c r="BI66" i="4" s="1"/>
  <c r="CP65" i="4"/>
  <c r="CJ66" i="4"/>
  <c r="CK66" i="4" s="1"/>
  <c r="CL66" i="4" s="1"/>
  <c r="BD64" i="4"/>
  <c r="BS65" i="4"/>
  <c r="BR65" i="4"/>
  <c r="AK65" i="4"/>
  <c r="AM65" i="4" s="1"/>
  <c r="AL64" i="4"/>
  <c r="AT64" i="4"/>
  <c r="AR65" i="4"/>
  <c r="AS65" i="4" s="1"/>
  <c r="AP66" i="4"/>
  <c r="AY65" i="4"/>
  <c r="AX65" i="4"/>
  <c r="BN64" i="4"/>
  <c r="B67" i="4"/>
  <c r="BZ67" i="4" l="1"/>
  <c r="BT67" i="4"/>
  <c r="BE67" i="4"/>
  <c r="AV67" i="4"/>
  <c r="BO67" i="4"/>
  <c r="AZ67" i="4"/>
  <c r="BJ67" i="4"/>
  <c r="AN67" i="4"/>
  <c r="AU67" i="4"/>
  <c r="BF67" i="4"/>
  <c r="BA67" i="4"/>
  <c r="BK67" i="4"/>
  <c r="BP67" i="4"/>
  <c r="AO67" i="4"/>
  <c r="AC67" i="4"/>
  <c r="BQ67" i="4" s="1"/>
  <c r="AD67" i="4"/>
  <c r="AH67" i="4"/>
  <c r="AE67" i="4"/>
  <c r="BL67" i="4" s="1"/>
  <c r="BM67" i="4" s="1"/>
  <c r="AG67" i="4"/>
  <c r="CA67" i="4" s="1"/>
  <c r="CB67" i="4" s="1"/>
  <c r="AA67" i="4"/>
  <c r="AW67" i="4" s="1"/>
  <c r="AB67" i="4"/>
  <c r="BB67" i="4" s="1"/>
  <c r="BC67" i="4" s="1"/>
  <c r="BH66" i="4"/>
  <c r="CC66" i="4"/>
  <c r="BG67" i="4"/>
  <c r="BH67" i="4" s="1"/>
  <c r="CP66" i="4"/>
  <c r="CJ67" i="4"/>
  <c r="CK67" i="4" s="1"/>
  <c r="CL67" i="4" s="1"/>
  <c r="BD65" i="4"/>
  <c r="BS66" i="4"/>
  <c r="BR66" i="4"/>
  <c r="AL65" i="4"/>
  <c r="AK66" i="4"/>
  <c r="AM66" i="4" s="1"/>
  <c r="AT65" i="4"/>
  <c r="AR66" i="4"/>
  <c r="AS66" i="4" s="1"/>
  <c r="AP67" i="4"/>
  <c r="AY66" i="4"/>
  <c r="AX66" i="4"/>
  <c r="BN65" i="4"/>
  <c r="B68" i="4"/>
  <c r="BZ68" i="4" l="1"/>
  <c r="BJ68" i="4"/>
  <c r="AV68" i="4"/>
  <c r="BE68" i="4"/>
  <c r="AN68" i="4"/>
  <c r="BO68" i="4"/>
  <c r="BT68" i="4"/>
  <c r="AZ68" i="4"/>
  <c r="AU68" i="4"/>
  <c r="BF68" i="4"/>
  <c r="BA68" i="4"/>
  <c r="BK68" i="4"/>
  <c r="BP68" i="4"/>
  <c r="AO68" i="4"/>
  <c r="AG68" i="4"/>
  <c r="CA68" i="4" s="1"/>
  <c r="CB68" i="4" s="1"/>
  <c r="AE68" i="4"/>
  <c r="BL68" i="4" s="1"/>
  <c r="BM68" i="4" s="1"/>
  <c r="AH68" i="4"/>
  <c r="AC68" i="4"/>
  <c r="BQ68" i="4" s="1"/>
  <c r="AD68" i="4"/>
  <c r="AA68" i="4"/>
  <c r="AW68" i="4" s="1"/>
  <c r="AB68" i="4"/>
  <c r="BB68" i="4" s="1"/>
  <c r="BC68" i="4" s="1"/>
  <c r="BI67" i="4"/>
  <c r="CC67" i="4"/>
  <c r="BG68" i="4"/>
  <c r="BI68" i="4" s="1"/>
  <c r="CP67" i="4"/>
  <c r="CJ68" i="4"/>
  <c r="CK68" i="4" s="1"/>
  <c r="CL68" i="4" s="1"/>
  <c r="BD66" i="4"/>
  <c r="BS67" i="4"/>
  <c r="BR67" i="4"/>
  <c r="AL66" i="4"/>
  <c r="AK67" i="4"/>
  <c r="AM67" i="4" s="1"/>
  <c r="AT66" i="4"/>
  <c r="AR67" i="4"/>
  <c r="AS67" i="4" s="1"/>
  <c r="AP68" i="4"/>
  <c r="AY67" i="4"/>
  <c r="AX67" i="4"/>
  <c r="BN66" i="4"/>
  <c r="B69" i="4"/>
  <c r="BZ69" i="4" l="1"/>
  <c r="BT69" i="4"/>
  <c r="AZ69" i="4"/>
  <c r="AV69" i="4"/>
  <c r="BJ69" i="4"/>
  <c r="BE69" i="4"/>
  <c r="AN69" i="4"/>
  <c r="BO69" i="4"/>
  <c r="AU69" i="4"/>
  <c r="BF69" i="4"/>
  <c r="BA69" i="4"/>
  <c r="BK69" i="4"/>
  <c r="BP69" i="4"/>
  <c r="AO69" i="4"/>
  <c r="AC69" i="4"/>
  <c r="BQ69" i="4" s="1"/>
  <c r="AH69" i="4"/>
  <c r="AD69" i="4"/>
  <c r="AE69" i="4"/>
  <c r="BL69" i="4" s="1"/>
  <c r="BM69" i="4" s="1"/>
  <c r="AG69" i="4"/>
  <c r="CA69" i="4" s="1"/>
  <c r="CB69" i="4" s="1"/>
  <c r="AA69" i="4"/>
  <c r="AW69" i="4" s="1"/>
  <c r="AB69" i="4"/>
  <c r="BB69" i="4" s="1"/>
  <c r="BC69" i="4" s="1"/>
  <c r="BH68" i="4"/>
  <c r="CC68" i="4"/>
  <c r="BG69" i="4"/>
  <c r="BI69" i="4" s="1"/>
  <c r="CP68" i="4"/>
  <c r="CJ69" i="4"/>
  <c r="CK69" i="4" s="1"/>
  <c r="CL69" i="4" s="1"/>
  <c r="BD67" i="4"/>
  <c r="BR68" i="4"/>
  <c r="BS68" i="4"/>
  <c r="AL67" i="4"/>
  <c r="AT67" i="4"/>
  <c r="AK68" i="4"/>
  <c r="AM68" i="4" s="1"/>
  <c r="AR68" i="4"/>
  <c r="AS68" i="4" s="1"/>
  <c r="AP69" i="4"/>
  <c r="AY68" i="4"/>
  <c r="AX68" i="4"/>
  <c r="BN67" i="4"/>
  <c r="B70" i="4"/>
  <c r="BZ70" i="4" l="1"/>
  <c r="BE70" i="4"/>
  <c r="BJ70" i="4"/>
  <c r="BT70" i="4"/>
  <c r="AN70" i="4"/>
  <c r="AZ70" i="4"/>
  <c r="AV70" i="4"/>
  <c r="BO70" i="4"/>
  <c r="AU70" i="4"/>
  <c r="BF70" i="4"/>
  <c r="BA70" i="4"/>
  <c r="BK70" i="4"/>
  <c r="BP70" i="4"/>
  <c r="AO70" i="4"/>
  <c r="ED20" i="4"/>
  <c r="AH70" i="4"/>
  <c r="AE70" i="4"/>
  <c r="BL70" i="4" s="1"/>
  <c r="BM70" i="4" s="1"/>
  <c r="AG70" i="4"/>
  <c r="CA70" i="4" s="1"/>
  <c r="CB70" i="4" s="1"/>
  <c r="AC70" i="4"/>
  <c r="BQ70" i="4" s="1"/>
  <c r="AD70" i="4"/>
  <c r="AA70" i="4"/>
  <c r="AW70" i="4" s="1"/>
  <c r="AY70" i="4" s="1"/>
  <c r="AB70" i="4"/>
  <c r="BB70" i="4" s="1"/>
  <c r="BC70" i="4" s="1"/>
  <c r="BH69" i="4"/>
  <c r="CC69" i="4"/>
  <c r="BG70" i="4"/>
  <c r="BH70" i="4" s="1"/>
  <c r="CP69" i="4"/>
  <c r="CJ70" i="4"/>
  <c r="CK70" i="4" s="1"/>
  <c r="CL70" i="4" s="1"/>
  <c r="BD68" i="4"/>
  <c r="BS69" i="4"/>
  <c r="BR69" i="4"/>
  <c r="AL68" i="4"/>
  <c r="AK69" i="4"/>
  <c r="AM69" i="4" s="1"/>
  <c r="AT68" i="4"/>
  <c r="AR69" i="4"/>
  <c r="AS69" i="4" s="1"/>
  <c r="AP70" i="4"/>
  <c r="AY69" i="4"/>
  <c r="AX69" i="4"/>
  <c r="BN68" i="4"/>
  <c r="B71" i="4"/>
  <c r="BZ71" i="4" l="1"/>
  <c r="BE71" i="4"/>
  <c r="AV71" i="4"/>
  <c r="BT71" i="4"/>
  <c r="BJ71" i="4"/>
  <c r="AZ71" i="4"/>
  <c r="BO71" i="4"/>
  <c r="AN71" i="4"/>
  <c r="CE11" i="4"/>
  <c r="CE19" i="4"/>
  <c r="CE27" i="4"/>
  <c r="CE35" i="4"/>
  <c r="CE43" i="4"/>
  <c r="CE51" i="4"/>
  <c r="CE59" i="4"/>
  <c r="CE67" i="4"/>
  <c r="CE32" i="4"/>
  <c r="CE48" i="4"/>
  <c r="CE64" i="4"/>
  <c r="CE41" i="4"/>
  <c r="CE57" i="4"/>
  <c r="CE18" i="4"/>
  <c r="CE50" i="4"/>
  <c r="CE12" i="4"/>
  <c r="CE20" i="4"/>
  <c r="CE28" i="4"/>
  <c r="CE36" i="4"/>
  <c r="CE44" i="4"/>
  <c r="CE52" i="4"/>
  <c r="CE60" i="4"/>
  <c r="CE68" i="4"/>
  <c r="CE24" i="4"/>
  <c r="CE56" i="4"/>
  <c r="CE42" i="4"/>
  <c r="CE13" i="4"/>
  <c r="CE21" i="4"/>
  <c r="CE29" i="4"/>
  <c r="CE37" i="4"/>
  <c r="CE45" i="4"/>
  <c r="CE53" i="4"/>
  <c r="CE61" i="4"/>
  <c r="CE69" i="4"/>
  <c r="CE16" i="4"/>
  <c r="CE17" i="4"/>
  <c r="CE65" i="4"/>
  <c r="CE14" i="4"/>
  <c r="CE22" i="4"/>
  <c r="CE30" i="4"/>
  <c r="CE38" i="4"/>
  <c r="CE46" i="4"/>
  <c r="CE54" i="4"/>
  <c r="CE62" i="4"/>
  <c r="CE70" i="4"/>
  <c r="CE33" i="4"/>
  <c r="CE34" i="4"/>
  <c r="CE66" i="4"/>
  <c r="CE15" i="4"/>
  <c r="CE23" i="4"/>
  <c r="CE31" i="4"/>
  <c r="CE39" i="4"/>
  <c r="CE47" i="4"/>
  <c r="CE55" i="4"/>
  <c r="CE63" i="4"/>
  <c r="CE71" i="4"/>
  <c r="CE40" i="4"/>
  <c r="CE25" i="4"/>
  <c r="CE49" i="4"/>
  <c r="CE26" i="4"/>
  <c r="CE58" i="4"/>
  <c r="AU71" i="4"/>
  <c r="BA71" i="4"/>
  <c r="BF71" i="4"/>
  <c r="BK71" i="4"/>
  <c r="BP71" i="4"/>
  <c r="DW15" i="4"/>
  <c r="AO71" i="4"/>
  <c r="AC71" i="4"/>
  <c r="BQ71" i="4" s="1"/>
  <c r="AG71" i="4"/>
  <c r="CA71" i="4" s="1"/>
  <c r="CC71" i="4" s="1"/>
  <c r="AD71" i="4"/>
  <c r="AH71" i="4"/>
  <c r="AE71" i="4"/>
  <c r="BL71" i="4" s="1"/>
  <c r="BM71" i="4" s="1"/>
  <c r="AA71" i="4"/>
  <c r="AW71" i="4" s="1"/>
  <c r="AY71" i="4" s="1"/>
  <c r="AB71" i="4"/>
  <c r="BB71" i="4" s="1"/>
  <c r="BC71" i="4" s="1"/>
  <c r="BI70" i="4"/>
  <c r="CC70" i="4"/>
  <c r="BG71" i="4"/>
  <c r="BI71" i="4" s="1"/>
  <c r="CP70" i="4"/>
  <c r="BD69" i="4"/>
  <c r="CJ71" i="4"/>
  <c r="CK71" i="4" s="1"/>
  <c r="CL71" i="4" s="1"/>
  <c r="BR70" i="4"/>
  <c r="BS70" i="4"/>
  <c r="AL69" i="4"/>
  <c r="AK70" i="4"/>
  <c r="AT69" i="4"/>
  <c r="AR70" i="4"/>
  <c r="AS70" i="4" s="1"/>
  <c r="AX70" i="4"/>
  <c r="AP71" i="4"/>
  <c r="BN69" i="4"/>
  <c r="B72" i="4"/>
  <c r="BZ72" i="4" l="1"/>
  <c r="BJ72" i="4"/>
  <c r="AZ72" i="4"/>
  <c r="BE72" i="4"/>
  <c r="BT72" i="4"/>
  <c r="BO72" i="4"/>
  <c r="AN72" i="4"/>
  <c r="AV72" i="4"/>
  <c r="CE72" i="4"/>
  <c r="BA72" i="4"/>
  <c r="BF72" i="4"/>
  <c r="BK72" i="4"/>
  <c r="AU72" i="4"/>
  <c r="BP72" i="4"/>
  <c r="AO72" i="4"/>
  <c r="AD72" i="4"/>
  <c r="AH72" i="4"/>
  <c r="AG72" i="4"/>
  <c r="CA72" i="4" s="1"/>
  <c r="CB72" i="4" s="1"/>
  <c r="AE72" i="4"/>
  <c r="BL72" i="4" s="1"/>
  <c r="BM72" i="4" s="1"/>
  <c r="AC72" i="4"/>
  <c r="BQ72" i="4" s="1"/>
  <c r="AA72" i="4"/>
  <c r="AW72" i="4" s="1"/>
  <c r="AY72" i="4" s="1"/>
  <c r="AB72" i="4"/>
  <c r="BB72" i="4" s="1"/>
  <c r="BC72" i="4" s="1"/>
  <c r="BH71" i="4"/>
  <c r="BG72" i="4"/>
  <c r="BH72" i="4" s="1"/>
  <c r="CB71" i="4"/>
  <c r="AL70" i="4"/>
  <c r="AM70" i="4"/>
  <c r="CP71" i="4"/>
  <c r="BD70" i="4"/>
  <c r="CJ72" i="4"/>
  <c r="BS71" i="4"/>
  <c r="BR71" i="4"/>
  <c r="AK71" i="4"/>
  <c r="AT70" i="4"/>
  <c r="AX71" i="4"/>
  <c r="AR71" i="4"/>
  <c r="AS71" i="4" s="1"/>
  <c r="AP72" i="4"/>
  <c r="BN70" i="4"/>
  <c r="B73" i="4"/>
  <c r="AN73" i="4" l="1"/>
  <c r="BT73" i="4"/>
  <c r="BJ73" i="4"/>
  <c r="BO73" i="4"/>
  <c r="BE73" i="4"/>
  <c r="AZ73" i="4"/>
  <c r="AV73" i="4"/>
  <c r="BZ73" i="4"/>
  <c r="CE73" i="4"/>
  <c r="BA73" i="4"/>
  <c r="BF73" i="4"/>
  <c r="BK73" i="4"/>
  <c r="AU73" i="4"/>
  <c r="BP73" i="4"/>
  <c r="AO73" i="4"/>
  <c r="AD73" i="4"/>
  <c r="AG73" i="4"/>
  <c r="CA73" i="4" s="1"/>
  <c r="CB73" i="4" s="1"/>
  <c r="AE73" i="4"/>
  <c r="BL73" i="4" s="1"/>
  <c r="BM73" i="4" s="1"/>
  <c r="AH73" i="4"/>
  <c r="AC73" i="4"/>
  <c r="BQ73" i="4" s="1"/>
  <c r="BR73" i="4" s="1"/>
  <c r="AA73" i="4"/>
  <c r="AW73" i="4" s="1"/>
  <c r="AY73" i="4" s="1"/>
  <c r="AB73" i="4"/>
  <c r="BB73" i="4" s="1"/>
  <c r="BC73" i="4" s="1"/>
  <c r="BI72" i="4"/>
  <c r="BG73" i="4"/>
  <c r="BH73" i="4" s="1"/>
  <c r="CC72" i="4"/>
  <c r="AL71" i="4"/>
  <c r="AM71" i="4"/>
  <c r="BD71" i="4"/>
  <c r="CK72" i="4"/>
  <c r="CL72" i="4" s="1"/>
  <c r="CP72" i="4"/>
  <c r="CJ73" i="4"/>
  <c r="BS72" i="4"/>
  <c r="BR72" i="4"/>
  <c r="AX72" i="4"/>
  <c r="AK72" i="4"/>
  <c r="AT71" i="4"/>
  <c r="BN71" i="4"/>
  <c r="AR72" i="4"/>
  <c r="AS72" i="4" s="1"/>
  <c r="AP73" i="4"/>
  <c r="B74" i="4"/>
  <c r="BJ74" i="4" l="1"/>
  <c r="AZ74" i="4"/>
  <c r="BO74" i="4"/>
  <c r="AV74" i="4"/>
  <c r="BE74" i="4"/>
  <c r="BT74" i="4"/>
  <c r="AN74" i="4"/>
  <c r="BZ74" i="4"/>
  <c r="CE74" i="4"/>
  <c r="BF74" i="4"/>
  <c r="BA74" i="4"/>
  <c r="BK74" i="4"/>
  <c r="AU74" i="4"/>
  <c r="BP74" i="4"/>
  <c r="DY14" i="4"/>
  <c r="AO74" i="4"/>
  <c r="AG74" i="4"/>
  <c r="CA74" i="4" s="1"/>
  <c r="CB74" i="4" s="1"/>
  <c r="AD74" i="4"/>
  <c r="AH74" i="4"/>
  <c r="AC74" i="4"/>
  <c r="BQ74" i="4" s="1"/>
  <c r="AE74" i="4"/>
  <c r="BL74" i="4" s="1"/>
  <c r="BM74" i="4" s="1"/>
  <c r="AA74" i="4"/>
  <c r="AW74" i="4" s="1"/>
  <c r="AY74" i="4" s="1"/>
  <c r="AB74" i="4"/>
  <c r="BB74" i="4" s="1"/>
  <c r="BC74" i="4" s="1"/>
  <c r="BI73" i="4"/>
  <c r="BG74" i="4"/>
  <c r="BH74" i="4" s="1"/>
  <c r="CC73" i="4"/>
  <c r="AL72" i="4"/>
  <c r="AM72" i="4"/>
  <c r="BD72" i="4"/>
  <c r="CK73" i="4"/>
  <c r="CL73" i="4" s="1"/>
  <c r="CP73" i="4"/>
  <c r="CJ74" i="4"/>
  <c r="BS73" i="4"/>
  <c r="AX73" i="4"/>
  <c r="BN72" i="4"/>
  <c r="AK73" i="4"/>
  <c r="AT72" i="4"/>
  <c r="AR73" i="4"/>
  <c r="AS73" i="4" s="1"/>
  <c r="AP74" i="4"/>
  <c r="B75" i="4"/>
  <c r="AN75" i="4" l="1"/>
  <c r="BT75" i="4"/>
  <c r="BE75" i="4"/>
  <c r="AZ75" i="4"/>
  <c r="BO75" i="4"/>
  <c r="AV75" i="4"/>
  <c r="BJ75" i="4"/>
  <c r="BZ75" i="4"/>
  <c r="CE75" i="4"/>
  <c r="BF75" i="4"/>
  <c r="BA75" i="4"/>
  <c r="BK75" i="4"/>
  <c r="AU75" i="4"/>
  <c r="BP75" i="4"/>
  <c r="DW14" i="4"/>
  <c r="AT73" i="4"/>
  <c r="AO75" i="4"/>
  <c r="AG75" i="4"/>
  <c r="CA75" i="4" s="1"/>
  <c r="CB75" i="4" s="1"/>
  <c r="AC75" i="4"/>
  <c r="BQ75" i="4" s="1"/>
  <c r="AE75" i="4"/>
  <c r="BL75" i="4" s="1"/>
  <c r="BM75" i="4" s="1"/>
  <c r="AD75" i="4"/>
  <c r="AH75" i="4"/>
  <c r="AA75" i="4"/>
  <c r="AW75" i="4" s="1"/>
  <c r="AY75" i="4" s="1"/>
  <c r="AB75" i="4"/>
  <c r="BB75" i="4" s="1"/>
  <c r="BC75" i="4" s="1"/>
  <c r="BI74" i="4"/>
  <c r="BG75" i="4"/>
  <c r="BH75" i="4" s="1"/>
  <c r="CC74" i="4"/>
  <c r="AL73" i="4"/>
  <c r="AM73" i="4"/>
  <c r="BD73" i="4"/>
  <c r="CK74" i="4"/>
  <c r="CL74" i="4" s="1"/>
  <c r="CP74" i="4"/>
  <c r="CJ75" i="4"/>
  <c r="CP75" i="4" s="1"/>
  <c r="AX74" i="4"/>
  <c r="BS74" i="4"/>
  <c r="BR74" i="4"/>
  <c r="BN73" i="4"/>
  <c r="AK74" i="4"/>
  <c r="AM74" i="4" s="1"/>
  <c r="AR74" i="4"/>
  <c r="AS74" i="4" s="1"/>
  <c r="AP75" i="4"/>
  <c r="B76" i="4"/>
  <c r="BT76" i="4" l="1"/>
  <c r="AZ76" i="4"/>
  <c r="BJ76" i="4"/>
  <c r="AV76" i="4"/>
  <c r="BE76" i="4"/>
  <c r="AN76" i="4"/>
  <c r="BO76" i="4"/>
  <c r="BZ76" i="4"/>
  <c r="CE76" i="4"/>
  <c r="BF76" i="4"/>
  <c r="BA76" i="4"/>
  <c r="BK76" i="4"/>
  <c r="AU76" i="4"/>
  <c r="BP76" i="4"/>
  <c r="DY16" i="4"/>
  <c r="DW18" i="4"/>
  <c r="AO76" i="4"/>
  <c r="DY17" i="4"/>
  <c r="AR75" i="4"/>
  <c r="AS75" i="4" s="1"/>
  <c r="AH76" i="4"/>
  <c r="AE76" i="4"/>
  <c r="BL76" i="4" s="1"/>
  <c r="BM76" i="4" s="1"/>
  <c r="AG76" i="4"/>
  <c r="CA76" i="4" s="1"/>
  <c r="CB76" i="4" s="1"/>
  <c r="AD76" i="4"/>
  <c r="AC76" i="4"/>
  <c r="BQ76" i="4" s="1"/>
  <c r="AA76" i="4"/>
  <c r="AW76" i="4" s="1"/>
  <c r="AY76" i="4" s="1"/>
  <c r="AB76" i="4"/>
  <c r="BB76" i="4" s="1"/>
  <c r="BC76" i="4" s="1"/>
  <c r="BI75" i="4"/>
  <c r="BG76" i="4"/>
  <c r="BI76" i="4" s="1"/>
  <c r="CC75" i="4"/>
  <c r="BD74" i="4"/>
  <c r="BS75" i="4"/>
  <c r="BR75" i="4"/>
  <c r="AX75" i="4"/>
  <c r="CJ76" i="4"/>
  <c r="CK75" i="4"/>
  <c r="CL75" i="4" s="1"/>
  <c r="BN74" i="4"/>
  <c r="AT74" i="4"/>
  <c r="AL74" i="4"/>
  <c r="AK75" i="4"/>
  <c r="AM75" i="4" s="1"/>
  <c r="AP76" i="4"/>
  <c r="BD75" i="4"/>
  <c r="B77" i="4"/>
  <c r="BO77" i="4" l="1"/>
  <c r="BT77" i="4"/>
  <c r="AZ77" i="4"/>
  <c r="AV77" i="4"/>
  <c r="BJ77" i="4"/>
  <c r="BE77" i="4"/>
  <c r="AN77" i="4"/>
  <c r="BZ77" i="4"/>
  <c r="CE77" i="4"/>
  <c r="BF77" i="4"/>
  <c r="BA77" i="4"/>
  <c r="BK77" i="4"/>
  <c r="AU77" i="4"/>
  <c r="BP77" i="4"/>
  <c r="DW16" i="4"/>
  <c r="AO77" i="4"/>
  <c r="AT75" i="4"/>
  <c r="AR76" i="4"/>
  <c r="AS76" i="4" s="1"/>
  <c r="AH77" i="4"/>
  <c r="AC77" i="4"/>
  <c r="BQ77" i="4" s="1"/>
  <c r="AE77" i="4"/>
  <c r="BL77" i="4" s="1"/>
  <c r="BM77" i="4" s="1"/>
  <c r="AD77" i="4"/>
  <c r="AG77" i="4"/>
  <c r="CA77" i="4" s="1"/>
  <c r="CC77" i="4" s="1"/>
  <c r="AA77" i="4"/>
  <c r="AW77" i="4" s="1"/>
  <c r="AY77" i="4" s="1"/>
  <c r="AB77" i="4"/>
  <c r="BB77" i="4" s="1"/>
  <c r="BC77" i="4" s="1"/>
  <c r="BH76" i="4"/>
  <c r="BG77" i="4"/>
  <c r="BI77" i="4" s="1"/>
  <c r="CC76" i="4"/>
  <c r="BS76" i="4"/>
  <c r="BR76" i="4"/>
  <c r="AX76" i="4"/>
  <c r="BN75" i="4"/>
  <c r="CK76" i="4"/>
  <c r="CL76" i="4" s="1"/>
  <c r="CP76" i="4"/>
  <c r="CJ77" i="4"/>
  <c r="AL75" i="4"/>
  <c r="AK76" i="4"/>
  <c r="AM76" i="4" s="1"/>
  <c r="AP77" i="4"/>
  <c r="BD76" i="4"/>
  <c r="B78" i="4"/>
  <c r="BO78" i="4" l="1"/>
  <c r="BE78" i="4"/>
  <c r="BJ78" i="4"/>
  <c r="BT78" i="4"/>
  <c r="AN78" i="4"/>
  <c r="AZ78" i="4"/>
  <c r="AV78" i="4"/>
  <c r="BZ78" i="4"/>
  <c r="CE78" i="4"/>
  <c r="DW17" i="4"/>
  <c r="BA78" i="4"/>
  <c r="BF78" i="4"/>
  <c r="BK78" i="4"/>
  <c r="AU78" i="4"/>
  <c r="BP78" i="4"/>
  <c r="AO78" i="4"/>
  <c r="AT76" i="4"/>
  <c r="DY18" i="4"/>
  <c r="AR77" i="4"/>
  <c r="AS77" i="4" s="1"/>
  <c r="BH77" i="4"/>
  <c r="CB77" i="4"/>
  <c r="BS77" i="4"/>
  <c r="BR77" i="4"/>
  <c r="AX77" i="4"/>
  <c r="AD78" i="4"/>
  <c r="AH78" i="4"/>
  <c r="AC78" i="4"/>
  <c r="BQ78" i="4" s="1"/>
  <c r="AE78" i="4"/>
  <c r="BL78" i="4" s="1"/>
  <c r="BM78" i="4" s="1"/>
  <c r="AG78" i="4"/>
  <c r="CA78" i="4" s="1"/>
  <c r="CC78" i="4" s="1"/>
  <c r="AA78" i="4"/>
  <c r="AW78" i="4" s="1"/>
  <c r="AY78" i="4" s="1"/>
  <c r="AB78" i="4"/>
  <c r="BB78" i="4" s="1"/>
  <c r="BC78" i="4" s="1"/>
  <c r="BG78" i="4"/>
  <c r="BI78" i="4" s="1"/>
  <c r="BN76" i="4"/>
  <c r="AL76" i="4"/>
  <c r="CK77" i="4"/>
  <c r="CL77" i="4" s="1"/>
  <c r="CP77" i="4"/>
  <c r="CJ78" i="4"/>
  <c r="AK77" i="4"/>
  <c r="AM77" i="4" s="1"/>
  <c r="AP78" i="4"/>
  <c r="BN77" i="4"/>
  <c r="BD77" i="4"/>
  <c r="B79" i="4"/>
  <c r="BO79" i="4" l="1"/>
  <c r="AN79" i="4"/>
  <c r="AZ79" i="4"/>
  <c r="AV79" i="4"/>
  <c r="BJ79" i="4"/>
  <c r="BE79" i="4"/>
  <c r="BT79" i="4"/>
  <c r="BZ79" i="4"/>
  <c r="CE79" i="4"/>
  <c r="BA79" i="4"/>
  <c r="BF79" i="4"/>
  <c r="BK79" i="4"/>
  <c r="AU79" i="4"/>
  <c r="BP79" i="4"/>
  <c r="AO79" i="4"/>
  <c r="AT77" i="4"/>
  <c r="AX78" i="4"/>
  <c r="BH78" i="4"/>
  <c r="BS78" i="4"/>
  <c r="BR78" i="4"/>
  <c r="CB78" i="4"/>
  <c r="AR78" i="4"/>
  <c r="AS78" i="4" s="1"/>
  <c r="AD79" i="4"/>
  <c r="AC79" i="4"/>
  <c r="BQ79" i="4" s="1"/>
  <c r="AH79" i="4"/>
  <c r="AE79" i="4"/>
  <c r="BL79" i="4" s="1"/>
  <c r="BM79" i="4" s="1"/>
  <c r="AG79" i="4"/>
  <c r="CA79" i="4" s="1"/>
  <c r="CB79" i="4" s="1"/>
  <c r="AA79" i="4"/>
  <c r="AW79" i="4" s="1"/>
  <c r="AY79" i="4" s="1"/>
  <c r="AB79" i="4"/>
  <c r="BB79" i="4" s="1"/>
  <c r="BC79" i="4" s="1"/>
  <c r="BG79" i="4"/>
  <c r="BI79" i="4" s="1"/>
  <c r="AL77" i="4"/>
  <c r="CK78" i="4"/>
  <c r="CL78" i="4" s="1"/>
  <c r="CP78" i="4"/>
  <c r="CJ79" i="4"/>
  <c r="AK78" i="4"/>
  <c r="AP79" i="4"/>
  <c r="BN78" i="4"/>
  <c r="BD78" i="4"/>
  <c r="B80" i="4"/>
  <c r="BJ80" i="4" l="1"/>
  <c r="BT80" i="4"/>
  <c r="BE80" i="4"/>
  <c r="AN80" i="4"/>
  <c r="AZ80" i="4"/>
  <c r="BO80" i="4"/>
  <c r="AV80" i="4"/>
  <c r="BZ80" i="4"/>
  <c r="CE80" i="4"/>
  <c r="BA80" i="4"/>
  <c r="BF80" i="4"/>
  <c r="BK80" i="4"/>
  <c r="AU80" i="4"/>
  <c r="BP80" i="4"/>
  <c r="AO80" i="4"/>
  <c r="BH79" i="4"/>
  <c r="AX79" i="4"/>
  <c r="BS79" i="4"/>
  <c r="BR79" i="4"/>
  <c r="CC79" i="4"/>
  <c r="AT78" i="4"/>
  <c r="AL78" i="4"/>
  <c r="AM78" i="4"/>
  <c r="AD80" i="4"/>
  <c r="AE80" i="4"/>
  <c r="BL80" i="4" s="1"/>
  <c r="BM80" i="4" s="1"/>
  <c r="AH80" i="4"/>
  <c r="AC80" i="4"/>
  <c r="BQ80" i="4" s="1"/>
  <c r="AG80" i="4"/>
  <c r="CA80" i="4" s="1"/>
  <c r="CB80" i="4" s="1"/>
  <c r="AA80" i="4"/>
  <c r="AW80" i="4" s="1"/>
  <c r="AX80" i="4" s="1"/>
  <c r="AB80" i="4"/>
  <c r="BB80" i="4" s="1"/>
  <c r="BC80" i="4" s="1"/>
  <c r="BG80" i="4"/>
  <c r="BI80" i="4" s="1"/>
  <c r="B81" i="4"/>
  <c r="CJ80" i="4"/>
  <c r="CP79" i="4"/>
  <c r="CK79" i="4"/>
  <c r="CL79" i="4" s="1"/>
  <c r="AK79" i="4"/>
  <c r="AR79" i="4"/>
  <c r="AS79" i="4" s="1"/>
  <c r="AP80" i="4"/>
  <c r="BN79" i="4"/>
  <c r="BD79" i="4"/>
  <c r="AN81" i="4" l="1"/>
  <c r="AV81" i="4"/>
  <c r="BT81" i="4"/>
  <c r="BE81" i="4"/>
  <c r="AZ81" i="4"/>
  <c r="BJ81" i="4"/>
  <c r="BO81" i="4"/>
  <c r="BZ81" i="4"/>
  <c r="CE81" i="4"/>
  <c r="FS2" i="4" a="1"/>
  <c r="FY2" i="4" a="1"/>
  <c r="BF81" i="4"/>
  <c r="BA81" i="4"/>
  <c r="BK81" i="4"/>
  <c r="AU81" i="4"/>
  <c r="CK80" i="4"/>
  <c r="CL80" i="4" s="1"/>
  <c r="BP81" i="4"/>
  <c r="CC80" i="4"/>
  <c r="AO81" i="4"/>
  <c r="BH80" i="4"/>
  <c r="BS80" i="4"/>
  <c r="BR80" i="4"/>
  <c r="AT79" i="4"/>
  <c r="AL79" i="4"/>
  <c r="AM79" i="4"/>
  <c r="AD81" i="4"/>
  <c r="AG81" i="4"/>
  <c r="CA81" i="4" s="1"/>
  <c r="CB81" i="4" s="1"/>
  <c r="AH81" i="4"/>
  <c r="AC81" i="4"/>
  <c r="BQ81" i="4" s="1"/>
  <c r="AE81" i="4"/>
  <c r="BL81" i="4" s="1"/>
  <c r="BM81" i="4" s="1"/>
  <c r="AA81" i="4"/>
  <c r="AW81" i="4" s="1"/>
  <c r="AY81" i="4" s="1"/>
  <c r="AB81" i="4"/>
  <c r="BB81" i="4" s="1"/>
  <c r="BC81" i="4" s="1"/>
  <c r="BG81" i="4"/>
  <c r="BI81" i="4" s="1"/>
  <c r="CP80" i="4"/>
  <c r="B82" i="4"/>
  <c r="CJ81" i="4"/>
  <c r="AY80" i="4"/>
  <c r="AK80" i="4"/>
  <c r="AR80" i="4"/>
  <c r="AS80" i="4" s="1"/>
  <c r="AP81" i="4"/>
  <c r="BN80" i="4"/>
  <c r="BD80" i="4"/>
  <c r="AX81" i="4" l="1"/>
  <c r="BH81" i="4"/>
  <c r="BS81" i="4"/>
  <c r="BR81" i="4"/>
  <c r="DE15" i="4" s="1"/>
  <c r="BE82" i="4"/>
  <c r="BT82" i="4"/>
  <c r="BO82" i="4"/>
  <c r="AN82" i="4"/>
  <c r="AV82" i="4"/>
  <c r="AZ82" i="4"/>
  <c r="BJ82" i="4"/>
  <c r="BZ82" i="4"/>
  <c r="BW82" i="4"/>
  <c r="CE82" i="4"/>
  <c r="FP2" i="4" a="1"/>
  <c r="CC81" i="4"/>
  <c r="FY2" i="4"/>
  <c r="FZ5" i="4"/>
  <c r="FZ2" i="4"/>
  <c r="FZ6" i="4"/>
  <c r="FY3" i="4"/>
  <c r="FZ3" i="4"/>
  <c r="FY6" i="4"/>
  <c r="FY5" i="4"/>
  <c r="FZ4" i="4"/>
  <c r="FY4" i="4"/>
  <c r="FS4" i="4"/>
  <c r="FT6" i="4"/>
  <c r="FT2" i="4"/>
  <c r="FS5" i="4"/>
  <c r="FT3" i="4"/>
  <c r="FT5" i="4"/>
  <c r="FS6" i="4"/>
  <c r="FT4" i="4"/>
  <c r="FS3" i="4"/>
  <c r="FS2" i="4"/>
  <c r="FW2" i="4" s="1"/>
  <c r="BF82" i="4"/>
  <c r="BA82" i="4"/>
  <c r="BK82" i="4"/>
  <c r="AU82" i="4"/>
  <c r="BP82" i="4"/>
  <c r="AO82" i="4"/>
  <c r="AT80" i="4"/>
  <c r="AL80" i="4"/>
  <c r="AM80" i="4"/>
  <c r="AR81" i="4"/>
  <c r="AG82" i="4"/>
  <c r="CA82" i="4" s="1"/>
  <c r="AD82" i="4"/>
  <c r="AE82" i="4"/>
  <c r="BL82" i="4" s="1"/>
  <c r="AH82" i="4"/>
  <c r="BC82" i="4"/>
  <c r="AC82" i="4"/>
  <c r="BQ82" i="4" s="1"/>
  <c r="BS82" i="4" s="1"/>
  <c r="AA82" i="4"/>
  <c r="AW82" i="4" s="1"/>
  <c r="AY82" i="4" s="1"/>
  <c r="AB82" i="4"/>
  <c r="BB82" i="4" s="1"/>
  <c r="CB82" i="4"/>
  <c r="CC82" i="4"/>
  <c r="BM82" i="4"/>
  <c r="BH82" i="4"/>
  <c r="BG82" i="4"/>
  <c r="BI82" i="4" s="1"/>
  <c r="B83" i="4"/>
  <c r="CP81" i="4"/>
  <c r="CK81" i="4"/>
  <c r="CL81" i="4" s="1"/>
  <c r="CJ82" i="4"/>
  <c r="CB2" i="4" s="1" a="1"/>
  <c r="AK81" i="4"/>
  <c r="AP82" i="4"/>
  <c r="AQ2" i="4" s="1" a="1"/>
  <c r="AQ6" i="4" s="1"/>
  <c r="AX82" i="4"/>
  <c r="BN81" i="4"/>
  <c r="BD81" i="4"/>
  <c r="EC15" i="4" l="1"/>
  <c r="BT83" i="4"/>
  <c r="BO83" i="4"/>
  <c r="AN83" i="4"/>
  <c r="BE83" i="4"/>
  <c r="AV83" i="4"/>
  <c r="AZ83" i="4"/>
  <c r="BJ83" i="4"/>
  <c r="CB3" i="4"/>
  <c r="CC5" i="4"/>
  <c r="CB6" i="4"/>
  <c r="CC4" i="4"/>
  <c r="CB5" i="4"/>
  <c r="CC3" i="4"/>
  <c r="CC6" i="4"/>
  <c r="CB4" i="4"/>
  <c r="CB2" i="4"/>
  <c r="CC2" i="4"/>
  <c r="FQ2" i="4"/>
  <c r="FQ5" i="4"/>
  <c r="FQ4" i="4"/>
  <c r="FQ3" i="4"/>
  <c r="FP6" i="4"/>
  <c r="FP2" i="4"/>
  <c r="FP4" i="4"/>
  <c r="FP5" i="4"/>
  <c r="FP3" i="4"/>
  <c r="FQ6" i="4"/>
  <c r="BZ83" i="4"/>
  <c r="BW83" i="4"/>
  <c r="CE83" i="4"/>
  <c r="AR3" i="4"/>
  <c r="AR5" i="4"/>
  <c r="AR2" i="4"/>
  <c r="AQ3" i="4"/>
  <c r="AQ2" i="4"/>
  <c r="AQ5" i="4"/>
  <c r="AQ4" i="4"/>
  <c r="AR6" i="4"/>
  <c r="AR4" i="4"/>
  <c r="FV2" i="4"/>
  <c r="FX2" i="4"/>
  <c r="AT81" i="4"/>
  <c r="AS81" i="4"/>
  <c r="AL81" i="4"/>
  <c r="AM81" i="4"/>
  <c r="BF83" i="4"/>
  <c r="BA83" i="4"/>
  <c r="BK83" i="4"/>
  <c r="AU83" i="4"/>
  <c r="BP83" i="4"/>
  <c r="AS83" i="4"/>
  <c r="AO83" i="4"/>
  <c r="CR83" i="4"/>
  <c r="AR82" i="4"/>
  <c r="AG83" i="4"/>
  <c r="CA83" i="4" s="1"/>
  <c r="AC83" i="4"/>
  <c r="BQ83" i="4" s="1"/>
  <c r="BS83" i="4" s="1"/>
  <c r="AE83" i="4"/>
  <c r="BL83" i="4" s="1"/>
  <c r="BC83" i="4"/>
  <c r="AD83" i="4"/>
  <c r="AH83" i="4"/>
  <c r="AA83" i="4"/>
  <c r="AW83" i="4" s="1"/>
  <c r="AY83" i="4" s="1"/>
  <c r="AB83" i="4"/>
  <c r="BB83" i="4" s="1"/>
  <c r="AM83" i="4"/>
  <c r="CB83" i="4"/>
  <c r="BH83" i="4"/>
  <c r="CC83" i="4"/>
  <c r="BM83" i="4"/>
  <c r="BG83" i="4"/>
  <c r="BI83" i="4" s="1"/>
  <c r="B84" i="4"/>
  <c r="BD82" i="4"/>
  <c r="CP82" i="4"/>
  <c r="CK82" i="4"/>
  <c r="CL82" i="4" s="1"/>
  <c r="CJ83" i="4"/>
  <c r="CP83" i="4" s="1"/>
  <c r="AK82" i="4"/>
  <c r="AP83" i="4"/>
  <c r="AX83" i="4"/>
  <c r="BN82" i="4"/>
  <c r="CO78" i="4" l="1"/>
  <c r="DE19" i="4"/>
  <c r="DG19" i="4"/>
  <c r="CO82" i="4"/>
  <c r="CO66" i="4"/>
  <c r="CO63" i="4"/>
  <c r="CO59" i="4"/>
  <c r="CO72" i="4"/>
  <c r="CO60" i="4"/>
  <c r="CO65" i="4"/>
  <c r="CO79" i="4"/>
  <c r="CO70" i="4"/>
  <c r="CE2" i="4"/>
  <c r="CE3" i="4"/>
  <c r="CO68" i="4"/>
  <c r="CO77" i="4"/>
  <c r="CO80" i="4"/>
  <c r="CO55" i="4"/>
  <c r="CO69" i="4"/>
  <c r="CO74" i="4"/>
  <c r="CO71" i="4"/>
  <c r="CO64" i="4"/>
  <c r="CO57" i="4"/>
  <c r="CO81" i="4"/>
  <c r="CO56" i="4"/>
  <c r="CF2" i="4"/>
  <c r="CO76" i="4"/>
  <c r="BT84" i="4"/>
  <c r="AZ84" i="4"/>
  <c r="BO84" i="4"/>
  <c r="BJ84" i="4"/>
  <c r="AV84" i="4"/>
  <c r="BE84" i="4"/>
  <c r="AN84" i="4"/>
  <c r="CE4" i="4"/>
  <c r="CO58" i="4"/>
  <c r="CO75" i="4"/>
  <c r="CO61" i="4"/>
  <c r="CO67" i="4"/>
  <c r="CF4" i="4"/>
  <c r="CF3" i="4"/>
  <c r="CO62" i="4"/>
  <c r="CO73" i="4"/>
  <c r="CQ40" i="4"/>
  <c r="CR40" i="4" s="1"/>
  <c r="CP9" i="4"/>
  <c r="CD7" i="4"/>
  <c r="EC19" i="4"/>
  <c r="CQ56" i="4"/>
  <c r="CR56" i="4" s="1"/>
  <c r="CQ67" i="4"/>
  <c r="CR67" i="4" s="1"/>
  <c r="BZ84" i="4"/>
  <c r="BW84" i="4"/>
  <c r="CE84" i="4"/>
  <c r="CQ64" i="4"/>
  <c r="CR64" i="4" s="1"/>
  <c r="CQ83" i="4"/>
  <c r="CQ68" i="4"/>
  <c r="CR68" i="4" s="1"/>
  <c r="CQ63" i="4"/>
  <c r="CR63" i="4" s="1"/>
  <c r="CQ57" i="4"/>
  <c r="CR57" i="4" s="1"/>
  <c r="CQ70" i="4"/>
  <c r="CR70" i="4" s="1"/>
  <c r="CQ30" i="4"/>
  <c r="CR30" i="4" s="1"/>
  <c r="CQ18" i="4"/>
  <c r="CR18" i="4" s="1"/>
  <c r="CQ75" i="4"/>
  <c r="CR75" i="4" s="1"/>
  <c r="CQ74" i="4"/>
  <c r="CR74" i="4" s="1"/>
  <c r="CQ73" i="4"/>
  <c r="CR73" i="4" s="1"/>
  <c r="CQ72" i="4"/>
  <c r="CR72" i="4" s="1"/>
  <c r="CQ62" i="4"/>
  <c r="CR62" i="4" s="1"/>
  <c r="CQ31" i="4"/>
  <c r="CR31" i="4" s="1"/>
  <c r="CQ43" i="4"/>
  <c r="CR43" i="4" s="1"/>
  <c r="CQ76" i="4"/>
  <c r="CR76" i="4" s="1"/>
  <c r="CQ26" i="4"/>
  <c r="CR26" i="4" s="1"/>
  <c r="CQ51" i="4"/>
  <c r="CR51" i="4" s="1"/>
  <c r="CQ23" i="4"/>
  <c r="CR23" i="4" s="1"/>
  <c r="CQ35" i="4"/>
  <c r="CR35" i="4" s="1"/>
  <c r="CQ44" i="4"/>
  <c r="CR44" i="4" s="1"/>
  <c r="CQ45" i="4"/>
  <c r="CR45" i="4" s="1"/>
  <c r="CQ47" i="4"/>
  <c r="CR47" i="4" s="1"/>
  <c r="CQ17" i="4"/>
  <c r="CR17" i="4" s="1"/>
  <c r="CQ60" i="4"/>
  <c r="CR60" i="4" s="1"/>
  <c r="CQ61" i="4"/>
  <c r="CR61" i="4" s="1"/>
  <c r="CQ32" i="4"/>
  <c r="CR32" i="4" s="1"/>
  <c r="CQ53" i="4"/>
  <c r="CR53" i="4" s="1"/>
  <c r="CQ16" i="4"/>
  <c r="CR16" i="4" s="1"/>
  <c r="CQ25" i="4"/>
  <c r="CR25" i="4" s="1"/>
  <c r="CQ34" i="4"/>
  <c r="CR34" i="4" s="1"/>
  <c r="CQ22" i="4"/>
  <c r="CR22" i="4" s="1"/>
  <c r="CQ48" i="4"/>
  <c r="CR48" i="4" s="1"/>
  <c r="CQ49" i="4"/>
  <c r="CR49" i="4" s="1"/>
  <c r="CQ52" i="4"/>
  <c r="CR52" i="4" s="1"/>
  <c r="CQ24" i="4"/>
  <c r="CR24" i="4" s="1"/>
  <c r="CQ33" i="4"/>
  <c r="CR33" i="4" s="1"/>
  <c r="CQ54" i="4"/>
  <c r="CR54" i="4" s="1"/>
  <c r="CQ42" i="4"/>
  <c r="CR42" i="4" s="1"/>
  <c r="CQ59" i="4"/>
  <c r="CR59" i="4" s="1"/>
  <c r="CQ80" i="4"/>
  <c r="CR80" i="4" s="1"/>
  <c r="CQ15" i="4"/>
  <c r="CR15" i="4" s="1"/>
  <c r="CQ37" i="4"/>
  <c r="CR37" i="4" s="1"/>
  <c r="CQ41" i="4"/>
  <c r="CR41" i="4" s="1"/>
  <c r="CQ36" i="4"/>
  <c r="CR36" i="4" s="1"/>
  <c r="CQ50" i="4"/>
  <c r="CR50" i="4" s="1"/>
  <c r="CQ55" i="4"/>
  <c r="CR55" i="4" s="1"/>
  <c r="CQ39" i="4"/>
  <c r="CR39" i="4" s="1"/>
  <c r="CQ79" i="4"/>
  <c r="CR79" i="4" s="1"/>
  <c r="CQ20" i="4"/>
  <c r="CR20" i="4" s="1"/>
  <c r="CQ71" i="4"/>
  <c r="CR71" i="4" s="1"/>
  <c r="CQ77" i="4"/>
  <c r="CR77" i="4" s="1"/>
  <c r="CQ69" i="4"/>
  <c r="CR69" i="4" s="1"/>
  <c r="CQ66" i="4"/>
  <c r="CR66" i="4" s="1"/>
  <c r="CQ29" i="4"/>
  <c r="CR29" i="4" s="1"/>
  <c r="CQ27" i="4"/>
  <c r="CR27" i="4" s="1"/>
  <c r="CQ19" i="4"/>
  <c r="CR19" i="4" s="1"/>
  <c r="CQ46" i="4"/>
  <c r="CR46" i="4" s="1"/>
  <c r="CQ81" i="4"/>
  <c r="CR81" i="4" s="1"/>
  <c r="CQ38" i="4"/>
  <c r="CR38" i="4" s="1"/>
  <c r="CQ58" i="4"/>
  <c r="CR58" i="4" s="1"/>
  <c r="CQ28" i="4"/>
  <c r="CR28" i="4" s="1"/>
  <c r="CQ21" i="4"/>
  <c r="CR21" i="4" s="1"/>
  <c r="CQ65" i="4"/>
  <c r="CR65" i="4" s="1"/>
  <c r="CQ78" i="4"/>
  <c r="CR78" i="4" s="1"/>
  <c r="CQ82" i="4"/>
  <c r="CR82" i="4" s="1"/>
  <c r="AL82" i="4"/>
  <c r="AM82" i="4"/>
  <c r="AT82" i="4"/>
  <c r="AS82" i="4"/>
  <c r="BF84" i="4"/>
  <c r="BA84" i="4"/>
  <c r="BK84" i="4"/>
  <c r="AU84" i="4"/>
  <c r="BP84" i="4"/>
  <c r="AS84" i="4"/>
  <c r="AO84" i="4"/>
  <c r="CR84" i="4"/>
  <c r="AR83" i="4"/>
  <c r="AT83" i="4" s="1"/>
  <c r="AC84" i="4"/>
  <c r="BQ84" i="4" s="1"/>
  <c r="BS84" i="4" s="1"/>
  <c r="BC84" i="4"/>
  <c r="AH84" i="4"/>
  <c r="AE84" i="4"/>
  <c r="BL84" i="4" s="1"/>
  <c r="AG84" i="4"/>
  <c r="CA84" i="4" s="1"/>
  <c r="AD84" i="4"/>
  <c r="AA84" i="4"/>
  <c r="AW84" i="4" s="1"/>
  <c r="AB84" i="4"/>
  <c r="BB84" i="4" s="1"/>
  <c r="BH84" i="4"/>
  <c r="CC84" i="4"/>
  <c r="AM84" i="4"/>
  <c r="CB84" i="4"/>
  <c r="BM84" i="4"/>
  <c r="BG84" i="4"/>
  <c r="BI84" i="4" s="1"/>
  <c r="CO83" i="4"/>
  <c r="CK83" i="4"/>
  <c r="CJ84" i="4"/>
  <c r="AK83" i="4"/>
  <c r="AL83" i="4" s="1"/>
  <c r="AX84" i="4"/>
  <c r="AP84" i="4"/>
  <c r="CQ84" i="4" s="1"/>
  <c r="BN83" i="4"/>
  <c r="BD83" i="4"/>
  <c r="B85" i="4"/>
  <c r="BE85" i="4" l="1"/>
  <c r="AN85" i="4"/>
  <c r="BO85" i="4"/>
  <c r="BT85" i="4"/>
  <c r="AZ85" i="4"/>
  <c r="AV85" i="4"/>
  <c r="BJ85" i="4"/>
  <c r="BZ85" i="4"/>
  <c r="BW85" i="4"/>
  <c r="CE85" i="4"/>
  <c r="BF85" i="4"/>
  <c r="BA85" i="4"/>
  <c r="BK85" i="4"/>
  <c r="AU85" i="4"/>
  <c r="BP85" i="4"/>
  <c r="AS85" i="4"/>
  <c r="AO85" i="4"/>
  <c r="CR85" i="4"/>
  <c r="AY84" i="4"/>
  <c r="AR84" i="4"/>
  <c r="AH85" i="4"/>
  <c r="AC85" i="4"/>
  <c r="BQ85" i="4" s="1"/>
  <c r="BS85" i="4" s="1"/>
  <c r="AE85" i="4"/>
  <c r="BL85" i="4" s="1"/>
  <c r="BC85" i="4"/>
  <c r="AG85" i="4"/>
  <c r="CA85" i="4" s="1"/>
  <c r="AD85" i="4"/>
  <c r="AA85" i="4"/>
  <c r="AW85" i="4" s="1"/>
  <c r="AY85" i="4" s="1"/>
  <c r="AB85" i="4"/>
  <c r="BB85" i="4" s="1"/>
  <c r="CC85" i="4"/>
  <c r="CB85" i="4"/>
  <c r="AM85" i="4"/>
  <c r="BM85" i="4"/>
  <c r="BH85" i="4"/>
  <c r="BG85" i="4"/>
  <c r="BI85" i="4" s="1"/>
  <c r="CO84" i="4"/>
  <c r="CP84" i="4"/>
  <c r="CK84" i="4"/>
  <c r="CJ85" i="4"/>
  <c r="AK84" i="4"/>
  <c r="AX85" i="4"/>
  <c r="AP85" i="4"/>
  <c r="CQ85" i="4" s="1"/>
  <c r="BN84" i="4"/>
  <c r="BD84" i="4"/>
  <c r="B86" i="4"/>
  <c r="BO86" i="4" l="1"/>
  <c r="AN86" i="4"/>
  <c r="BT86" i="4"/>
  <c r="BE86" i="4"/>
  <c r="BJ86" i="4"/>
  <c r="AZ86" i="4"/>
  <c r="AV86" i="4"/>
  <c r="BZ86" i="4"/>
  <c r="BW86" i="4"/>
  <c r="CE86" i="4"/>
  <c r="BA86" i="4"/>
  <c r="BF86" i="4"/>
  <c r="BK86" i="4"/>
  <c r="AU86" i="4"/>
  <c r="BP86" i="4"/>
  <c r="AS86" i="4"/>
  <c r="AO86" i="4"/>
  <c r="CR86" i="4"/>
  <c r="AT84" i="4"/>
  <c r="AL84" i="4"/>
  <c r="AR85" i="4"/>
  <c r="AT85" i="4" s="1"/>
  <c r="AC86" i="4"/>
  <c r="BQ86" i="4" s="1"/>
  <c r="BS86" i="4" s="1"/>
  <c r="AD86" i="4"/>
  <c r="AG86" i="4"/>
  <c r="CA86" i="4" s="1"/>
  <c r="BC86" i="4"/>
  <c r="AH86" i="4"/>
  <c r="AE86" i="4"/>
  <c r="BL86" i="4" s="1"/>
  <c r="AA86" i="4"/>
  <c r="AW86" i="4" s="1"/>
  <c r="AY86" i="4" s="1"/>
  <c r="AB86" i="4"/>
  <c r="BB86" i="4" s="1"/>
  <c r="AM86" i="4"/>
  <c r="CC86" i="4"/>
  <c r="BH86" i="4"/>
  <c r="CB86" i="4"/>
  <c r="BM86" i="4"/>
  <c r="BG86" i="4"/>
  <c r="BI86" i="4" s="1"/>
  <c r="CO85" i="4"/>
  <c r="CP85" i="4"/>
  <c r="CK85" i="4"/>
  <c r="CJ86" i="4"/>
  <c r="AK85" i="4"/>
  <c r="AL85" i="4" s="1"/>
  <c r="AX86" i="4"/>
  <c r="AP86" i="4"/>
  <c r="CQ86" i="4" s="1"/>
  <c r="BN85" i="4"/>
  <c r="BD85" i="4"/>
  <c r="B87" i="4"/>
  <c r="BJ87" i="4" l="1"/>
  <c r="BO87" i="4"/>
  <c r="AN87" i="4"/>
  <c r="BE87" i="4"/>
  <c r="AV87" i="4"/>
  <c r="BT87" i="4"/>
  <c r="AZ87" i="4"/>
  <c r="BZ87" i="4"/>
  <c r="BW87" i="4"/>
  <c r="CE87" i="4"/>
  <c r="BA87" i="4"/>
  <c r="BF87" i="4"/>
  <c r="BK87" i="4"/>
  <c r="AU87" i="4"/>
  <c r="BP87" i="4"/>
  <c r="AS87" i="4"/>
  <c r="AO87" i="4"/>
  <c r="CR87" i="4"/>
  <c r="AR86" i="4"/>
  <c r="AT86" i="4" s="1"/>
  <c r="BC87" i="4"/>
  <c r="AG87" i="4"/>
  <c r="CA87" i="4" s="1"/>
  <c r="AD87" i="4"/>
  <c r="AC87" i="4"/>
  <c r="BQ87" i="4" s="1"/>
  <c r="BS87" i="4" s="1"/>
  <c r="AE87" i="4"/>
  <c r="BL87" i="4" s="1"/>
  <c r="AH87" i="4"/>
  <c r="AA87" i="4"/>
  <c r="AW87" i="4" s="1"/>
  <c r="AY87" i="4" s="1"/>
  <c r="AB87" i="4"/>
  <c r="BB87" i="4" s="1"/>
  <c r="BM87" i="4"/>
  <c r="CC87" i="4"/>
  <c r="BH87" i="4"/>
  <c r="AM87" i="4"/>
  <c r="CB87" i="4"/>
  <c r="BG87" i="4"/>
  <c r="BI87" i="4" s="1"/>
  <c r="CO86" i="4"/>
  <c r="CP86" i="4"/>
  <c r="CK86" i="4"/>
  <c r="CJ87" i="4"/>
  <c r="AK86" i="4"/>
  <c r="AL86" i="4" s="1"/>
  <c r="AX87" i="4"/>
  <c r="AP87" i="4"/>
  <c r="CQ87" i="4" s="1"/>
  <c r="BN86" i="4"/>
  <c r="BD86" i="4"/>
  <c r="B88" i="4"/>
  <c r="BO88" i="4" l="1"/>
  <c r="AV88" i="4"/>
  <c r="BE88" i="4"/>
  <c r="AZ88" i="4"/>
  <c r="AN88" i="4"/>
  <c r="BJ88" i="4"/>
  <c r="BT88" i="4"/>
  <c r="BZ88" i="4"/>
  <c r="BW88" i="4"/>
  <c r="CE88" i="4"/>
  <c r="BA88" i="4"/>
  <c r="BF88" i="4"/>
  <c r="BK88" i="4"/>
  <c r="AU88" i="4"/>
  <c r="BP88" i="4"/>
  <c r="AS88" i="4"/>
  <c r="AO88" i="4"/>
  <c r="CR88" i="4"/>
  <c r="AE88" i="4"/>
  <c r="BL88" i="4" s="1"/>
  <c r="AD88" i="4"/>
  <c r="BC88" i="4"/>
  <c r="AC88" i="4"/>
  <c r="BQ88" i="4" s="1"/>
  <c r="BS88" i="4" s="1"/>
  <c r="AG88" i="4"/>
  <c r="CA88" i="4" s="1"/>
  <c r="AH88" i="4"/>
  <c r="AA88" i="4"/>
  <c r="AW88" i="4" s="1"/>
  <c r="AY88" i="4" s="1"/>
  <c r="AB88" i="4"/>
  <c r="BB88" i="4" s="1"/>
  <c r="BM88" i="4"/>
  <c r="CB88" i="4"/>
  <c r="AM88" i="4"/>
  <c r="BH88" i="4"/>
  <c r="CC88" i="4"/>
  <c r="BG88" i="4"/>
  <c r="BI88" i="4" s="1"/>
  <c r="CO87" i="4"/>
  <c r="CP87" i="4"/>
  <c r="CK87" i="4"/>
  <c r="CJ88" i="4"/>
  <c r="AK87" i="4"/>
  <c r="AL87" i="4" s="1"/>
  <c r="AR87" i="4"/>
  <c r="AT87" i="4" s="1"/>
  <c r="AX88" i="4"/>
  <c r="AP88" i="4"/>
  <c r="CQ88" i="4" s="1"/>
  <c r="BN87" i="4"/>
  <c r="BD87" i="4"/>
  <c r="B89" i="4"/>
  <c r="BO89" i="4" l="1"/>
  <c r="AN89" i="4"/>
  <c r="BE89" i="4"/>
  <c r="AZ89" i="4"/>
  <c r="AV89" i="4"/>
  <c r="BT89" i="4"/>
  <c r="BJ89" i="4"/>
  <c r="BZ89" i="4"/>
  <c r="BW89" i="4"/>
  <c r="CE89" i="4"/>
  <c r="BA89" i="4"/>
  <c r="BF89" i="4"/>
  <c r="BK89" i="4"/>
  <c r="AU89" i="4"/>
  <c r="BP89" i="4"/>
  <c r="AS89" i="4"/>
  <c r="AO89" i="4"/>
  <c r="CR89" i="4"/>
  <c r="AG89" i="4"/>
  <c r="CA89" i="4" s="1"/>
  <c r="AD89" i="4"/>
  <c r="AC89" i="4"/>
  <c r="BQ89" i="4" s="1"/>
  <c r="BS89" i="4" s="1"/>
  <c r="BC89" i="4"/>
  <c r="AH89" i="4"/>
  <c r="AE89" i="4"/>
  <c r="BL89" i="4" s="1"/>
  <c r="AA89" i="4"/>
  <c r="AW89" i="4" s="1"/>
  <c r="AY89" i="4" s="1"/>
  <c r="AB89" i="4"/>
  <c r="BB89" i="4" s="1"/>
  <c r="CC89" i="4"/>
  <c r="BM89" i="4"/>
  <c r="BH89" i="4"/>
  <c r="CB89" i="4"/>
  <c r="AM89" i="4"/>
  <c r="BG89" i="4"/>
  <c r="BI89" i="4" s="1"/>
  <c r="CO88" i="4"/>
  <c r="CP88" i="4"/>
  <c r="CK88" i="4"/>
  <c r="CJ89" i="4"/>
  <c r="AK88" i="4"/>
  <c r="AL88" i="4" s="1"/>
  <c r="AR88" i="4"/>
  <c r="AT88" i="4" s="1"/>
  <c r="AP89" i="4"/>
  <c r="CQ89" i="4" s="1"/>
  <c r="AX89" i="4"/>
  <c r="BN88" i="4"/>
  <c r="BD88" i="4"/>
  <c r="B90" i="4"/>
  <c r="BT90" i="4" l="1"/>
  <c r="AN90" i="4"/>
  <c r="BE90" i="4"/>
  <c r="AV90" i="4"/>
  <c r="BJ90" i="4"/>
  <c r="BO90" i="4"/>
  <c r="AZ90" i="4"/>
  <c r="BZ90" i="4"/>
  <c r="BW90" i="4"/>
  <c r="CE90" i="4"/>
  <c r="BF90" i="4"/>
  <c r="BA90" i="4"/>
  <c r="BK90" i="4"/>
  <c r="AU90" i="4"/>
  <c r="BP90" i="4"/>
  <c r="AS90" i="4"/>
  <c r="AO90" i="4"/>
  <c r="CR90" i="4"/>
  <c r="AR89" i="4"/>
  <c r="AT89" i="4" s="1"/>
  <c r="BC90" i="4"/>
  <c r="AG90" i="4"/>
  <c r="CA90" i="4" s="1"/>
  <c r="AC90" i="4"/>
  <c r="BQ90" i="4" s="1"/>
  <c r="BS90" i="4" s="1"/>
  <c r="AH90" i="4"/>
  <c r="AD90" i="4"/>
  <c r="AE90" i="4"/>
  <c r="BL90" i="4" s="1"/>
  <c r="AA90" i="4"/>
  <c r="AW90" i="4" s="1"/>
  <c r="AY90" i="4" s="1"/>
  <c r="AB90" i="4"/>
  <c r="BB90" i="4" s="1"/>
  <c r="BH90" i="4"/>
  <c r="AM90" i="4"/>
  <c r="BM90" i="4"/>
  <c r="CB90" i="4"/>
  <c r="CC90" i="4"/>
  <c r="BG90" i="4"/>
  <c r="BI90" i="4" s="1"/>
  <c r="CO89" i="4"/>
  <c r="CP89" i="4"/>
  <c r="CK89" i="4"/>
  <c r="CJ90" i="4"/>
  <c r="AK89" i="4"/>
  <c r="AL89" i="4" s="1"/>
  <c r="AP90" i="4"/>
  <c r="CQ90" i="4" s="1"/>
  <c r="AX90" i="4"/>
  <c r="BN89" i="4"/>
  <c r="BD89" i="4"/>
  <c r="B91" i="4"/>
  <c r="BJ91" i="4" l="1"/>
  <c r="BO91" i="4"/>
  <c r="AN91" i="4"/>
  <c r="BT91" i="4"/>
  <c r="BE91" i="4"/>
  <c r="AV91" i="4"/>
  <c r="AZ91" i="4"/>
  <c r="BZ91" i="4"/>
  <c r="BW91" i="4"/>
  <c r="CE91" i="4"/>
  <c r="BF91" i="4"/>
  <c r="BA91" i="4"/>
  <c r="BK91" i="4"/>
  <c r="AU91" i="4"/>
  <c r="BP91" i="4"/>
  <c r="AS91" i="4"/>
  <c r="AO91" i="4"/>
  <c r="CR91" i="4"/>
  <c r="AR90" i="4"/>
  <c r="AT90" i="4" s="1"/>
  <c r="AE91" i="4"/>
  <c r="BL91" i="4" s="1"/>
  <c r="AH91" i="4"/>
  <c r="AG91" i="4"/>
  <c r="CA91" i="4" s="1"/>
  <c r="AC91" i="4"/>
  <c r="BQ91" i="4" s="1"/>
  <c r="BS91" i="4" s="1"/>
  <c r="AD91" i="4"/>
  <c r="BC91" i="4"/>
  <c r="AA91" i="4"/>
  <c r="AW91" i="4" s="1"/>
  <c r="AY91" i="4" s="1"/>
  <c r="AB91" i="4"/>
  <c r="BB91" i="4" s="1"/>
  <c r="CC91" i="4"/>
  <c r="BM91" i="4"/>
  <c r="AM91" i="4"/>
  <c r="CB91" i="4"/>
  <c r="BH91" i="4"/>
  <c r="BG91" i="4"/>
  <c r="BI91" i="4" s="1"/>
  <c r="CO90" i="4"/>
  <c r="CP90" i="4"/>
  <c r="CK90" i="4"/>
  <c r="CJ91" i="4"/>
  <c r="AK90" i="4"/>
  <c r="AL90" i="4" s="1"/>
  <c r="AP91" i="4"/>
  <c r="CQ91" i="4" s="1"/>
  <c r="AX91" i="4"/>
  <c r="BN90" i="4"/>
  <c r="BD90" i="4"/>
  <c r="B92" i="4"/>
  <c r="AN92" i="4" l="1"/>
  <c r="BT92" i="4"/>
  <c r="AZ92" i="4"/>
  <c r="BJ92" i="4"/>
  <c r="AV92" i="4"/>
  <c r="BE92" i="4"/>
  <c r="BO92" i="4"/>
  <c r="BZ92" i="4"/>
  <c r="BW92" i="4"/>
  <c r="CE92" i="4"/>
  <c r="BF92" i="4"/>
  <c r="BA92" i="4"/>
  <c r="BK92" i="4"/>
  <c r="AU92" i="4"/>
  <c r="BP92" i="4"/>
  <c r="AS92" i="4"/>
  <c r="AO92" i="4"/>
  <c r="CR92" i="4"/>
  <c r="AR91" i="4"/>
  <c r="AT91" i="4" s="1"/>
  <c r="AD92" i="4"/>
  <c r="AC92" i="4"/>
  <c r="BQ92" i="4" s="1"/>
  <c r="BS92" i="4" s="1"/>
  <c r="BC92" i="4"/>
  <c r="AH92" i="4"/>
  <c r="AE92" i="4"/>
  <c r="BL92" i="4" s="1"/>
  <c r="AG92" i="4"/>
  <c r="CA92" i="4" s="1"/>
  <c r="AA92" i="4"/>
  <c r="AW92" i="4" s="1"/>
  <c r="AY92" i="4" s="1"/>
  <c r="AB92" i="4"/>
  <c r="BB92" i="4" s="1"/>
  <c r="BH92" i="4"/>
  <c r="CC92" i="4"/>
  <c r="AM92" i="4"/>
  <c r="CB92" i="4"/>
  <c r="BM92" i="4"/>
  <c r="BG92" i="4"/>
  <c r="BI92" i="4" s="1"/>
  <c r="CO91" i="4"/>
  <c r="CP91" i="4"/>
  <c r="CK91" i="4"/>
  <c r="CJ92" i="4"/>
  <c r="AK91" i="4"/>
  <c r="AL91" i="4" s="1"/>
  <c r="AX92" i="4"/>
  <c r="AP92" i="4"/>
  <c r="CQ92" i="4" s="1"/>
  <c r="BN91" i="4"/>
  <c r="BD91" i="4"/>
  <c r="B93" i="4"/>
  <c r="BJ93" i="4" l="1"/>
  <c r="BE93" i="4"/>
  <c r="AN93" i="4"/>
  <c r="BO93" i="4"/>
  <c r="BT93" i="4"/>
  <c r="AZ93" i="4"/>
  <c r="AV93" i="4"/>
  <c r="BZ93" i="4"/>
  <c r="BW93" i="4"/>
  <c r="CE93" i="4"/>
  <c r="BF93" i="4"/>
  <c r="BA93" i="4"/>
  <c r="BK93" i="4"/>
  <c r="AU93" i="4"/>
  <c r="BP93" i="4"/>
  <c r="AS93" i="4"/>
  <c r="AO93" i="4"/>
  <c r="CR93" i="4"/>
  <c r="AR92" i="4"/>
  <c r="AT92" i="4" s="1"/>
  <c r="AD93" i="4"/>
  <c r="AG93" i="4"/>
  <c r="CA93" i="4" s="1"/>
  <c r="AH93" i="4"/>
  <c r="BC93" i="4"/>
  <c r="AC93" i="4"/>
  <c r="BQ93" i="4" s="1"/>
  <c r="BS93" i="4" s="1"/>
  <c r="AE93" i="4"/>
  <c r="BL93" i="4" s="1"/>
  <c r="AA93" i="4"/>
  <c r="AW93" i="4" s="1"/>
  <c r="AY93" i="4" s="1"/>
  <c r="AB93" i="4"/>
  <c r="BB93" i="4" s="1"/>
  <c r="BH93" i="4"/>
  <c r="CC93" i="4"/>
  <c r="CB93" i="4"/>
  <c r="AM93" i="4"/>
  <c r="BM93" i="4"/>
  <c r="BG93" i="4"/>
  <c r="BI93" i="4" s="1"/>
  <c r="CO92" i="4"/>
  <c r="CP92" i="4"/>
  <c r="CK92" i="4"/>
  <c r="CJ93" i="4"/>
  <c r="AK92" i="4"/>
  <c r="AL92" i="4" s="1"/>
  <c r="AX93" i="4"/>
  <c r="AP93" i="4"/>
  <c r="CQ93" i="4" s="1"/>
  <c r="BN92" i="4"/>
  <c r="BD92" i="4"/>
  <c r="B94" i="4"/>
  <c r="AZ94" i="4" l="1"/>
  <c r="BO94" i="4"/>
  <c r="BJ94" i="4"/>
  <c r="BE94" i="4"/>
  <c r="BT94" i="4"/>
  <c r="AN94" i="4"/>
  <c r="AV94" i="4"/>
  <c r="BZ94" i="4"/>
  <c r="BW94" i="4"/>
  <c r="CE94" i="4"/>
  <c r="BF94" i="4"/>
  <c r="BA94" i="4"/>
  <c r="BK94" i="4"/>
  <c r="AU94" i="4"/>
  <c r="BP94" i="4"/>
  <c r="AS94" i="4"/>
  <c r="AO94" i="4"/>
  <c r="CR94" i="4"/>
  <c r="AR93" i="4"/>
  <c r="AT93" i="4" s="1"/>
  <c r="AC94" i="4"/>
  <c r="BQ94" i="4" s="1"/>
  <c r="BS94" i="4" s="1"/>
  <c r="AE94" i="4"/>
  <c r="BL94" i="4" s="1"/>
  <c r="AD94" i="4"/>
  <c r="AG94" i="4"/>
  <c r="CA94" i="4" s="1"/>
  <c r="BC94" i="4"/>
  <c r="AH94" i="4"/>
  <c r="AA94" i="4"/>
  <c r="AW94" i="4" s="1"/>
  <c r="AY94" i="4" s="1"/>
  <c r="AB94" i="4"/>
  <c r="BB94" i="4" s="1"/>
  <c r="CC94" i="4"/>
  <c r="AM94" i="4"/>
  <c r="BH94" i="4"/>
  <c r="BM94" i="4"/>
  <c r="CB94" i="4"/>
  <c r="BG94" i="4"/>
  <c r="BI94" i="4" s="1"/>
  <c r="CO93" i="4"/>
  <c r="CP93" i="4"/>
  <c r="CK93" i="4"/>
  <c r="CJ94" i="4"/>
  <c r="AK93" i="4"/>
  <c r="AL93" i="4" s="1"/>
  <c r="AX94" i="4"/>
  <c r="AP94" i="4"/>
  <c r="CQ94" i="4" s="1"/>
  <c r="BN93" i="4"/>
  <c r="BD93" i="4"/>
  <c r="B95" i="4"/>
  <c r="BO95" i="4" l="1"/>
  <c r="AN95" i="4"/>
  <c r="BJ95" i="4"/>
  <c r="AV95" i="4"/>
  <c r="BE95" i="4"/>
  <c r="BT95" i="4"/>
  <c r="AZ95" i="4"/>
  <c r="BZ95" i="4"/>
  <c r="BW95" i="4"/>
  <c r="CE95" i="4"/>
  <c r="BA95" i="4"/>
  <c r="BF95" i="4"/>
  <c r="BK95" i="4"/>
  <c r="AU95" i="4"/>
  <c r="BP95" i="4"/>
  <c r="AS95" i="4"/>
  <c r="AO95" i="4"/>
  <c r="CR95" i="4"/>
  <c r="AD95" i="4"/>
  <c r="BC95" i="4"/>
  <c r="AE95" i="4"/>
  <c r="BL95" i="4" s="1"/>
  <c r="AC95" i="4"/>
  <c r="BQ95" i="4" s="1"/>
  <c r="BS95" i="4" s="1"/>
  <c r="AG95" i="4"/>
  <c r="CA95" i="4" s="1"/>
  <c r="AH95" i="4"/>
  <c r="AA95" i="4"/>
  <c r="AW95" i="4" s="1"/>
  <c r="AY95" i="4" s="1"/>
  <c r="AB95" i="4"/>
  <c r="BB95" i="4" s="1"/>
  <c r="BM95" i="4"/>
  <c r="CB95" i="4"/>
  <c r="BH95" i="4"/>
  <c r="CC95" i="4"/>
  <c r="AM95" i="4"/>
  <c r="BG95" i="4"/>
  <c r="BI95" i="4" s="1"/>
  <c r="CO94" i="4"/>
  <c r="CP94" i="4"/>
  <c r="CK94" i="4"/>
  <c r="CJ95" i="4"/>
  <c r="AK94" i="4"/>
  <c r="AL94" i="4" s="1"/>
  <c r="AR94" i="4"/>
  <c r="AT94" i="4" s="1"/>
  <c r="AX95" i="4"/>
  <c r="AP95" i="4"/>
  <c r="CQ95" i="4" s="1"/>
  <c r="BN94" i="4"/>
  <c r="BD94" i="4"/>
  <c r="B96" i="4"/>
  <c r="BT96" i="4" l="1"/>
  <c r="BO96" i="4"/>
  <c r="AZ96" i="4"/>
  <c r="AN96" i="4"/>
  <c r="AV96" i="4"/>
  <c r="BE96" i="4"/>
  <c r="BJ96" i="4"/>
  <c r="BZ96" i="4"/>
  <c r="BW96" i="4"/>
  <c r="CE96" i="4"/>
  <c r="BA96" i="4"/>
  <c r="BF96" i="4"/>
  <c r="BK96" i="4"/>
  <c r="AU96" i="4"/>
  <c r="BP96" i="4"/>
  <c r="AS96" i="4"/>
  <c r="AO96" i="4"/>
  <c r="CR96" i="4"/>
  <c r="AC96" i="4"/>
  <c r="BQ96" i="4" s="1"/>
  <c r="BS96" i="4" s="1"/>
  <c r="AE96" i="4"/>
  <c r="BL96" i="4" s="1"/>
  <c r="AD96" i="4"/>
  <c r="AH96" i="4"/>
  <c r="AG96" i="4"/>
  <c r="CA96" i="4" s="1"/>
  <c r="BC96" i="4"/>
  <c r="AA96" i="4"/>
  <c r="AW96" i="4" s="1"/>
  <c r="AY96" i="4" s="1"/>
  <c r="AB96" i="4"/>
  <c r="BB96" i="4" s="1"/>
  <c r="CC96" i="4"/>
  <c r="BH96" i="4"/>
  <c r="BM96" i="4"/>
  <c r="CB96" i="4"/>
  <c r="AM96" i="4"/>
  <c r="BG96" i="4"/>
  <c r="BI96" i="4" s="1"/>
  <c r="CO95" i="4"/>
  <c r="CP95" i="4"/>
  <c r="CK95" i="4"/>
  <c r="CJ96" i="4"/>
  <c r="AK95" i="4"/>
  <c r="AL95" i="4" s="1"/>
  <c r="AR95" i="4"/>
  <c r="AT95" i="4" s="1"/>
  <c r="AX96" i="4"/>
  <c r="AP96" i="4"/>
  <c r="CQ96" i="4" s="1"/>
  <c r="BN95" i="4"/>
  <c r="BD95" i="4"/>
  <c r="B97" i="4"/>
  <c r="BE97" i="4" l="1"/>
  <c r="AZ97" i="4"/>
  <c r="AV97" i="4"/>
  <c r="BT97" i="4"/>
  <c r="AN97" i="4"/>
  <c r="BO97" i="4"/>
  <c r="BJ97" i="4"/>
  <c r="BZ97" i="4"/>
  <c r="BW97" i="4"/>
  <c r="CE97" i="4"/>
  <c r="BA97" i="4"/>
  <c r="BF97" i="4"/>
  <c r="BK97" i="4"/>
  <c r="AU97" i="4"/>
  <c r="BP97" i="4"/>
  <c r="AS97" i="4"/>
  <c r="AO97" i="4"/>
  <c r="CR97" i="4"/>
  <c r="AH97" i="4"/>
  <c r="AE97" i="4"/>
  <c r="BL97" i="4" s="1"/>
  <c r="AC97" i="4"/>
  <c r="BQ97" i="4" s="1"/>
  <c r="BS97" i="4" s="1"/>
  <c r="AD97" i="4"/>
  <c r="AG97" i="4"/>
  <c r="CA97" i="4" s="1"/>
  <c r="BC97" i="4"/>
  <c r="AA97" i="4"/>
  <c r="AW97" i="4" s="1"/>
  <c r="AY97" i="4" s="1"/>
  <c r="AB97" i="4"/>
  <c r="BB97" i="4" s="1"/>
  <c r="BH97" i="4"/>
  <c r="CB97" i="4"/>
  <c r="BM97" i="4"/>
  <c r="AM97" i="4"/>
  <c r="CC97" i="4"/>
  <c r="BG97" i="4"/>
  <c r="BI97" i="4" s="1"/>
  <c r="CO96" i="4"/>
  <c r="CP96" i="4"/>
  <c r="CK96" i="4"/>
  <c r="CJ97" i="4"/>
  <c r="AK96" i="4"/>
  <c r="AL96" i="4" s="1"/>
  <c r="AR96" i="4"/>
  <c r="AT96" i="4" s="1"/>
  <c r="AP97" i="4"/>
  <c r="CQ97" i="4" s="1"/>
  <c r="AX97" i="4"/>
  <c r="BN96" i="4"/>
  <c r="BD96" i="4"/>
  <c r="B98" i="4"/>
  <c r="BO98" i="4" l="1"/>
  <c r="BE98" i="4"/>
  <c r="AV98" i="4"/>
  <c r="BT98" i="4"/>
  <c r="AZ98" i="4"/>
  <c r="BJ98" i="4"/>
  <c r="AN98" i="4"/>
  <c r="BZ98" i="4"/>
  <c r="BW98" i="4"/>
  <c r="CE98" i="4"/>
  <c r="BF98" i="4"/>
  <c r="BA98" i="4"/>
  <c r="BK98" i="4"/>
  <c r="AU98" i="4"/>
  <c r="BP98" i="4"/>
  <c r="AS98" i="4"/>
  <c r="AO98" i="4"/>
  <c r="CR98" i="4"/>
  <c r="AR97" i="4"/>
  <c r="AT97" i="4" s="1"/>
  <c r="AC98" i="4"/>
  <c r="BQ98" i="4" s="1"/>
  <c r="BS98" i="4" s="1"/>
  <c r="BC98" i="4"/>
  <c r="AG98" i="4"/>
  <c r="CA98" i="4" s="1"/>
  <c r="AH98" i="4"/>
  <c r="AE98" i="4"/>
  <c r="BL98" i="4" s="1"/>
  <c r="AD98" i="4"/>
  <c r="AA98" i="4"/>
  <c r="AW98" i="4" s="1"/>
  <c r="AY98" i="4" s="1"/>
  <c r="AB98" i="4"/>
  <c r="BB98" i="4" s="1"/>
  <c r="CC98" i="4"/>
  <c r="BH98" i="4"/>
  <c r="CB98" i="4"/>
  <c r="BM98" i="4"/>
  <c r="AM98" i="4"/>
  <c r="BG98" i="4"/>
  <c r="BI98" i="4" s="1"/>
  <c r="CO97" i="4"/>
  <c r="CP97" i="4"/>
  <c r="CK97" i="4"/>
  <c r="CJ98" i="4"/>
  <c r="AK97" i="4"/>
  <c r="AL97" i="4" s="1"/>
  <c r="AP98" i="4"/>
  <c r="CQ98" i="4" s="1"/>
  <c r="AX98" i="4"/>
  <c r="BN97" i="4"/>
  <c r="BD97" i="4"/>
  <c r="B99" i="4"/>
  <c r="AZ99" i="4" l="1"/>
  <c r="BJ99" i="4"/>
  <c r="BO99" i="4"/>
  <c r="AN99" i="4"/>
  <c r="BE99" i="4"/>
  <c r="BT99" i="4"/>
  <c r="AV99" i="4"/>
  <c r="BZ99" i="4"/>
  <c r="BW99" i="4"/>
  <c r="CE99" i="4"/>
  <c r="BF99" i="4"/>
  <c r="BA99" i="4"/>
  <c r="BK99" i="4"/>
  <c r="AU99" i="4"/>
  <c r="BP99" i="4"/>
  <c r="AS99" i="4"/>
  <c r="AO99" i="4"/>
  <c r="CR99" i="4"/>
  <c r="AR98" i="4"/>
  <c r="AT98" i="4" s="1"/>
  <c r="AH99" i="4"/>
  <c r="AE99" i="4"/>
  <c r="BL99" i="4" s="1"/>
  <c r="AD99" i="4"/>
  <c r="AG99" i="4"/>
  <c r="CA99" i="4" s="1"/>
  <c r="AC99" i="4"/>
  <c r="BQ99" i="4" s="1"/>
  <c r="BS99" i="4" s="1"/>
  <c r="BC99" i="4"/>
  <c r="AA99" i="4"/>
  <c r="AW99" i="4" s="1"/>
  <c r="AY99" i="4" s="1"/>
  <c r="AB99" i="4"/>
  <c r="BB99" i="4" s="1"/>
  <c r="CC99" i="4"/>
  <c r="BM99" i="4"/>
  <c r="AM99" i="4"/>
  <c r="CB99" i="4"/>
  <c r="BH99" i="4"/>
  <c r="BG99" i="4"/>
  <c r="BI99" i="4" s="1"/>
  <c r="CO98" i="4"/>
  <c r="CP98" i="4"/>
  <c r="CK98" i="4"/>
  <c r="CJ99" i="4"/>
  <c r="AK98" i="4"/>
  <c r="AL98" i="4" s="1"/>
  <c r="AP99" i="4"/>
  <c r="CQ99" i="4" s="1"/>
  <c r="AX99" i="4"/>
  <c r="BN98" i="4"/>
  <c r="BD98" i="4"/>
  <c r="B100" i="4"/>
  <c r="BT100" i="4" l="1"/>
  <c r="AZ100" i="4"/>
  <c r="BO100" i="4"/>
  <c r="BJ100" i="4"/>
  <c r="BE100" i="4"/>
  <c r="AN100" i="4"/>
  <c r="AV100" i="4"/>
  <c r="BZ100" i="4"/>
  <c r="BW100" i="4"/>
  <c r="CE100" i="4"/>
  <c r="BF100" i="4"/>
  <c r="BA100" i="4"/>
  <c r="BK100" i="4"/>
  <c r="AU100" i="4"/>
  <c r="BP100" i="4"/>
  <c r="AS100" i="4"/>
  <c r="AO100" i="4"/>
  <c r="CR100" i="4"/>
  <c r="AR99" i="4"/>
  <c r="AT99" i="4" s="1"/>
  <c r="AC100" i="4"/>
  <c r="BQ100" i="4" s="1"/>
  <c r="BS100" i="4" s="1"/>
  <c r="AD100" i="4"/>
  <c r="BC100" i="4"/>
  <c r="AH100" i="4"/>
  <c r="AE100" i="4"/>
  <c r="BL100" i="4" s="1"/>
  <c r="AG100" i="4"/>
  <c r="CA100" i="4" s="1"/>
  <c r="AA100" i="4"/>
  <c r="AW100" i="4" s="1"/>
  <c r="AY100" i="4" s="1"/>
  <c r="AB100" i="4"/>
  <c r="BB100" i="4" s="1"/>
  <c r="BH100" i="4"/>
  <c r="CC100" i="4"/>
  <c r="AM100" i="4"/>
  <c r="CB100" i="4"/>
  <c r="BM100" i="4"/>
  <c r="BG100" i="4"/>
  <c r="BI100" i="4" s="1"/>
  <c r="CO99" i="4"/>
  <c r="CP99" i="4"/>
  <c r="CK99" i="4"/>
  <c r="CJ100" i="4"/>
  <c r="AK99" i="4"/>
  <c r="AL99" i="4" s="1"/>
  <c r="AX100" i="4"/>
  <c r="AP100" i="4"/>
  <c r="CQ100" i="4" s="1"/>
  <c r="BN99" i="4"/>
  <c r="BD99" i="4"/>
  <c r="B101" i="4"/>
  <c r="BJ101" i="4" l="1"/>
  <c r="AZ101" i="4"/>
  <c r="BE101" i="4"/>
  <c r="AN101" i="4"/>
  <c r="BO101" i="4"/>
  <c r="BT101" i="4"/>
  <c r="AV101" i="4"/>
  <c r="BZ101" i="4"/>
  <c r="BW101" i="4"/>
  <c r="CE101" i="4"/>
  <c r="BF101" i="4"/>
  <c r="BA101" i="4"/>
  <c r="BK101" i="4"/>
  <c r="AU101" i="4"/>
  <c r="BP101" i="4"/>
  <c r="AS101" i="4"/>
  <c r="AO101" i="4"/>
  <c r="CR101" i="4"/>
  <c r="AR100" i="4"/>
  <c r="AT100" i="4" s="1"/>
  <c r="AD101" i="4"/>
  <c r="BC101" i="4"/>
  <c r="AH101" i="4"/>
  <c r="AC101" i="4"/>
  <c r="BQ101" i="4" s="1"/>
  <c r="BS101" i="4" s="1"/>
  <c r="AE101" i="4"/>
  <c r="BL101" i="4" s="1"/>
  <c r="AG101" i="4"/>
  <c r="CA101" i="4" s="1"/>
  <c r="AA101" i="4"/>
  <c r="AW101" i="4" s="1"/>
  <c r="AY101" i="4" s="1"/>
  <c r="AB101" i="4"/>
  <c r="BB101" i="4" s="1"/>
  <c r="BH101" i="4"/>
  <c r="CC101" i="4"/>
  <c r="CB101" i="4"/>
  <c r="AM101" i="4"/>
  <c r="BM101" i="4"/>
  <c r="BG101" i="4"/>
  <c r="BI101" i="4" s="1"/>
  <c r="CO100" i="4"/>
  <c r="CP100" i="4"/>
  <c r="CK100" i="4"/>
  <c r="CJ101" i="4"/>
  <c r="AK100" i="4"/>
  <c r="AL100" i="4" s="1"/>
  <c r="AX101" i="4"/>
  <c r="AP101" i="4"/>
  <c r="CQ101" i="4" s="1"/>
  <c r="BN100" i="4"/>
  <c r="BD100" i="4"/>
  <c r="B102" i="4"/>
  <c r="AZ102" i="4" l="1"/>
  <c r="BO102" i="4"/>
  <c r="BJ102" i="4"/>
  <c r="AV102" i="4"/>
  <c r="BE102" i="4"/>
  <c r="BT102" i="4"/>
  <c r="AN102" i="4"/>
  <c r="BZ102" i="4"/>
  <c r="BW102" i="4"/>
  <c r="CE102" i="4"/>
  <c r="BA102" i="4"/>
  <c r="BF102" i="4"/>
  <c r="BK102" i="4"/>
  <c r="AU102" i="4"/>
  <c r="BP102" i="4"/>
  <c r="AS102" i="4"/>
  <c r="AO102" i="4"/>
  <c r="CR102" i="4"/>
  <c r="AR101" i="4"/>
  <c r="AT101" i="4" s="1"/>
  <c r="AG102" i="4"/>
  <c r="CA102" i="4" s="1"/>
  <c r="AC102" i="4"/>
  <c r="BQ102" i="4" s="1"/>
  <c r="BS102" i="4" s="1"/>
  <c r="AH102" i="4"/>
  <c r="AE102" i="4"/>
  <c r="BL102" i="4" s="1"/>
  <c r="AD102" i="4"/>
  <c r="BC102" i="4"/>
  <c r="AA102" i="4"/>
  <c r="AW102" i="4" s="1"/>
  <c r="AY102" i="4" s="1"/>
  <c r="AB102" i="4"/>
  <c r="BB102" i="4" s="1"/>
  <c r="BH102" i="4"/>
  <c r="CB102" i="4"/>
  <c r="BM102" i="4"/>
  <c r="CC102" i="4"/>
  <c r="AM102" i="4"/>
  <c r="BG102" i="4"/>
  <c r="BI102" i="4" s="1"/>
  <c r="CO101" i="4"/>
  <c r="CP101" i="4"/>
  <c r="CK101" i="4"/>
  <c r="CJ102" i="4"/>
  <c r="AK101" i="4"/>
  <c r="AL101" i="4" s="1"/>
  <c r="AX102" i="4"/>
  <c r="AP102" i="4"/>
  <c r="CQ102" i="4" s="1"/>
  <c r="BN101" i="4"/>
  <c r="BD101" i="4"/>
  <c r="B103" i="4"/>
  <c r="BT103" i="4" l="1"/>
  <c r="BJ103" i="4"/>
  <c r="AZ103" i="4"/>
  <c r="BO103" i="4"/>
  <c r="AN103" i="4"/>
  <c r="AV103" i="4"/>
  <c r="BE103" i="4"/>
  <c r="BZ103" i="4"/>
  <c r="BW103" i="4"/>
  <c r="CE103" i="4"/>
  <c r="BA103" i="4"/>
  <c r="BF103" i="4"/>
  <c r="BK103" i="4"/>
  <c r="AU103" i="4"/>
  <c r="BP103" i="4"/>
  <c r="AS103" i="4"/>
  <c r="AO103" i="4"/>
  <c r="CR103" i="4"/>
  <c r="AH103" i="4"/>
  <c r="AG103" i="4"/>
  <c r="CA103" i="4" s="1"/>
  <c r="AE103" i="4"/>
  <c r="BL103" i="4" s="1"/>
  <c r="BC103" i="4"/>
  <c r="AC103" i="4"/>
  <c r="BQ103" i="4" s="1"/>
  <c r="BS103" i="4" s="1"/>
  <c r="AD103" i="4"/>
  <c r="AA103" i="4"/>
  <c r="AW103" i="4" s="1"/>
  <c r="AY103" i="4" s="1"/>
  <c r="AB103" i="4"/>
  <c r="BB103" i="4" s="1"/>
  <c r="BH103" i="4"/>
  <c r="BM103" i="4"/>
  <c r="AM103" i="4"/>
  <c r="CB103" i="4"/>
  <c r="CC103" i="4"/>
  <c r="BG103" i="4"/>
  <c r="BI103" i="4" s="1"/>
  <c r="CO102" i="4"/>
  <c r="CP102" i="4"/>
  <c r="CK102" i="4"/>
  <c r="CJ103" i="4"/>
  <c r="AK102" i="4"/>
  <c r="AL102" i="4" s="1"/>
  <c r="AR102" i="4"/>
  <c r="AT102" i="4" s="1"/>
  <c r="AX103" i="4"/>
  <c r="AP103" i="4"/>
  <c r="CQ103" i="4" s="1"/>
  <c r="BN102" i="4"/>
  <c r="BD102" i="4"/>
  <c r="B104" i="4"/>
  <c r="AV104" i="4" l="1"/>
  <c r="BE104" i="4"/>
  <c r="AZ104" i="4"/>
  <c r="BO104" i="4"/>
  <c r="BJ104" i="4"/>
  <c r="AN104" i="4"/>
  <c r="BT104" i="4"/>
  <c r="BZ104" i="4"/>
  <c r="BW104" i="4"/>
  <c r="CE104" i="4"/>
  <c r="BA104" i="4"/>
  <c r="BF104" i="4"/>
  <c r="BK104" i="4"/>
  <c r="AU104" i="4"/>
  <c r="BP104" i="4"/>
  <c r="AS104" i="4"/>
  <c r="AO104" i="4"/>
  <c r="CR104" i="4"/>
  <c r="AH104" i="4"/>
  <c r="AG104" i="4"/>
  <c r="CA104" i="4" s="1"/>
  <c r="AE104" i="4"/>
  <c r="BL104" i="4" s="1"/>
  <c r="AD104" i="4"/>
  <c r="BC104" i="4"/>
  <c r="AC104" i="4"/>
  <c r="BQ104" i="4" s="1"/>
  <c r="BS104" i="4" s="1"/>
  <c r="AA104" i="4"/>
  <c r="AW104" i="4" s="1"/>
  <c r="AY104" i="4" s="1"/>
  <c r="AB104" i="4"/>
  <c r="BB104" i="4" s="1"/>
  <c r="CC104" i="4"/>
  <c r="AM104" i="4"/>
  <c r="BH104" i="4"/>
  <c r="BM104" i="4"/>
  <c r="CB104" i="4"/>
  <c r="BG104" i="4"/>
  <c r="BI104" i="4" s="1"/>
  <c r="CO103" i="4"/>
  <c r="CP103" i="4"/>
  <c r="CK103" i="4"/>
  <c r="CJ104" i="4"/>
  <c r="AK103" i="4"/>
  <c r="AL103" i="4" s="1"/>
  <c r="AR103" i="4"/>
  <c r="AT103" i="4" s="1"/>
  <c r="AP104" i="4"/>
  <c r="CQ104" i="4" s="1"/>
  <c r="AX104" i="4"/>
  <c r="BN103" i="4"/>
  <c r="BD103" i="4"/>
  <c r="B105" i="4"/>
  <c r="BO105" i="4" l="1"/>
  <c r="AZ105" i="4"/>
  <c r="BT105" i="4"/>
  <c r="AV105" i="4"/>
  <c r="BJ105" i="4"/>
  <c r="AN105" i="4"/>
  <c r="BE105" i="4"/>
  <c r="BZ105" i="4"/>
  <c r="BW105" i="4"/>
  <c r="CE105" i="4"/>
  <c r="BA105" i="4"/>
  <c r="BF105" i="4"/>
  <c r="BK105" i="4"/>
  <c r="AU105" i="4"/>
  <c r="BP105" i="4"/>
  <c r="AS105" i="4"/>
  <c r="AO105" i="4"/>
  <c r="CR105" i="4"/>
  <c r="AR104" i="4"/>
  <c r="AT104" i="4" s="1"/>
  <c r="BC105" i="4"/>
  <c r="AG105" i="4"/>
  <c r="CA105" i="4" s="1"/>
  <c r="AC105" i="4"/>
  <c r="BQ105" i="4" s="1"/>
  <c r="BS105" i="4" s="1"/>
  <c r="AH105" i="4"/>
  <c r="AE105" i="4"/>
  <c r="BL105" i="4" s="1"/>
  <c r="AD105" i="4"/>
  <c r="AA105" i="4"/>
  <c r="AW105" i="4" s="1"/>
  <c r="AY105" i="4" s="1"/>
  <c r="AB105" i="4"/>
  <c r="BB105" i="4" s="1"/>
  <c r="CB105" i="4"/>
  <c r="AM105" i="4"/>
  <c r="CC105" i="4"/>
  <c r="BH105" i="4"/>
  <c r="BM105" i="4"/>
  <c r="BG105" i="4"/>
  <c r="BI105" i="4" s="1"/>
  <c r="CO104" i="4"/>
  <c r="CP104" i="4"/>
  <c r="CK104" i="4"/>
  <c r="CJ105" i="4"/>
  <c r="AK104" i="4"/>
  <c r="AL104" i="4" s="1"/>
  <c r="AP105" i="4"/>
  <c r="CQ105" i="4" s="1"/>
  <c r="AX105" i="4"/>
  <c r="BN104" i="4"/>
  <c r="BD104" i="4"/>
  <c r="B106" i="4"/>
  <c r="AN106" i="4" l="1"/>
  <c r="BJ106" i="4"/>
  <c r="AV106" i="4"/>
  <c r="BO106" i="4"/>
  <c r="BE106" i="4"/>
  <c r="AZ106" i="4"/>
  <c r="BT106" i="4"/>
  <c r="BZ106" i="4"/>
  <c r="BW106" i="4"/>
  <c r="CE106" i="4"/>
  <c r="BF106" i="4"/>
  <c r="BA106" i="4"/>
  <c r="BK106" i="4"/>
  <c r="AU106" i="4"/>
  <c r="BP106" i="4"/>
  <c r="AS106" i="4"/>
  <c r="AO106" i="4"/>
  <c r="CR106" i="4"/>
  <c r="AR105" i="4"/>
  <c r="AT105" i="4" s="1"/>
  <c r="BC106" i="4"/>
  <c r="AE106" i="4"/>
  <c r="BL106" i="4" s="1"/>
  <c r="AC106" i="4"/>
  <c r="BQ106" i="4" s="1"/>
  <c r="BS106" i="4" s="1"/>
  <c r="AD106" i="4"/>
  <c r="AG106" i="4"/>
  <c r="CA106" i="4" s="1"/>
  <c r="AH106" i="4"/>
  <c r="AA106" i="4"/>
  <c r="AW106" i="4" s="1"/>
  <c r="AY106" i="4" s="1"/>
  <c r="AB106" i="4"/>
  <c r="BB106" i="4" s="1"/>
  <c r="CC106" i="4"/>
  <c r="BM106" i="4"/>
  <c r="CB106" i="4"/>
  <c r="AM106" i="4"/>
  <c r="BH106" i="4"/>
  <c r="BG106" i="4"/>
  <c r="BI106" i="4" s="1"/>
  <c r="CO105" i="4"/>
  <c r="CP105" i="4"/>
  <c r="CK105" i="4"/>
  <c r="CJ106" i="4"/>
  <c r="AK105" i="4"/>
  <c r="AL105" i="4" s="1"/>
  <c r="AP106" i="4"/>
  <c r="CQ106" i="4" s="1"/>
  <c r="AX106" i="4"/>
  <c r="BN105" i="4"/>
  <c r="BD105" i="4"/>
  <c r="B107" i="4"/>
  <c r="BT107" i="4" l="1"/>
  <c r="AZ107" i="4"/>
  <c r="BJ107" i="4"/>
  <c r="BE107" i="4"/>
  <c r="BO107" i="4"/>
  <c r="AN107" i="4"/>
  <c r="AV107" i="4"/>
  <c r="BZ107" i="4"/>
  <c r="BW107" i="4"/>
  <c r="CE107" i="4"/>
  <c r="BF107" i="4"/>
  <c r="BA107" i="4"/>
  <c r="BK107" i="4"/>
  <c r="AU107" i="4"/>
  <c r="BP107" i="4"/>
  <c r="AS107" i="4"/>
  <c r="AO107" i="4"/>
  <c r="CR107" i="4"/>
  <c r="AR106" i="4"/>
  <c r="AT106" i="4" s="1"/>
  <c r="AD107" i="4"/>
  <c r="AH107" i="4"/>
  <c r="AE107" i="4"/>
  <c r="BL107" i="4" s="1"/>
  <c r="BC107" i="4"/>
  <c r="AG107" i="4"/>
  <c r="CA107" i="4" s="1"/>
  <c r="AC107" i="4"/>
  <c r="BQ107" i="4" s="1"/>
  <c r="BS107" i="4" s="1"/>
  <c r="AA107" i="4"/>
  <c r="AW107" i="4" s="1"/>
  <c r="AY107" i="4" s="1"/>
  <c r="AB107" i="4"/>
  <c r="BB107" i="4" s="1"/>
  <c r="CC107" i="4"/>
  <c r="BM107" i="4"/>
  <c r="AM107" i="4"/>
  <c r="CB107" i="4"/>
  <c r="BH107" i="4"/>
  <c r="BG107" i="4"/>
  <c r="BI107" i="4" s="1"/>
  <c r="CO106" i="4"/>
  <c r="CP106" i="4"/>
  <c r="CK106" i="4"/>
  <c r="CJ107" i="4"/>
  <c r="AK106" i="4"/>
  <c r="AL106" i="4" s="1"/>
  <c r="AX107" i="4"/>
  <c r="AP107" i="4"/>
  <c r="CQ107" i="4" s="1"/>
  <c r="BN106" i="4"/>
  <c r="BD106" i="4"/>
  <c r="B108" i="4"/>
  <c r="BT108" i="4" l="1"/>
  <c r="AZ108" i="4"/>
  <c r="BJ108" i="4"/>
  <c r="AV108" i="4"/>
  <c r="BO108" i="4"/>
  <c r="BE108" i="4"/>
  <c r="AN108" i="4"/>
  <c r="BZ108" i="4"/>
  <c r="BW108" i="4"/>
  <c r="CE108" i="4"/>
  <c r="BF108" i="4"/>
  <c r="BA108" i="4"/>
  <c r="BK108" i="4"/>
  <c r="AU108" i="4"/>
  <c r="BP108" i="4"/>
  <c r="AS108" i="4"/>
  <c r="AO108" i="4"/>
  <c r="CR108" i="4"/>
  <c r="AC108" i="4"/>
  <c r="BQ108" i="4" s="1"/>
  <c r="BS108" i="4" s="1"/>
  <c r="AG108" i="4"/>
  <c r="CA108" i="4" s="1"/>
  <c r="AD108" i="4"/>
  <c r="BC108" i="4"/>
  <c r="AH108" i="4"/>
  <c r="AE108" i="4"/>
  <c r="BL108" i="4" s="1"/>
  <c r="AA108" i="4"/>
  <c r="AW108" i="4" s="1"/>
  <c r="AY108" i="4" s="1"/>
  <c r="AB108" i="4"/>
  <c r="BB108" i="4" s="1"/>
  <c r="BH108" i="4"/>
  <c r="CC108" i="4"/>
  <c r="AM108" i="4"/>
  <c r="CB108" i="4"/>
  <c r="BM108" i="4"/>
  <c r="BG108" i="4"/>
  <c r="BI108" i="4" s="1"/>
  <c r="CO107" i="4"/>
  <c r="CP107" i="4"/>
  <c r="CK107" i="4"/>
  <c r="CJ108" i="4"/>
  <c r="AK107" i="4"/>
  <c r="AL107" i="4" s="1"/>
  <c r="AR107" i="4"/>
  <c r="AT107" i="4" s="1"/>
  <c r="AX108" i="4"/>
  <c r="AP108" i="4"/>
  <c r="CQ108" i="4" s="1"/>
  <c r="BN107" i="4"/>
  <c r="BD107" i="4"/>
  <c r="B109" i="4"/>
  <c r="AV109" i="4" l="1"/>
  <c r="BT109" i="4"/>
  <c r="BJ109" i="4"/>
  <c r="BE109" i="4"/>
  <c r="AN109" i="4"/>
  <c r="BO109" i="4"/>
  <c r="AZ109" i="4"/>
  <c r="BZ109" i="4"/>
  <c r="BW109" i="4"/>
  <c r="CE109" i="4"/>
  <c r="BF109" i="4"/>
  <c r="BA109" i="4"/>
  <c r="BK109" i="4"/>
  <c r="AU109" i="4"/>
  <c r="BP109" i="4"/>
  <c r="AS109" i="4"/>
  <c r="AO109" i="4"/>
  <c r="CR109" i="4"/>
  <c r="BC109" i="4"/>
  <c r="AG109" i="4"/>
  <c r="CA109" i="4" s="1"/>
  <c r="AD109" i="4"/>
  <c r="AE109" i="4"/>
  <c r="BL109" i="4" s="1"/>
  <c r="AH109" i="4"/>
  <c r="AC109" i="4"/>
  <c r="BQ109" i="4" s="1"/>
  <c r="BS109" i="4" s="1"/>
  <c r="AA109" i="4"/>
  <c r="AW109" i="4" s="1"/>
  <c r="AY109" i="4" s="1"/>
  <c r="AB109" i="4"/>
  <c r="BB109" i="4" s="1"/>
  <c r="BH109" i="4"/>
  <c r="BM109" i="4"/>
  <c r="CC109" i="4"/>
  <c r="AM109" i="4"/>
  <c r="CB109" i="4"/>
  <c r="BG109" i="4"/>
  <c r="BI109" i="4" s="1"/>
  <c r="CO108" i="4"/>
  <c r="CP108" i="4"/>
  <c r="CK108" i="4"/>
  <c r="CJ109" i="4"/>
  <c r="AK108" i="4"/>
  <c r="AL108" i="4" s="1"/>
  <c r="AR108" i="4"/>
  <c r="AT108" i="4" s="1"/>
  <c r="AX109" i="4"/>
  <c r="AP109" i="4"/>
  <c r="CQ109" i="4" s="1"/>
  <c r="BN108" i="4"/>
  <c r="BD108" i="4"/>
  <c r="B110" i="4"/>
  <c r="BT110" i="4" l="1"/>
  <c r="AN110" i="4"/>
  <c r="AZ110" i="4"/>
  <c r="BO110" i="4"/>
  <c r="BE110" i="4"/>
  <c r="BJ110" i="4"/>
  <c r="AV110" i="4"/>
  <c r="BZ110" i="4"/>
  <c r="BW110" i="4"/>
  <c r="CE110" i="4"/>
  <c r="BF110" i="4"/>
  <c r="BA110" i="4"/>
  <c r="BK110" i="4"/>
  <c r="AU110" i="4"/>
  <c r="BP110" i="4"/>
  <c r="AS110" i="4"/>
  <c r="AO110" i="4"/>
  <c r="CR110" i="4"/>
  <c r="AE110" i="4"/>
  <c r="BL110" i="4" s="1"/>
  <c r="AG110" i="4"/>
  <c r="CA110" i="4" s="1"/>
  <c r="AC110" i="4"/>
  <c r="BQ110" i="4" s="1"/>
  <c r="BS110" i="4" s="1"/>
  <c r="AH110" i="4"/>
  <c r="AD110" i="4"/>
  <c r="BC110" i="4"/>
  <c r="AA110" i="4"/>
  <c r="AW110" i="4" s="1"/>
  <c r="AY110" i="4" s="1"/>
  <c r="AB110" i="4"/>
  <c r="BB110" i="4" s="1"/>
  <c r="BH110" i="4"/>
  <c r="CB110" i="4"/>
  <c r="BM110" i="4"/>
  <c r="AM110" i="4"/>
  <c r="CC110" i="4"/>
  <c r="BG110" i="4"/>
  <c r="BI110" i="4" s="1"/>
  <c r="CO109" i="4"/>
  <c r="CP109" i="4"/>
  <c r="CK109" i="4"/>
  <c r="CJ110" i="4"/>
  <c r="AK109" i="4"/>
  <c r="AL109" i="4" s="1"/>
  <c r="AR109" i="4"/>
  <c r="AT109" i="4" s="1"/>
  <c r="AX110" i="4"/>
  <c r="AP110" i="4"/>
  <c r="CQ110" i="4" s="1"/>
  <c r="BN109" i="4"/>
  <c r="BD109" i="4"/>
  <c r="B111" i="4"/>
  <c r="BE111" i="4" l="1"/>
  <c r="BT111" i="4"/>
  <c r="AZ111" i="4"/>
  <c r="AN111" i="4"/>
  <c r="AV111" i="4"/>
  <c r="BO111" i="4"/>
  <c r="BJ111" i="4"/>
  <c r="BZ111" i="4"/>
  <c r="BW111" i="4"/>
  <c r="CE111" i="4"/>
  <c r="BA111" i="4"/>
  <c r="BF111" i="4"/>
  <c r="BK111" i="4"/>
  <c r="AU111" i="4"/>
  <c r="BP111" i="4"/>
  <c r="AS111" i="4"/>
  <c r="AO111" i="4"/>
  <c r="CR111" i="4"/>
  <c r="AH111" i="4"/>
  <c r="AG111" i="4"/>
  <c r="CA111" i="4" s="1"/>
  <c r="AE111" i="4"/>
  <c r="BL111" i="4" s="1"/>
  <c r="AD111" i="4"/>
  <c r="BC111" i="4"/>
  <c r="AC111" i="4"/>
  <c r="BQ111" i="4" s="1"/>
  <c r="BS111" i="4" s="1"/>
  <c r="AA111" i="4"/>
  <c r="AW111" i="4" s="1"/>
  <c r="AY111" i="4" s="1"/>
  <c r="AB111" i="4"/>
  <c r="BB111" i="4" s="1"/>
  <c r="AM111" i="4"/>
  <c r="BM111" i="4"/>
  <c r="BH111" i="4"/>
  <c r="CC111" i="4"/>
  <c r="CB111" i="4"/>
  <c r="BG111" i="4"/>
  <c r="BI111" i="4" s="1"/>
  <c r="CO110" i="4"/>
  <c r="CP110" i="4"/>
  <c r="CK110" i="4"/>
  <c r="CJ111" i="4"/>
  <c r="AK110" i="4"/>
  <c r="AL110" i="4" s="1"/>
  <c r="AR110" i="4"/>
  <c r="AT110" i="4" s="1"/>
  <c r="AX111" i="4"/>
  <c r="AP111" i="4"/>
  <c r="CQ111" i="4" s="1"/>
  <c r="BN110" i="4"/>
  <c r="BD110" i="4"/>
  <c r="B112" i="4"/>
  <c r="BT112" i="4" l="1"/>
  <c r="BJ112" i="4"/>
  <c r="AV112" i="4"/>
  <c r="BO112" i="4"/>
  <c r="AZ112" i="4"/>
  <c r="AN112" i="4"/>
  <c r="BE112" i="4"/>
  <c r="BZ112" i="4"/>
  <c r="BW112" i="4"/>
  <c r="CE112" i="4"/>
  <c r="BA112" i="4"/>
  <c r="BF112" i="4"/>
  <c r="BK112" i="4"/>
  <c r="AU112" i="4"/>
  <c r="BP112" i="4"/>
  <c r="AS112" i="4"/>
  <c r="AO112" i="4"/>
  <c r="CR112" i="4"/>
  <c r="AG112" i="4"/>
  <c r="CA112" i="4" s="1"/>
  <c r="AD112" i="4"/>
  <c r="BC112" i="4"/>
  <c r="AH112" i="4"/>
  <c r="AE112" i="4"/>
  <c r="BL112" i="4" s="1"/>
  <c r="AC112" i="4"/>
  <c r="BQ112" i="4" s="1"/>
  <c r="BS112" i="4" s="1"/>
  <c r="AA112" i="4"/>
  <c r="AW112" i="4" s="1"/>
  <c r="AY112" i="4" s="1"/>
  <c r="AB112" i="4"/>
  <c r="BB112" i="4" s="1"/>
  <c r="AM112" i="4"/>
  <c r="CC112" i="4"/>
  <c r="BM112" i="4"/>
  <c r="BH112" i="4"/>
  <c r="CB112" i="4"/>
  <c r="BG112" i="4"/>
  <c r="BI112" i="4" s="1"/>
  <c r="CO111" i="4"/>
  <c r="CP111" i="4"/>
  <c r="CK111" i="4"/>
  <c r="CJ112" i="4"/>
  <c r="AK111" i="4"/>
  <c r="AL111" i="4" s="1"/>
  <c r="AR111" i="4"/>
  <c r="AT111" i="4" s="1"/>
  <c r="AP112" i="4"/>
  <c r="CQ112" i="4" s="1"/>
  <c r="AX112" i="4"/>
  <c r="BN111" i="4"/>
  <c r="BD111" i="4"/>
  <c r="B113" i="4"/>
  <c r="AV113" i="4" l="1"/>
  <c r="BO113" i="4"/>
  <c r="BE113" i="4"/>
  <c r="AN113" i="4"/>
  <c r="AZ113" i="4"/>
  <c r="BT113" i="4"/>
  <c r="BJ113" i="4"/>
  <c r="BZ113" i="4"/>
  <c r="BW113" i="4"/>
  <c r="CE113" i="4"/>
  <c r="BA113" i="4"/>
  <c r="BF113" i="4"/>
  <c r="BK113" i="4"/>
  <c r="AU113" i="4"/>
  <c r="BP113" i="4"/>
  <c r="AS113" i="4"/>
  <c r="AO113" i="4"/>
  <c r="CR113" i="4"/>
  <c r="BC113" i="4"/>
  <c r="AD113" i="4"/>
  <c r="AE113" i="4"/>
  <c r="BL113" i="4" s="1"/>
  <c r="AH113" i="4"/>
  <c r="AC113" i="4"/>
  <c r="BQ113" i="4" s="1"/>
  <c r="BS113" i="4" s="1"/>
  <c r="AG113" i="4"/>
  <c r="CA113" i="4" s="1"/>
  <c r="AA113" i="4"/>
  <c r="AW113" i="4" s="1"/>
  <c r="AY113" i="4" s="1"/>
  <c r="AB113" i="4"/>
  <c r="BB113" i="4" s="1"/>
  <c r="CB113" i="4"/>
  <c r="BM113" i="4"/>
  <c r="AM113" i="4"/>
  <c r="BH113" i="4"/>
  <c r="CC113" i="4"/>
  <c r="BG113" i="4"/>
  <c r="BI113" i="4" s="1"/>
  <c r="CO112" i="4"/>
  <c r="CP112" i="4"/>
  <c r="CK112" i="4"/>
  <c r="CJ113" i="4"/>
  <c r="AK112" i="4"/>
  <c r="AL112" i="4" s="1"/>
  <c r="AR112" i="4"/>
  <c r="AT112" i="4" s="1"/>
  <c r="AP113" i="4"/>
  <c r="CQ113" i="4" s="1"/>
  <c r="AX113" i="4"/>
  <c r="BN112" i="4"/>
  <c r="BD112" i="4"/>
  <c r="B114" i="4"/>
  <c r="BT114" i="4" l="1"/>
  <c r="BO114" i="4"/>
  <c r="BJ114" i="4"/>
  <c r="AN114" i="4"/>
  <c r="AV114" i="4"/>
  <c r="BE114" i="4"/>
  <c r="AZ114" i="4"/>
  <c r="BZ114" i="4"/>
  <c r="BW114" i="4"/>
  <c r="CE114" i="4"/>
  <c r="BF114" i="4"/>
  <c r="BA114" i="4"/>
  <c r="BK114" i="4"/>
  <c r="AU114" i="4"/>
  <c r="BP114" i="4"/>
  <c r="AS114" i="4"/>
  <c r="AO114" i="4"/>
  <c r="CR114" i="4"/>
  <c r="AR113" i="4"/>
  <c r="AT113" i="4" s="1"/>
  <c r="BC114" i="4"/>
  <c r="AE114" i="4"/>
  <c r="BL114" i="4" s="1"/>
  <c r="AH114" i="4"/>
  <c r="AG114" i="4"/>
  <c r="CA114" i="4" s="1"/>
  <c r="AD114" i="4"/>
  <c r="AC114" i="4"/>
  <c r="BQ114" i="4" s="1"/>
  <c r="BS114" i="4" s="1"/>
  <c r="AA114" i="4"/>
  <c r="AW114" i="4" s="1"/>
  <c r="AY114" i="4" s="1"/>
  <c r="AB114" i="4"/>
  <c r="BB114" i="4" s="1"/>
  <c r="BH114" i="4"/>
  <c r="CB114" i="4"/>
  <c r="BM114" i="4"/>
  <c r="CC114" i="4"/>
  <c r="AM114" i="4"/>
  <c r="BG114" i="4"/>
  <c r="BI114" i="4" s="1"/>
  <c r="CO113" i="4"/>
  <c r="CP113" i="4"/>
  <c r="CK113" i="4"/>
  <c r="CJ114" i="4"/>
  <c r="AK113" i="4"/>
  <c r="AL113" i="4" s="1"/>
  <c r="AP114" i="4"/>
  <c r="CQ114" i="4" s="1"/>
  <c r="AX114" i="4"/>
  <c r="BN113" i="4"/>
  <c r="BD113" i="4"/>
  <c r="B115" i="4"/>
  <c r="AV115" i="4" l="1"/>
  <c r="AZ115" i="4"/>
  <c r="BJ115" i="4"/>
  <c r="BT115" i="4"/>
  <c r="AN115" i="4"/>
  <c r="BE115" i="4"/>
  <c r="BO115" i="4"/>
  <c r="BZ115" i="4"/>
  <c r="BW115" i="4"/>
  <c r="CE115" i="4"/>
  <c r="BF115" i="4"/>
  <c r="BA115" i="4"/>
  <c r="BK115" i="4"/>
  <c r="AU115" i="4"/>
  <c r="BP115" i="4"/>
  <c r="AS115" i="4"/>
  <c r="AO115" i="4"/>
  <c r="CR115" i="4"/>
  <c r="BC115" i="4"/>
  <c r="AC115" i="4"/>
  <c r="BQ115" i="4" s="1"/>
  <c r="BS115" i="4" s="1"/>
  <c r="AD115" i="4"/>
  <c r="AH115" i="4"/>
  <c r="AE115" i="4"/>
  <c r="BL115" i="4" s="1"/>
  <c r="AG115" i="4"/>
  <c r="CA115" i="4" s="1"/>
  <c r="AA115" i="4"/>
  <c r="AW115" i="4" s="1"/>
  <c r="AY115" i="4" s="1"/>
  <c r="AB115" i="4"/>
  <c r="BB115" i="4" s="1"/>
  <c r="CC115" i="4"/>
  <c r="BM115" i="4"/>
  <c r="AM115" i="4"/>
  <c r="CB115" i="4"/>
  <c r="BH115" i="4"/>
  <c r="BG115" i="4"/>
  <c r="BI115" i="4" s="1"/>
  <c r="CO114" i="4"/>
  <c r="CP114" i="4"/>
  <c r="CK114" i="4"/>
  <c r="CJ115" i="4"/>
  <c r="AK114" i="4"/>
  <c r="AL114" i="4" s="1"/>
  <c r="AR114" i="4"/>
  <c r="AT114" i="4" s="1"/>
  <c r="AX115" i="4"/>
  <c r="AP115" i="4"/>
  <c r="CQ115" i="4" s="1"/>
  <c r="BN114" i="4"/>
  <c r="BD114" i="4"/>
  <c r="B116" i="4"/>
  <c r="BE116" i="4" l="1"/>
  <c r="AN116" i="4"/>
  <c r="AZ116" i="4"/>
  <c r="BT116" i="4"/>
  <c r="BO116" i="4"/>
  <c r="BJ116" i="4"/>
  <c r="AV116" i="4"/>
  <c r="BZ116" i="4"/>
  <c r="BW116" i="4"/>
  <c r="CE116" i="4"/>
  <c r="BF116" i="4"/>
  <c r="BA116" i="4"/>
  <c r="BK116" i="4"/>
  <c r="AU116" i="4"/>
  <c r="BP116" i="4"/>
  <c r="AS116" i="4"/>
  <c r="AO116" i="4"/>
  <c r="CR116" i="4"/>
  <c r="AC116" i="4"/>
  <c r="BQ116" i="4" s="1"/>
  <c r="BS116" i="4" s="1"/>
  <c r="AD116" i="4"/>
  <c r="BC116" i="4"/>
  <c r="AG116" i="4"/>
  <c r="CA116" i="4" s="1"/>
  <c r="AH116" i="4"/>
  <c r="AE116" i="4"/>
  <c r="BL116" i="4" s="1"/>
  <c r="AA116" i="4"/>
  <c r="AW116" i="4" s="1"/>
  <c r="AY116" i="4" s="1"/>
  <c r="AB116" i="4"/>
  <c r="BB116" i="4" s="1"/>
  <c r="BH116" i="4"/>
  <c r="CC116" i="4"/>
  <c r="AM116" i="4"/>
  <c r="CB116" i="4"/>
  <c r="BM116" i="4"/>
  <c r="BG116" i="4"/>
  <c r="BI116" i="4" s="1"/>
  <c r="CO115" i="4"/>
  <c r="CP115" i="4"/>
  <c r="CK115" i="4"/>
  <c r="CJ116" i="4"/>
  <c r="DJ19" i="4" a="1"/>
  <c r="DJ19" i="4" s="1"/>
  <c r="EB19" i="4" s="1"/>
  <c r="AK115" i="4"/>
  <c r="AL115" i="4" s="1"/>
  <c r="AR115" i="4"/>
  <c r="AT115" i="4" s="1"/>
  <c r="AX116" i="4"/>
  <c r="AP116" i="4"/>
  <c r="CQ116" i="4" s="1"/>
  <c r="BN115" i="4"/>
  <c r="BD115" i="4"/>
  <c r="B117" i="4"/>
  <c r="AV117" i="4" l="1"/>
  <c r="BJ117" i="4"/>
  <c r="DF16" i="4" s="1"/>
  <c r="BE117" i="4"/>
  <c r="DF14" i="4" s="1"/>
  <c r="AN117" i="4"/>
  <c r="DF11" i="4" s="1"/>
  <c r="BO117" i="4"/>
  <c r="DF17" i="4" s="1"/>
  <c r="BT117" i="4"/>
  <c r="AZ117" i="4"/>
  <c r="DF13" i="4" s="1"/>
  <c r="BZ117" i="4"/>
  <c r="BW117" i="4"/>
  <c r="CE117" i="4"/>
  <c r="BF117" i="4"/>
  <c r="BA117" i="4"/>
  <c r="BK117" i="4"/>
  <c r="AU117" i="4"/>
  <c r="BP117" i="4"/>
  <c r="AS117" i="4"/>
  <c r="DG12" i="4" s="1"/>
  <c r="AO117" i="4"/>
  <c r="CR117" i="4"/>
  <c r="AU8" i="4" s="1"/>
  <c r="AS6" i="4" s="1"/>
  <c r="ED15" i="4"/>
  <c r="EE16" i="4"/>
  <c r="AD117" i="4"/>
  <c r="AG117" i="4"/>
  <c r="CA117" i="4" s="1"/>
  <c r="AE117" i="4"/>
  <c r="BL117" i="4" s="1"/>
  <c r="BC117" i="4"/>
  <c r="AH117" i="4"/>
  <c r="AC117" i="4"/>
  <c r="BQ117" i="4" s="1"/>
  <c r="AA117" i="4"/>
  <c r="AW117" i="4" s="1"/>
  <c r="AB117" i="4"/>
  <c r="BB117" i="4" s="1"/>
  <c r="CB117" i="4"/>
  <c r="AM117" i="4"/>
  <c r="BH117" i="4"/>
  <c r="DG16" i="4" s="1"/>
  <c r="CC117" i="4"/>
  <c r="BM117" i="4"/>
  <c r="BG117" i="4"/>
  <c r="BI117" i="4" s="1"/>
  <c r="CJ117" i="4"/>
  <c r="CO117" i="4" s="1"/>
  <c r="CO116" i="4"/>
  <c r="CP116" i="4"/>
  <c r="DJ13" i="4" a="1"/>
  <c r="DJ13" i="4" s="1"/>
  <c r="EB13" i="4" s="1"/>
  <c r="DJ12" i="4" a="1"/>
  <c r="DJ12" i="4" s="1"/>
  <c r="EB12" i="4" s="1"/>
  <c r="DJ20" i="4" a="1"/>
  <c r="DJ20" i="4" s="1"/>
  <c r="EB20" i="4" s="1"/>
  <c r="DP18" i="4" a="1"/>
  <c r="DP18" i="4" s="1"/>
  <c r="DP19" i="4" a="1"/>
  <c r="DP19" i="4" s="1"/>
  <c r="CK116" i="4"/>
  <c r="DJ11" i="4" a="1"/>
  <c r="DJ11" i="4" s="1"/>
  <c r="DP20" i="4" a="1"/>
  <c r="DP20" i="4" s="1"/>
  <c r="DO19" i="4" a="1"/>
  <c r="DO19" i="4" s="1"/>
  <c r="DO20" i="4" a="1"/>
  <c r="DO20" i="4" s="1"/>
  <c r="AK116" i="4"/>
  <c r="AL116" i="4" s="1"/>
  <c r="DJ14" i="4" a="1"/>
  <c r="DJ14" i="4" s="1"/>
  <c r="EB14" i="4" s="1"/>
  <c r="DO18" i="4" a="1"/>
  <c r="DO18" i="4" s="1"/>
  <c r="DJ18" i="4" a="1"/>
  <c r="DJ18" i="4" s="1"/>
  <c r="EB18" i="4" s="1"/>
  <c r="DP12" i="4" a="1"/>
  <c r="DP12" i="4" s="1"/>
  <c r="AR116" i="4"/>
  <c r="AT116" i="4" s="1"/>
  <c r="DJ16" i="4" a="1"/>
  <c r="DJ16" i="4" s="1"/>
  <c r="EB16" i="4" s="1"/>
  <c r="DP11" i="4" a="1"/>
  <c r="DP11" i="4" s="1"/>
  <c r="DP16" i="4" a="1"/>
  <c r="DP16" i="4" s="1"/>
  <c r="DJ17" i="4" a="1"/>
  <c r="DJ17" i="4" s="1"/>
  <c r="EB17" i="4" s="1"/>
  <c r="AX117" i="4"/>
  <c r="AP117" i="4"/>
  <c r="CQ117" i="4" s="1"/>
  <c r="DO16" i="4" a="1"/>
  <c r="DO16" i="4" s="1"/>
  <c r="DO17" i="4" a="1"/>
  <c r="DO17" i="4" s="1"/>
  <c r="BN116" i="4"/>
  <c r="DP17" i="4" a="1"/>
  <c r="DP17" i="4" s="1"/>
  <c r="FG85" i="4" a="1"/>
  <c r="FG85" i="4" s="1"/>
  <c r="DO11" i="4" a="1"/>
  <c r="DO11" i="4" s="1"/>
  <c r="DO14" i="4" a="1"/>
  <c r="DO14" i="4" s="1"/>
  <c r="DP15" i="4" a="1"/>
  <c r="DP15" i="4" s="1"/>
  <c r="DJ15" i="4" a="1"/>
  <c r="DJ15" i="4" s="1"/>
  <c r="EB15" i="4" s="1"/>
  <c r="DO12" i="4" a="1"/>
  <c r="DO12" i="4" s="1"/>
  <c r="BD116" i="4"/>
  <c r="DO13" i="4" a="1"/>
  <c r="DO13" i="4" s="1"/>
  <c r="DP13" i="4" a="1"/>
  <c r="DP13" i="4" s="1"/>
  <c r="DP14" i="4" a="1"/>
  <c r="DP14" i="4" s="1"/>
  <c r="DO15" i="4" a="1"/>
  <c r="DO15" i="4" s="1"/>
  <c r="DG15" i="4" l="1"/>
  <c r="DF15" i="4"/>
  <c r="DG13" i="4"/>
  <c r="DG17" i="4"/>
  <c r="DE20" i="4"/>
  <c r="E2" i="4" s="1"/>
  <c r="DG20" i="4"/>
  <c r="DE17" i="4"/>
  <c r="EC17" i="4" s="1"/>
  <c r="DE16" i="4" a="1"/>
  <c r="DF12" i="4"/>
  <c r="DE14" i="4"/>
  <c r="DG14" i="4"/>
  <c r="DE13" i="4"/>
  <c r="DG11" i="4"/>
  <c r="DE11" i="4"/>
  <c r="DE12" i="4"/>
  <c r="BU117" i="4"/>
  <c r="EE15" i="4"/>
  <c r="BU11" i="4"/>
  <c r="BU19" i="4"/>
  <c r="BU27" i="4"/>
  <c r="BU35" i="4"/>
  <c r="BU43" i="4"/>
  <c r="BU51" i="4"/>
  <c r="BU59" i="4"/>
  <c r="BU12" i="4"/>
  <c r="BU20" i="4"/>
  <c r="BU28" i="4"/>
  <c r="BU36" i="4"/>
  <c r="BU44" i="4"/>
  <c r="BU52" i="4"/>
  <c r="BU60" i="4"/>
  <c r="BU41" i="4"/>
  <c r="BU13" i="4"/>
  <c r="BU21" i="4"/>
  <c r="BU29" i="4"/>
  <c r="BU37" i="4"/>
  <c r="BU45" i="4"/>
  <c r="BU53" i="4"/>
  <c r="BU61" i="4"/>
  <c r="BU57" i="4"/>
  <c r="BU14" i="4"/>
  <c r="BU22" i="4"/>
  <c r="BU30" i="4"/>
  <c r="BU38" i="4"/>
  <c r="BU46" i="4"/>
  <c r="BU54" i="4"/>
  <c r="BU33" i="4"/>
  <c r="BU15" i="4"/>
  <c r="BU23" i="4"/>
  <c r="BU31" i="4"/>
  <c r="BU39" i="4"/>
  <c r="BU47" i="4"/>
  <c r="BU55" i="4"/>
  <c r="BU25" i="4"/>
  <c r="BU16" i="4"/>
  <c r="BU24" i="4"/>
  <c r="BU32" i="4"/>
  <c r="BU40" i="4"/>
  <c r="BU48" i="4"/>
  <c r="BU56" i="4"/>
  <c r="BU17" i="4"/>
  <c r="BU18" i="4"/>
  <c r="BU26" i="4"/>
  <c r="BU34" i="4"/>
  <c r="BU42" i="4"/>
  <c r="BU50" i="4"/>
  <c r="BU58" i="4"/>
  <c r="BU49" i="4"/>
  <c r="BU62" i="4"/>
  <c r="BU63" i="4"/>
  <c r="BU64" i="4"/>
  <c r="BU65" i="4"/>
  <c r="BU66" i="4"/>
  <c r="BU67" i="4"/>
  <c r="BU68" i="4"/>
  <c r="BU69" i="4"/>
  <c r="BU70" i="4"/>
  <c r="BU71" i="4"/>
  <c r="BU72" i="4"/>
  <c r="BU73" i="4"/>
  <c r="BU74" i="4"/>
  <c r="BU75" i="4"/>
  <c r="BU76" i="4"/>
  <c r="BU77" i="4"/>
  <c r="BU78" i="4"/>
  <c r="BU79" i="4"/>
  <c r="BU80" i="4"/>
  <c r="BU81" i="4"/>
  <c r="BU82" i="4"/>
  <c r="BU83" i="4"/>
  <c r="BU84" i="4"/>
  <c r="BU85" i="4"/>
  <c r="BU86" i="4"/>
  <c r="BU87" i="4"/>
  <c r="BU88" i="4"/>
  <c r="BU89" i="4"/>
  <c r="BU90" i="4"/>
  <c r="BU91" i="4"/>
  <c r="BU92" i="4"/>
  <c r="BU93" i="4"/>
  <c r="BU94" i="4"/>
  <c r="BU95" i="4"/>
  <c r="BU96" i="4"/>
  <c r="BU97" i="4"/>
  <c r="BU98" i="4"/>
  <c r="BU99" i="4"/>
  <c r="BU100" i="4"/>
  <c r="BU101" i="4"/>
  <c r="BU102" i="4"/>
  <c r="BU103" i="4"/>
  <c r="BU104" i="4"/>
  <c r="BU105" i="4"/>
  <c r="BU106" i="4"/>
  <c r="BU107" i="4"/>
  <c r="BU108" i="4"/>
  <c r="BU109" i="4"/>
  <c r="BU110" i="4"/>
  <c r="BU111" i="4"/>
  <c r="BU112" i="4"/>
  <c r="BU113" i="4"/>
  <c r="BU114" i="4"/>
  <c r="BU115" i="4"/>
  <c r="BU116" i="4"/>
  <c r="EE14" i="4"/>
  <c r="CP117" i="4"/>
  <c r="CP8" i="4" s="1"/>
  <c r="CD6" i="4" s="1"/>
  <c r="CK117" i="4"/>
  <c r="DO21" i="4"/>
  <c r="DT7" i="4" s="1"/>
  <c r="DZ18" i="4"/>
  <c r="BS117" i="4"/>
  <c r="DL15" i="4"/>
  <c r="DL20" i="4"/>
  <c r="AK117" i="4"/>
  <c r="EB11" i="4" s="1"/>
  <c r="DX13" i="4"/>
  <c r="DX18" i="4"/>
  <c r="AR117" i="4"/>
  <c r="DL12" i="4" s="1"/>
  <c r="DL16" i="4"/>
  <c r="AY117" i="4"/>
  <c r="DL13" i="4"/>
  <c r="DX15" i="4"/>
  <c r="DX14" i="4"/>
  <c r="DX17" i="4"/>
  <c r="DX16" i="4"/>
  <c r="FD85" i="4"/>
  <c r="DZ16" i="4"/>
  <c r="DZ17" i="4"/>
  <c r="DZ15" i="4"/>
  <c r="DZ14" i="4"/>
  <c r="DZ13" i="4"/>
  <c r="BD117" i="4"/>
  <c r="DQ15" i="4"/>
  <c r="DQ12" i="4"/>
  <c r="DQ20" i="4"/>
  <c r="DQ16" i="4"/>
  <c r="DQ13" i="4"/>
  <c r="DQ19" i="4"/>
  <c r="EC20" i="4" l="1"/>
  <c r="EC14" i="4"/>
  <c r="AU9" i="4"/>
  <c r="EC11" i="4"/>
  <c r="AS7" i="4"/>
  <c r="DU19" i="4"/>
  <c r="EC12" i="4"/>
  <c r="EA12" i="4"/>
  <c r="EA11" i="4"/>
  <c r="EC9" i="4"/>
  <c r="EC8" i="4"/>
  <c r="AL117" i="4"/>
  <c r="AH2" i="4"/>
  <c r="DU20" i="4"/>
  <c r="DU15" i="4"/>
  <c r="DU13" i="4"/>
  <c r="DU12" i="4"/>
  <c r="EC13" i="4"/>
  <c r="DL11" i="4"/>
  <c r="AT117" i="4"/>
  <c r="BG5" i="4"/>
  <c r="BG6" i="4"/>
  <c r="BN117" i="4"/>
  <c r="DL17" i="4"/>
  <c r="DL14" i="4"/>
  <c r="DE16" i="4"/>
  <c r="DQ17" i="4"/>
  <c r="DQ14" i="4"/>
  <c r="DQ11" i="4"/>
  <c r="DU11" i="4" l="1"/>
  <c r="DU16" i="4"/>
  <c r="DU14" i="4"/>
  <c r="DU17" i="4"/>
  <c r="EC16" i="4"/>
  <c r="EA14" i="4"/>
  <c r="AF80" i="4" l="1"/>
  <c r="BV80" i="4" s="1"/>
  <c r="BW80" i="4" s="1"/>
  <c r="AF85" i="4"/>
  <c r="AF88" i="4"/>
  <c r="BV88" i="4" s="1"/>
  <c r="AF93" i="4"/>
  <c r="BV93" i="4" s="1"/>
  <c r="BX93" i="4" s="1"/>
  <c r="AF96" i="4"/>
  <c r="AF101" i="4"/>
  <c r="BV101" i="4" s="1"/>
  <c r="BX101" i="4" s="1"/>
  <c r="AF104" i="4"/>
  <c r="AF109" i="4"/>
  <c r="BV109" i="4" s="1"/>
  <c r="AF112" i="4"/>
  <c r="BV112" i="4" s="1"/>
  <c r="AF55" i="4"/>
  <c r="BV55" i="4" s="1"/>
  <c r="BW55" i="4" s="1"/>
  <c r="AF117" i="4"/>
  <c r="AF67" i="4"/>
  <c r="BV67" i="4" s="1"/>
  <c r="AF77" i="4"/>
  <c r="BV77" i="4" s="1"/>
  <c r="BW77" i="4" s="1"/>
  <c r="AF84" i="4"/>
  <c r="BV84" i="4" s="1"/>
  <c r="BX84" i="4" s="1"/>
  <c r="AF97" i="4"/>
  <c r="BV97" i="4" s="1"/>
  <c r="BX97" i="4" s="1"/>
  <c r="AF105" i="4"/>
  <c r="BV105" i="4" s="1"/>
  <c r="BX105" i="4" s="1"/>
  <c r="AF113" i="4"/>
  <c r="BV113" i="4" s="1"/>
  <c r="BX113" i="4" s="1"/>
  <c r="AF82" i="4"/>
  <c r="BV82" i="4" s="1"/>
  <c r="BX82" i="4" s="1"/>
  <c r="AF36" i="4"/>
  <c r="BV36" i="4" s="1"/>
  <c r="BW36" i="4" s="1"/>
  <c r="AF78" i="4"/>
  <c r="BV78" i="4" s="1"/>
  <c r="BW78" i="4" s="1"/>
  <c r="AF83" i="4"/>
  <c r="AF91" i="4"/>
  <c r="BV91" i="4" s="1"/>
  <c r="AF99" i="4"/>
  <c r="BV99" i="4" s="1"/>
  <c r="AF107" i="4"/>
  <c r="BV107" i="4" s="1"/>
  <c r="AF115" i="4"/>
  <c r="AF37" i="4"/>
  <c r="BV37" i="4" s="1"/>
  <c r="BW37" i="4" s="1"/>
  <c r="AF51" i="4"/>
  <c r="BV51" i="4" s="1"/>
  <c r="BW51" i="4" s="1"/>
  <c r="AF33" i="4"/>
  <c r="BV33" i="4" s="1"/>
  <c r="BW33" i="4" s="1"/>
  <c r="AF43" i="4"/>
  <c r="BV43" i="4" s="1"/>
  <c r="BW43" i="4" s="1"/>
  <c r="AF25" i="4"/>
  <c r="BV25" i="4" s="1"/>
  <c r="AF57" i="4"/>
  <c r="AF31" i="4"/>
  <c r="BV31" i="4" s="1"/>
  <c r="BW31" i="4" s="1"/>
  <c r="AF22" i="4"/>
  <c r="AF69" i="4"/>
  <c r="AF75" i="4"/>
  <c r="AF100" i="4"/>
  <c r="BV100" i="4" s="1"/>
  <c r="BX100" i="4" s="1"/>
  <c r="AF108" i="4"/>
  <c r="AF116" i="4"/>
  <c r="BV116" i="4" s="1"/>
  <c r="AF42" i="4"/>
  <c r="BV42" i="4" s="1"/>
  <c r="BW42" i="4" s="1"/>
  <c r="AF90" i="4"/>
  <c r="BV90" i="4" s="1"/>
  <c r="BX90" i="4" s="1"/>
  <c r="AF98" i="4"/>
  <c r="BV98" i="4" s="1"/>
  <c r="BX98" i="4" s="1"/>
  <c r="AF106" i="4"/>
  <c r="BV106" i="4" s="1"/>
  <c r="BX106" i="4" s="1"/>
  <c r="AF114" i="4"/>
  <c r="BV114" i="4" s="1"/>
  <c r="AF61" i="4"/>
  <c r="BV61" i="4" s="1"/>
  <c r="AF72" i="4"/>
  <c r="BV72" i="4" s="1"/>
  <c r="BW72" i="4" s="1"/>
  <c r="AF86" i="4"/>
  <c r="BV86" i="4" s="1"/>
  <c r="AF94" i="4"/>
  <c r="BV94" i="4" s="1"/>
  <c r="AF102" i="4"/>
  <c r="AF110" i="4"/>
  <c r="BV110" i="4" s="1"/>
  <c r="AF32" i="4"/>
  <c r="BV32" i="4" s="1"/>
  <c r="BW32" i="4" s="1"/>
  <c r="AF16" i="4"/>
  <c r="BV16" i="4" s="1"/>
  <c r="AF66" i="4"/>
  <c r="BV66" i="4" s="1"/>
  <c r="BW66" i="4" s="1"/>
  <c r="AF73" i="4"/>
  <c r="BV73" i="4" s="1"/>
  <c r="BW73" i="4" s="1"/>
  <c r="AF81" i="4"/>
  <c r="BV81" i="4" s="1"/>
  <c r="AF92" i="4"/>
  <c r="AF62" i="4"/>
  <c r="AF27" i="4"/>
  <c r="BV27" i="4" s="1"/>
  <c r="AF29" i="4"/>
  <c r="AF48" i="4"/>
  <c r="BV48" i="4" s="1"/>
  <c r="BW48" i="4" s="1"/>
  <c r="AF68" i="4"/>
  <c r="BV68" i="4" s="1"/>
  <c r="BW68" i="4" s="1"/>
  <c r="AF76" i="4"/>
  <c r="BV76" i="4" s="1"/>
  <c r="BW76" i="4" s="1"/>
  <c r="AF89" i="4"/>
  <c r="BV89" i="4" s="1"/>
  <c r="AF35" i="4"/>
  <c r="AF59" i="4"/>
  <c r="BV59" i="4" s="1"/>
  <c r="BW59" i="4" s="1"/>
  <c r="AF41" i="4"/>
  <c r="AF14" i="4"/>
  <c r="BV14" i="4" s="1"/>
  <c r="AF54" i="4"/>
  <c r="AF30" i="4"/>
  <c r="BV30" i="4" s="1"/>
  <c r="BW30" i="4" s="1"/>
  <c r="AF49" i="4"/>
  <c r="BV49" i="4" s="1"/>
  <c r="BW49" i="4" s="1"/>
  <c r="AF46" i="4"/>
  <c r="BV46" i="4" s="1"/>
  <c r="BW46" i="4" s="1"/>
  <c r="AF38" i="4"/>
  <c r="BV38" i="4" s="1"/>
  <c r="BW38" i="4" s="1"/>
  <c r="AF24" i="4"/>
  <c r="BV24" i="4" s="1"/>
  <c r="AF56" i="4"/>
  <c r="BV56" i="4" s="1"/>
  <c r="BW56" i="4" s="1"/>
  <c r="AF20" i="4"/>
  <c r="BV20" i="4" s="1"/>
  <c r="AF18" i="4"/>
  <c r="BV18" i="4" s="1"/>
  <c r="AF40" i="4"/>
  <c r="BV40" i="4" s="1"/>
  <c r="BW40" i="4" s="1"/>
  <c r="AF63" i="4"/>
  <c r="BV63" i="4" s="1"/>
  <c r="BW63" i="4" s="1"/>
  <c r="AF71" i="4"/>
  <c r="BV71" i="4" s="1"/>
  <c r="BW71" i="4" s="1"/>
  <c r="AF79" i="4"/>
  <c r="BV79" i="4" s="1"/>
  <c r="BW79" i="4" s="1"/>
  <c r="AF17" i="4"/>
  <c r="AF28" i="4"/>
  <c r="AF70" i="4"/>
  <c r="AF87" i="4"/>
  <c r="AF95" i="4"/>
  <c r="AF103" i="4"/>
  <c r="BV103" i="4" s="1"/>
  <c r="AF111" i="4"/>
  <c r="BV111" i="4" s="1"/>
  <c r="AF15" i="4"/>
  <c r="BV15" i="4" s="1"/>
  <c r="AF47" i="4"/>
  <c r="AF45" i="4"/>
  <c r="BV45" i="4" s="1"/>
  <c r="BW45" i="4" s="1"/>
  <c r="AF52" i="4"/>
  <c r="AF50" i="4"/>
  <c r="BV50" i="4" s="1"/>
  <c r="BW50" i="4" s="1"/>
  <c r="AF53" i="4"/>
  <c r="AF44" i="4"/>
  <c r="BV44" i="4" s="1"/>
  <c r="AF21" i="4"/>
  <c r="BV21" i="4" s="1"/>
  <c r="AF13" i="4"/>
  <c r="BV13" i="4" s="1"/>
  <c r="AF64" i="4"/>
  <c r="BV64" i="4" s="1"/>
  <c r="BW64" i="4" s="1"/>
  <c r="AF60" i="4"/>
  <c r="BV60" i="4" s="1"/>
  <c r="BW60" i="4" s="1"/>
  <c r="AF34" i="4"/>
  <c r="BV34" i="4" s="1"/>
  <c r="BW34" i="4" s="1"/>
  <c r="AF39" i="4"/>
  <c r="BV39" i="4" s="1"/>
  <c r="BW39" i="4" s="1"/>
  <c r="AF23" i="4"/>
  <c r="AF65" i="4"/>
  <c r="AF58" i="4"/>
  <c r="AF26" i="4"/>
  <c r="BV26" i="4" s="1"/>
  <c r="AF19" i="4"/>
  <c r="AF74" i="4"/>
  <c r="AF12" i="4"/>
  <c r="BV12" i="4" s="1"/>
  <c r="BX81" i="4" l="1"/>
  <c r="BW81" i="4"/>
  <c r="BX44" i="4"/>
  <c r="BW44" i="4"/>
  <c r="BX61" i="4"/>
  <c r="BW61" i="4"/>
  <c r="BX67" i="4"/>
  <c r="BW67" i="4"/>
  <c r="BX80" i="4"/>
  <c r="BX103" i="4"/>
  <c r="BX94" i="4"/>
  <c r="BX39" i="4"/>
  <c r="BX63" i="4"/>
  <c r="BX86" i="4"/>
  <c r="BV95" i="4"/>
  <c r="BX95" i="4" s="1"/>
  <c r="BX79" i="4"/>
  <c r="BV87" i="4"/>
  <c r="BX87" i="4" s="1"/>
  <c r="BV35" i="4"/>
  <c r="BW35" i="4" s="1"/>
  <c r="BX88" i="4"/>
  <c r="BX56" i="4"/>
  <c r="BX68" i="4"/>
  <c r="BX110" i="4"/>
  <c r="BX91" i="4"/>
  <c r="BX36" i="4"/>
  <c r="BV19" i="4"/>
  <c r="BX49" i="4"/>
  <c r="BV92" i="4"/>
  <c r="BX92" i="4" s="1"/>
  <c r="BV102" i="4"/>
  <c r="BX102" i="4" s="1"/>
  <c r="BV83" i="4"/>
  <c r="BX83" i="4" s="1"/>
  <c r="BX13" i="4"/>
  <c r="BX34" i="4"/>
  <c r="BX72" i="4"/>
  <c r="BX89" i="4"/>
  <c r="BX31" i="4"/>
  <c r="BX16" i="4"/>
  <c r="BX107" i="4"/>
  <c r="BX77" i="4"/>
  <c r="BX12" i="4"/>
  <c r="BX21" i="4"/>
  <c r="BX76" i="4"/>
  <c r="BX27" i="4"/>
  <c r="BX116" i="4"/>
  <c r="BX99" i="4"/>
  <c r="BX15" i="4"/>
  <c r="BX38" i="4"/>
  <c r="BX111" i="4"/>
  <c r="BX45" i="4"/>
  <c r="BV74" i="4"/>
  <c r="BW74" i="4" s="1"/>
  <c r="BV23" i="4"/>
  <c r="BX60" i="4"/>
  <c r="BV47" i="4"/>
  <c r="BW47" i="4" s="1"/>
  <c r="BV70" i="4"/>
  <c r="BW70" i="4" s="1"/>
  <c r="BX71" i="4"/>
  <c r="BX46" i="4"/>
  <c r="BV62" i="4"/>
  <c r="BW62" i="4" s="1"/>
  <c r="BX32" i="4"/>
  <c r="BV108" i="4"/>
  <c r="BX108" i="4" s="1"/>
  <c r="BV22" i="4"/>
  <c r="BV96" i="4"/>
  <c r="BX96" i="4" s="1"/>
  <c r="BV85" i="4"/>
  <c r="BX85" i="4" s="1"/>
  <c r="BX51" i="4"/>
  <c r="BX14" i="4"/>
  <c r="BX33" i="4"/>
  <c r="BV52" i="4"/>
  <c r="BW52" i="4" s="1"/>
  <c r="BX18" i="4"/>
  <c r="BV41" i="4"/>
  <c r="BW41" i="4" s="1"/>
  <c r="BX48" i="4"/>
  <c r="BV57" i="4"/>
  <c r="BW57" i="4" s="1"/>
  <c r="BX26" i="4"/>
  <c r="BX78" i="4"/>
  <c r="BX55" i="4"/>
  <c r="BX112" i="4"/>
  <c r="BX37" i="4"/>
  <c r="BV58" i="4"/>
  <c r="BW58" i="4" s="1"/>
  <c r="BV53" i="4"/>
  <c r="BW53" i="4" s="1"/>
  <c r="BV28" i="4"/>
  <c r="BX24" i="4"/>
  <c r="BV54" i="4"/>
  <c r="BW54" i="4" s="1"/>
  <c r="BX59" i="4"/>
  <c r="BX66" i="4"/>
  <c r="BV75" i="4"/>
  <c r="BW75" i="4" s="1"/>
  <c r="BX25" i="4"/>
  <c r="BX109" i="4"/>
  <c r="BX50" i="4"/>
  <c r="BX20" i="4"/>
  <c r="BX42" i="4"/>
  <c r="BV65" i="4"/>
  <c r="BW65" i="4" s="1"/>
  <c r="BX64" i="4"/>
  <c r="BV17" i="4"/>
  <c r="BV29" i="4"/>
  <c r="BX114" i="4"/>
  <c r="BV69" i="4"/>
  <c r="BW69" i="4" s="1"/>
  <c r="BX43" i="4"/>
  <c r="BV115" i="4"/>
  <c r="BX115" i="4" s="1"/>
  <c r="BV117" i="4"/>
  <c r="BX117" i="4" s="1"/>
  <c r="BV104" i="4"/>
  <c r="BX104" i="4" s="1"/>
  <c r="BX40" i="4"/>
  <c r="BX30" i="4"/>
  <c r="BX73" i="4"/>
  <c r="DG18" i="4" l="1"/>
  <c r="BX62" i="4"/>
  <c r="BX74" i="4"/>
  <c r="BX35" i="4"/>
  <c r="BX70" i="4"/>
  <c r="BX23" i="4"/>
  <c r="DE18" i="4"/>
  <c r="BX22" i="4"/>
  <c r="BX19" i="4"/>
  <c r="BX54" i="4"/>
  <c r="BX47" i="4"/>
  <c r="BX52" i="4"/>
  <c r="DL18" i="4" a="1"/>
  <c r="DL18" i="4" s="1"/>
  <c r="BX28" i="4"/>
  <c r="BX69" i="4"/>
  <c r="BX17" i="4"/>
  <c r="BX53" i="4"/>
  <c r="BX57" i="4"/>
  <c r="BX41" i="4"/>
  <c r="BX75" i="4"/>
  <c r="BX65" i="4"/>
  <c r="BX29" i="4"/>
  <c r="BX58" i="4"/>
  <c r="DQ18" i="4"/>
  <c r="EC18" i="4" l="1"/>
  <c r="DU18" i="4"/>
</calcChain>
</file>

<file path=xl/comments1.xml><?xml version="1.0" encoding="utf-8"?>
<comments xmlns="http://schemas.openxmlformats.org/spreadsheetml/2006/main">
  <authors>
    <author>Kevin1</author>
  </authors>
  <commentList>
    <comment ref="J1" authorId="0" shapeId="0">
      <text>
        <r>
          <rPr>
            <b/>
            <sz val="9"/>
            <color indexed="81"/>
            <rFont val="Tahoma"/>
            <family val="2"/>
          </rPr>
          <t>Kevin1:</t>
        </r>
        <r>
          <rPr>
            <sz val="9"/>
            <color indexed="81"/>
            <rFont val="Tahoma"/>
            <family val="2"/>
          </rPr>
          <t xml:space="preserve">
Value of 1 will divide the cases by population, in logisitic output and case column. Might Best to be 0 maybe when Solver run</t>
        </r>
      </text>
    </comment>
    <comment ref="Y10" authorId="0" shapeId="0">
      <text>
        <r>
          <rPr>
            <b/>
            <sz val="9"/>
            <color indexed="81"/>
            <rFont val="Tahoma"/>
            <family val="2"/>
          </rPr>
          <t>Kevin1: Switch to any country or state/province</t>
        </r>
        <r>
          <rPr>
            <sz val="9"/>
            <color indexed="81"/>
            <rFont val="Tahoma"/>
            <family val="2"/>
          </rPr>
          <t xml:space="preserve">
</t>
        </r>
      </text>
    </comment>
    <comment ref="DE10" authorId="0" shapeId="0">
      <text>
        <r>
          <rPr>
            <b/>
            <sz val="9"/>
            <color indexed="81"/>
            <rFont val="Tahoma"/>
            <family val="2"/>
          </rPr>
          <t>Kevin1:</t>
        </r>
        <r>
          <rPr>
            <sz val="9"/>
            <color indexed="81"/>
            <rFont val="Tahoma"/>
            <family val="2"/>
          </rPr>
          <t xml:space="preserve">
</t>
        </r>
        <r>
          <rPr>
            <sz val="12"/>
            <color indexed="81"/>
            <rFont val="Tahoma"/>
            <family val="2"/>
          </rPr>
          <t>Use Mean  Sq Error as the target for Solver to minimize (simpler to calculate than R2). Would be nice to rename Mean Sq Err as Mean Err Sq, as that is what it really is. But too hard to fix all the defined names and chart series uses of it.</t>
        </r>
      </text>
    </comment>
    <comment ref="DF10" authorId="0" shapeId="0">
      <text>
        <r>
          <rPr>
            <b/>
            <sz val="9"/>
            <color indexed="81"/>
            <rFont val="Tahoma"/>
            <family val="2"/>
          </rPr>
          <t>Kevin1:</t>
        </r>
        <r>
          <rPr>
            <sz val="9"/>
            <color indexed="81"/>
            <rFont val="Tahoma"/>
            <family val="2"/>
          </rPr>
          <t xml:space="preserve">
</t>
        </r>
        <r>
          <rPr>
            <sz val="12"/>
            <color indexed="81"/>
            <rFont val="Tahoma"/>
            <family val="2"/>
          </rPr>
          <t>To stop auto-filling of formula down the column, turn the formula in last row into a text by prefacing with an apostrophe ', edit the other rows one at a time, then remove the apostrophe on the last row</t>
        </r>
      </text>
    </comment>
    <comment ref="DG10" authorId="0" shapeId="0">
      <text>
        <r>
          <rPr>
            <b/>
            <sz val="9"/>
            <color indexed="81"/>
            <rFont val="Tahoma"/>
            <family val="2"/>
          </rPr>
          <t>Kevin1:</t>
        </r>
        <r>
          <rPr>
            <sz val="9"/>
            <color indexed="81"/>
            <rFont val="Tahoma"/>
            <family val="2"/>
          </rPr>
          <t xml:space="preserve">
</t>
        </r>
        <r>
          <rPr>
            <sz val="14"/>
            <color indexed="81"/>
            <rFont val="Tahoma"/>
            <family val="2"/>
          </rPr>
          <t xml:space="preserve">To stop auto-filling of formula down the column, turn the formula in last row into a text by prefacing with an apostrophe ', edit the other rows one at a time, then remove the apostrophe on the last row
</t>
        </r>
      </text>
    </comment>
  </commentList>
</comments>
</file>

<file path=xl/comments2.xml><?xml version="1.0" encoding="utf-8"?>
<comments xmlns="http://schemas.openxmlformats.org/spreadsheetml/2006/main">
  <authors>
    <author>Kevin1</author>
  </authors>
  <commentList>
    <comment ref="E1" authorId="0" shapeId="0">
      <text>
        <r>
          <rPr>
            <b/>
            <sz val="9"/>
            <color indexed="81"/>
            <rFont val="Tahoma"/>
            <family val="2"/>
          </rPr>
          <t>Kevin1:</t>
        </r>
        <r>
          <rPr>
            <sz val="9"/>
            <color indexed="81"/>
            <rFont val="Tahoma"/>
            <family val="2"/>
          </rPr>
          <t xml:space="preserve">
These were expected form in the myData headings
</t>
        </r>
      </text>
    </comment>
    <comment ref="F1" authorId="0" shapeId="0">
      <text>
        <r>
          <rPr>
            <b/>
            <sz val="9"/>
            <color indexed="81"/>
            <rFont val="Tahoma"/>
            <family val="2"/>
          </rPr>
          <t>Kevin1:</t>
        </r>
        <r>
          <rPr>
            <sz val="9"/>
            <color indexed="81"/>
            <rFont val="Tahoma"/>
            <family val="2"/>
          </rPr>
          <t xml:space="preserve">
This are names as per JH WHO data
</t>
        </r>
      </text>
    </comment>
    <comment ref="K1" authorId="0" shapeId="0">
      <text>
        <r>
          <rPr>
            <b/>
            <sz val="9"/>
            <color indexed="81"/>
            <rFont val="Tahoma"/>
            <family val="2"/>
          </rPr>
          <t>Kevin1:</t>
        </r>
        <r>
          <rPr>
            <sz val="9"/>
            <color indexed="81"/>
            <rFont val="Tahoma"/>
            <family val="2"/>
          </rPr>
          <t xml:space="preserve">
Names in JH data, or specials like Tests, Generic
</t>
        </r>
      </text>
    </comment>
    <comment ref="L1" authorId="0" shapeId="0">
      <text>
        <r>
          <rPr>
            <b/>
            <sz val="9"/>
            <color indexed="81"/>
            <rFont val="Tahoma"/>
            <family val="2"/>
          </rPr>
          <t>Kevin1:</t>
        </r>
        <r>
          <rPr>
            <sz val="9"/>
            <color indexed="81"/>
            <rFont val="Tahoma"/>
            <family val="2"/>
          </rPr>
          <t xml:space="preserve">
Names in myData table headings</t>
        </r>
      </text>
    </comment>
    <comment ref="P1" authorId="0" shapeId="0">
      <text>
        <r>
          <rPr>
            <b/>
            <sz val="9"/>
            <color indexed="81"/>
            <rFont val="Tahoma"/>
            <family val="2"/>
          </rPr>
          <t>Kevin1:</t>
        </r>
        <r>
          <rPr>
            <sz val="9"/>
            <color indexed="81"/>
            <rFont val="Tahoma"/>
            <family val="2"/>
          </rPr>
          <t xml:space="preserve">
This is the first date to load into myData</t>
        </r>
      </text>
    </comment>
    <comment ref="X2" authorId="0" shapeId="0">
      <text>
        <r>
          <rPr>
            <b/>
            <sz val="9"/>
            <color indexed="81"/>
            <rFont val="Tahoma"/>
            <family val="2"/>
          </rPr>
          <t>Kevin1:</t>
        </r>
        <r>
          <rPr>
            <sz val="9"/>
            <color indexed="81"/>
            <rFont val="Tahoma"/>
            <family val="2"/>
          </rPr>
          <t xml:space="preserve">
Adjusts the start of logistic fit to LastnDays before current date if value is not 1</t>
        </r>
      </text>
    </comment>
    <comment ref="X4" authorId="0" shapeId="0">
      <text>
        <r>
          <rPr>
            <b/>
            <sz val="9"/>
            <color indexed="81"/>
            <rFont val="Tahoma"/>
            <family val="2"/>
          </rPr>
          <t>Kevin1:</t>
        </r>
        <r>
          <rPr>
            <sz val="9"/>
            <color indexed="81"/>
            <rFont val="Tahoma"/>
            <family val="2"/>
          </rPr>
          <t xml:space="preserve">
This stops the logistic fit calc at 0 or more days back from latest data, so you can assess fit at a previous date</t>
        </r>
      </text>
    </comment>
  </commentList>
</comments>
</file>

<file path=xl/sharedStrings.xml><?xml version="1.0" encoding="utf-8"?>
<sst xmlns="http://schemas.openxmlformats.org/spreadsheetml/2006/main" count="4166" uniqueCount="2178">
  <si>
    <t>Province/State</t>
  </si>
  <si>
    <t>Country/Region</t>
  </si>
  <si>
    <t>Lat</t>
  </si>
  <si>
    <t>Long</t>
  </si>
  <si>
    <t>Anhui</t>
  </si>
  <si>
    <t>Beijing</t>
  </si>
  <si>
    <t>Chongqing</t>
  </si>
  <si>
    <t>Fujian</t>
  </si>
  <si>
    <t>Gansu</t>
  </si>
  <si>
    <t>Guangdong</t>
  </si>
  <si>
    <t>Guangxi</t>
  </si>
  <si>
    <t>Guizhou</t>
  </si>
  <si>
    <t>Hainan</t>
  </si>
  <si>
    <t>Hebei</t>
  </si>
  <si>
    <t>Heilongjiang</t>
  </si>
  <si>
    <t>Henan</t>
  </si>
  <si>
    <t>Hubei</t>
  </si>
  <si>
    <t>Hunan</t>
  </si>
  <si>
    <t>Inner Mongolia</t>
  </si>
  <si>
    <t>Jiangsu</t>
  </si>
  <si>
    <t>Jiangxi</t>
  </si>
  <si>
    <t>Jilin</t>
  </si>
  <si>
    <t>Liaoning</t>
  </si>
  <si>
    <t>Ningxia</t>
  </si>
  <si>
    <t>Qinghai</t>
  </si>
  <si>
    <t>Shaanxi</t>
  </si>
  <si>
    <t>Shandong</t>
  </si>
  <si>
    <t>Shanghai</t>
  </si>
  <si>
    <t>Shanxi</t>
  </si>
  <si>
    <t>Sichuan</t>
  </si>
  <si>
    <t>Tianjin</t>
  </si>
  <si>
    <t>Tibet</t>
  </si>
  <si>
    <t>Xinjiang</t>
  </si>
  <si>
    <t>Yunnan</t>
  </si>
  <si>
    <t>Zhejiang</t>
  </si>
  <si>
    <t>Thailand</t>
  </si>
  <si>
    <t>Japan</t>
  </si>
  <si>
    <t>US</t>
  </si>
  <si>
    <t>Macau</t>
  </si>
  <si>
    <t>Hong Kong</t>
  </si>
  <si>
    <t>Singapore</t>
  </si>
  <si>
    <t>Vietnam</t>
  </si>
  <si>
    <t>France</t>
  </si>
  <si>
    <t>Nepal</t>
  </si>
  <si>
    <t>Malaysia</t>
  </si>
  <si>
    <t>British Columbia</t>
  </si>
  <si>
    <t>Canada</t>
  </si>
  <si>
    <t>New South Wales</t>
  </si>
  <si>
    <t>Australia</t>
  </si>
  <si>
    <t>Victoria</t>
  </si>
  <si>
    <t>Queensland</t>
  </si>
  <si>
    <t>Cambodia</t>
  </si>
  <si>
    <t>Sri Lanka</t>
  </si>
  <si>
    <t>Germany</t>
  </si>
  <si>
    <t>Finland</t>
  </si>
  <si>
    <t>United Arab Emirates</t>
  </si>
  <si>
    <t>Philippines</t>
  </si>
  <si>
    <t>India</t>
  </si>
  <si>
    <t>Italy</t>
  </si>
  <si>
    <t>Russia</t>
  </si>
  <si>
    <t>Sweden</t>
  </si>
  <si>
    <t>Spain</t>
  </si>
  <si>
    <t>South Australia</t>
  </si>
  <si>
    <t>Belgium</t>
  </si>
  <si>
    <t>Egypt</t>
  </si>
  <si>
    <t>Iran</t>
  </si>
  <si>
    <t>From Diamond Princess</t>
  </si>
  <si>
    <t>Lebanon</t>
  </si>
  <si>
    <t>Iraq</t>
  </si>
  <si>
    <t>Oman</t>
  </si>
  <si>
    <t>Afghanistan</t>
  </si>
  <si>
    <t>Bahrain</t>
  </si>
  <si>
    <t>Kuwait</t>
  </si>
  <si>
    <t>Algeria</t>
  </si>
  <si>
    <t>Croatia</t>
  </si>
  <si>
    <t>Switzerland</t>
  </si>
  <si>
    <t>Austria</t>
  </si>
  <si>
    <t>Israel</t>
  </si>
  <si>
    <t>Pakistan</t>
  </si>
  <si>
    <t>Brazil</t>
  </si>
  <si>
    <t>Georgia</t>
  </si>
  <si>
    <t>Greece</t>
  </si>
  <si>
    <t>North Macedonia</t>
  </si>
  <si>
    <t>Norway</t>
  </si>
  <si>
    <t>Romania</t>
  </si>
  <si>
    <t>Denmark</t>
  </si>
  <si>
    <t>Estonia</t>
  </si>
  <si>
    <t>Netherlands</t>
  </si>
  <si>
    <t>San Marino</t>
  </si>
  <si>
    <t>Belarus</t>
  </si>
  <si>
    <t>Iceland</t>
  </si>
  <si>
    <t>Lithuania</t>
  </si>
  <si>
    <t>Mexico</t>
  </si>
  <si>
    <t>New Zealand</t>
  </si>
  <si>
    <t>Nigeria</t>
  </si>
  <si>
    <t>Western Australia</t>
  </si>
  <si>
    <t>Luxembourg</t>
  </si>
  <si>
    <t>Monaco</t>
  </si>
  <si>
    <t>Qatar</t>
  </si>
  <si>
    <t>Ecuador</t>
  </si>
  <si>
    <t>Azerbaijan</t>
  </si>
  <si>
    <t>Armenia</t>
  </si>
  <si>
    <t>Dominican Republic</t>
  </si>
  <si>
    <t>Indonesia</t>
  </si>
  <si>
    <t>Portugal</t>
  </si>
  <si>
    <t>Andorra</t>
  </si>
  <si>
    <t>Tasmania</t>
  </si>
  <si>
    <t>Latvia</t>
  </si>
  <si>
    <t>Morocco</t>
  </si>
  <si>
    <t>Saudi Arabia</t>
  </si>
  <si>
    <t>Senegal</t>
  </si>
  <si>
    <t>Argentina</t>
  </si>
  <si>
    <t>Chile</t>
  </si>
  <si>
    <t>Jordan</t>
  </si>
  <si>
    <t>Ukraine</t>
  </si>
  <si>
    <t>Saint Barthelemy</t>
  </si>
  <si>
    <t>Hungary</t>
  </si>
  <si>
    <t>Northern Territory</t>
  </si>
  <si>
    <t>Faroe Islands</t>
  </si>
  <si>
    <t>Liechtenstein</t>
  </si>
  <si>
    <t>Poland</t>
  </si>
  <si>
    <t>Tunisia</t>
  </si>
  <si>
    <t>Bosnia and Herzegovina</t>
  </si>
  <si>
    <t>Slovenia</t>
  </si>
  <si>
    <t>South Africa</t>
  </si>
  <si>
    <t>Bhutan</t>
  </si>
  <si>
    <t>Cameroon</t>
  </si>
  <si>
    <t>Colombia</t>
  </si>
  <si>
    <t>Costa Rica</t>
  </si>
  <si>
    <t>Peru</t>
  </si>
  <si>
    <t>Serbia</t>
  </si>
  <si>
    <t>Slovakia</t>
  </si>
  <si>
    <t>Togo</t>
  </si>
  <si>
    <t>French Guiana</t>
  </si>
  <si>
    <t>Malta</t>
  </si>
  <si>
    <t>Martinique</t>
  </si>
  <si>
    <t>Bulgaria</t>
  </si>
  <si>
    <t>Maldives</t>
  </si>
  <si>
    <t>Bangladesh</t>
  </si>
  <si>
    <t>Moldova</t>
  </si>
  <si>
    <t>Paraguay</t>
  </si>
  <si>
    <t>Ontario</t>
  </si>
  <si>
    <t>Alberta</t>
  </si>
  <si>
    <t>Quebec</t>
  </si>
  <si>
    <t>Albania</t>
  </si>
  <si>
    <t>Cyprus</t>
  </si>
  <si>
    <t>Brunei</t>
  </si>
  <si>
    <t>Diamond Princess</t>
  </si>
  <si>
    <t>Grand Princess</t>
  </si>
  <si>
    <t>Burkina Faso</t>
  </si>
  <si>
    <t>Holy See</t>
  </si>
  <si>
    <t>Mongolia</t>
  </si>
  <si>
    <t>Panama</t>
  </si>
  <si>
    <t>NSW</t>
  </si>
  <si>
    <t>Date</t>
  </si>
  <si>
    <t>Day 0</t>
  </si>
  <si>
    <t>b</t>
  </si>
  <si>
    <t>d</t>
  </si>
  <si>
    <t>Po</t>
  </si>
  <si>
    <r>
      <t>Asymptote</t>
    </r>
    <r>
      <rPr>
        <sz val="10"/>
        <rFont val="Symbol"/>
        <family val="1"/>
        <charset val="2"/>
      </rPr>
      <t xml:space="preserve"> b/d</t>
    </r>
  </si>
  <si>
    <t>Mean Sq Err</t>
  </si>
  <si>
    <t>(beta/Po)-delta</t>
  </si>
  <si>
    <t>delta*1000</t>
  </si>
  <si>
    <t>Days# Italy</t>
  </si>
  <si>
    <t>Day # NSW</t>
  </si>
  <si>
    <t>NSW LogiP(t)</t>
  </si>
  <si>
    <t>NSW Sq Err</t>
  </si>
  <si>
    <t>Asymptote b/d</t>
  </si>
  <si>
    <t>Day# Aust</t>
  </si>
  <si>
    <t>australia data day by day</t>
  </si>
  <si>
    <t>https://www.health.gov.au/news/health-alerts/novel-coronavirus-2019-ncov-health-alert#current-status</t>
  </si>
  <si>
    <t>P(t) = b / {d+[( b/Po - d ) ]* exp(-b*t)}</t>
  </si>
  <si>
    <t>Points</t>
  </si>
  <si>
    <t>Last Date</t>
  </si>
  <si>
    <t>Italy LogiP(t)</t>
  </si>
  <si>
    <t>Italy Sq Err</t>
  </si>
  <si>
    <t>China</t>
  </si>
  <si>
    <t>Czechia</t>
  </si>
  <si>
    <t>Taiwan*</t>
  </si>
  <si>
    <t>Bolivia</t>
  </si>
  <si>
    <t>St Martin</t>
  </si>
  <si>
    <t>Honduras</t>
  </si>
  <si>
    <t>New Brunswick</t>
  </si>
  <si>
    <t>Congo (Kinshasa)</t>
  </si>
  <si>
    <t>Cote d'Ivoire</t>
  </si>
  <si>
    <t>Jamaica</t>
  </si>
  <si>
    <t>Reunion</t>
  </si>
  <si>
    <t>Turkey</t>
  </si>
  <si>
    <t>AtDate</t>
  </si>
  <si>
    <t>NSW Under Investigation'</t>
  </si>
  <si>
    <t>NSW statistics, including test count and under investigation</t>
  </si>
  <si>
    <t>https://www.health.nsw.gov.au/news/Pages/20200312_00.aspx</t>
  </si>
  <si>
    <t xml:space="preserve">Increase NSW Tests/Day </t>
  </si>
  <si>
    <t>IncreasNSW Investig</t>
  </si>
  <si>
    <t>Korea South</t>
  </si>
  <si>
    <t>Cuba</t>
  </si>
  <si>
    <t>Guyana</t>
  </si>
  <si>
    <t>Australian Capital Territory</t>
  </si>
  <si>
    <t>Kazakhstan</t>
  </si>
  <si>
    <t>French Polynesia</t>
  </si>
  <si>
    <t>Guadeloupe</t>
  </si>
  <si>
    <t>Manitoba</t>
  </si>
  <si>
    <t>Saskatchewan</t>
  </si>
  <si>
    <t>Ethiopia</t>
  </si>
  <si>
    <t>Sudan</t>
  </si>
  <si>
    <t>Guinea</t>
  </si>
  <si>
    <t>Aruba</t>
  </si>
  <si>
    <t>Kenya</t>
  </si>
  <si>
    <t>Antigua and Barbuda</t>
  </si>
  <si>
    <t>USA</t>
  </si>
  <si>
    <t>US LogiP(t)</t>
  </si>
  <si>
    <t>US Sq Err</t>
  </si>
  <si>
    <t>Days# US</t>
  </si>
  <si>
    <t>SOLVER SOLUTION  APPLIES CONSTRAINTS VIA beta, delta, Po, so must update formulas when changing country row in E25:K25</t>
  </si>
  <si>
    <t>Asymptote</t>
  </si>
  <si>
    <t>32.9 k</t>
  </si>
  <si>
    <t>23.7 M</t>
  </si>
  <si>
    <t>Preview</t>
  </si>
  <si>
    <t>Sheet (and graph link)</t>
  </si>
  <si>
    <t>Chart Title</t>
  </si>
  <si>
    <t>Chart Series</t>
  </si>
  <si>
    <t>US Confirmed Cases, US Logistic Prediction</t>
  </si>
  <si>
    <t>NSW Confirmed Cases</t>
  </si>
  <si>
    <t>US Confirmed Cases</t>
  </si>
  <si>
    <t>US Logistic Prediction</t>
  </si>
  <si>
    <t>Italy Confirmed Cases</t>
  </si>
  <si>
    <t>ItalyLogistic Prediction</t>
  </si>
  <si>
    <t>Italy Confirmed Cases, ItalyLogistic Prediction</t>
  </si>
  <si>
    <t>Logistic Prediction</t>
  </si>
  <si>
    <t>COVID19 NSW Cases</t>
  </si>
  <si>
    <t>NSW Confirmed Cases, Logistic Prediction</t>
  </si>
  <si>
    <t>chtFutureItalyEarly</t>
  </si>
  <si>
    <t>chtFutureItaly</t>
  </si>
  <si>
    <t>chtFutureUSEarly</t>
  </si>
  <si>
    <t>chtFutureUS</t>
  </si>
  <si>
    <t>chtFutureNSWEarly</t>
  </si>
  <si>
    <t>chtFutureNSW</t>
  </si>
  <si>
    <t>Chart Index Chart 1</t>
  </si>
  <si>
    <t>OCAL HEALTH DISTRICTS </t>
  </si>
  <si>
    <t>OCCUPANC Y  </t>
  </si>
  <si>
    <t>ACUTE   </t>
  </si>
  <si>
    <t>ACUTE  </t>
  </si>
  <si>
    <t>NON-ADMITTED </t>
  </si>
  <si>
    <t>EMERGENCY </t>
  </si>
  <si>
    <t>                                                  R ATE   </t>
  </si>
  <si>
    <t>B E D  DAY S </t>
  </si>
  <si>
    <t>6 </t>
  </si>
  <si>
    <t>OVERNIGHT BED </t>
  </si>
  <si>
    <t>PATIENT SERVICE </t>
  </si>
  <si>
    <t>DEP T.  </t>
  </si>
  <si>
    <t>                                                 JUNE 18 </t>
  </si>
  <si>
    <t>DAY S </t>
  </si>
  <si>
    <t>EVENTS </t>
  </si>
  <si>
    <t>7 </t>
  </si>
  <si>
    <t>ATTENDANCES </t>
  </si>
  <si>
    <t>8 </t>
  </si>
  <si>
    <t>Justice and Forensic Mental Health Network </t>
  </si>
  <si>
    <t>n/a </t>
  </si>
  <si>
    <t>12,299 </t>
  </si>
  <si>
    <t>11,707 </t>
  </si>
  <si>
    <t>2,040,917 </t>
  </si>
  <si>
    <t>Sydney Children’s Hospitals Network </t>
  </si>
  <si>
    <t>94.2% </t>
  </si>
  <si>
    <t>175,539 </t>
  </si>
  <si>
    <t>152,810 </t>
  </si>
  <si>
    <t>440,545 </t>
  </si>
  <si>
    <t>95,658 </t>
  </si>
  <si>
    <t>South Western Sydney Local Health District </t>
  </si>
  <si>
    <t>98.5% </t>
  </si>
  <si>
    <t>656,898 </t>
  </si>
  <si>
    <t>548,960 </t>
  </si>
  <si>
    <t>1,129,620 </t>
  </si>
  <si>
    <t>284,379 </t>
  </si>
  <si>
    <t>South Eastern Sydney Local Health District </t>
  </si>
  <si>
    <t>95.5% </t>
  </si>
  <si>
    <t>483,112 </t>
  </si>
  <si>
    <t>412,339 </t>
  </si>
  <si>
    <t>1,278,989 </t>
  </si>
  <si>
    <t>2 2 7, 8 45 </t>
  </si>
  <si>
    <t>Illawarra Shoalhaven Local Health District </t>
  </si>
  <si>
    <t>96.1% </t>
  </si>
  <si>
    <t>260,883 </t>
  </si>
  <si>
    <t>224,031 </t>
  </si>
  <si>
    <t>653 , 474 </t>
  </si>
  <si>
    <t>159,718 </t>
  </si>
  <si>
    <t>Western Sydney Local Health District </t>
  </si>
  <si>
    <t>99.1% </t>
  </si>
  <si>
    <t>491,034 </t>
  </si>
  <si>
    <t>406,780 </t>
  </si>
  <si>
    <t>1,360,101 </t>
  </si>
  <si>
    <t>192,506 </t>
  </si>
  <si>
    <t>Nepean Blue Mountains Local Health District </t>
  </si>
  <si>
    <t>92.8% </t>
  </si>
  <si>
    <t>247,743 </t>
  </si>
  <si>
    <t>215,678 </t>
  </si>
  <si>
    <t>649,155 </t>
  </si>
  <si>
    <t>1 2 7, 6 8 4 </t>
  </si>
  <si>
    <t>Northern Sydney Local Health District </t>
  </si>
  <si>
    <t>93.8% </t>
  </si>
  <si>
    <t>508,146 </t>
  </si>
  <si>
    <t>4 47, 4 9 4 </t>
  </si>
  <si>
    <t>1,066,542 </t>
  </si>
  <si>
    <t>218,260 </t>
  </si>
  <si>
    <t>St Vincent’s Health Network </t>
  </si>
  <si>
    <t>89.2% </t>
  </si>
  <si>
    <t>1 7 7, 9 1 2  </t>
  </si>
  <si>
    <t>153,957 </t>
  </si>
  <si>
    <t>351,219 </t>
  </si>
  <si>
    <t>48,395 </t>
  </si>
  <si>
    <t>Sydney Local Health District </t>
  </si>
  <si>
    <t>88.3% </t>
  </si>
  <si>
    <t>521,053 </t>
  </si>
  <si>
    <t>441,924 </t>
  </si>
  <si>
    <t>1,316,622 </t>
  </si>
  <si>
    <t>164,421 </t>
  </si>
  <si>
    <t>Central Coast Local Health District </t>
  </si>
  <si>
    <t>92.5% </t>
  </si>
  <si>
    <t>249,244 </t>
  </si>
  <si>
    <t>209,940 </t>
  </si>
  <si>
    <t>6 5 7, 9 6 4 </t>
  </si>
  <si>
    <t>136,105 </t>
  </si>
  <si>
    <t>Hunter New England Local Health District </t>
  </si>
  <si>
    <t>76.0% </t>
  </si>
  <si>
    <t>633,096 </t>
  </si>
  <si>
    <t>539,904 </t>
  </si>
  <si>
    <t>2,119,776 </t>
  </si>
  <si>
    <t>418,963 </t>
  </si>
  <si>
    <t>Northern NSW Local Health District </t>
  </si>
  <si>
    <t>271,064 </t>
  </si>
  <si>
    <t>223,514 </t>
  </si>
  <si>
    <t>5 47, 5 3 9 </t>
  </si>
  <si>
    <t>206,851 </t>
  </si>
  <si>
    <t>Mid North Coast Local Health District </t>
  </si>
  <si>
    <t>94.8% </t>
  </si>
  <si>
    <t>264,339 </t>
  </si>
  <si>
    <t>226,375 </t>
  </si>
  <si>
    <t>552,832 </t>
  </si>
  <si>
    <t>126,363 </t>
  </si>
  <si>
    <t>Southern NSW Local Health District </t>
  </si>
  <si>
    <t>80.4% </t>
  </si>
  <si>
    <t>1 07, 0 6 5  </t>
  </si>
  <si>
    <t>83,172 </t>
  </si>
  <si>
    <t>320,525 </t>
  </si>
  <si>
    <t>112,768 </t>
  </si>
  <si>
    <t>Murrumbidgee Local Health District </t>
  </si>
  <si>
    <t>83.1% </t>
  </si>
  <si>
    <t>164,365 </t>
  </si>
  <si>
    <t>135,711 </t>
  </si>
  <si>
    <t>431,703 </t>
  </si>
  <si>
    <t>1 47, 9 6 4 </t>
  </si>
  <si>
    <t>Western NSW Local Health District </t>
  </si>
  <si>
    <t>80.7% </t>
  </si>
  <si>
    <t>213,434 </t>
  </si>
  <si>
    <t>180,063 </t>
  </si>
  <si>
    <t>675,082 </t>
  </si>
  <si>
    <t>1 8 7,1 1 3 </t>
  </si>
  <si>
    <t>Beds</t>
  </si>
  <si>
    <t>Far West Local Health District </t>
  </si>
  <si>
    <t>46.7% </t>
  </si>
  <si>
    <t>22,329 </t>
  </si>
  <si>
    <t>1 7, 9 1 9 </t>
  </si>
  <si>
    <t>108,848 </t>
  </si>
  <si>
    <t>25,715 </t>
  </si>
  <si>
    <t>TOTAL NSW </t>
  </si>
  <si>
    <t>90.2% </t>
  </si>
  <si>
    <t>5,459,555 </t>
  </si>
  <si>
    <t>4,632,278 </t>
  </si>
  <si>
    <t>15,701,453 </t>
  </si>
  <si>
    <t>Days# China</t>
  </si>
  <si>
    <t>Uruguay</t>
  </si>
  <si>
    <t>Ghana</t>
  </si>
  <si>
    <t>Namibia</t>
  </si>
  <si>
    <t>Seychelles</t>
  </si>
  <si>
    <t>Trinidad and Tobago</t>
  </si>
  <si>
    <t>Venezuela</t>
  </si>
  <si>
    <t>Curacao</t>
  </si>
  <si>
    <t>Eswatini</t>
  </si>
  <si>
    <t>Gabon</t>
  </si>
  <si>
    <t>Guatemala</t>
  </si>
  <si>
    <t>Mauritania</t>
  </si>
  <si>
    <t>Rwanda</t>
  </si>
  <si>
    <t>Saint Lucia</t>
  </si>
  <si>
    <t>Saint Vincent and the Grenadines</t>
  </si>
  <si>
    <t>Suriname</t>
  </si>
  <si>
    <t>China LogiP(t)</t>
  </si>
  <si>
    <t>China Sq Err</t>
  </si>
  <si>
    <t>beta</t>
  </si>
  <si>
    <t>betaChina</t>
  </si>
  <si>
    <t>betaItaly</t>
  </si>
  <si>
    <t>betaNSW</t>
  </si>
  <si>
    <t>betaPodelta</t>
  </si>
  <si>
    <t>betaPodeltaChina</t>
  </si>
  <si>
    <t>betaPodeltaItaly</t>
  </si>
  <si>
    <t>betaPodeltaNSW</t>
  </si>
  <si>
    <t>betaPodeltaUS</t>
  </si>
  <si>
    <t>betaUS</t>
  </si>
  <si>
    <t>ChinaCases</t>
  </si>
  <si>
    <t>=OFFSET(tblData[[#Headers],[China]],1,0,COUNTA(tblData[China]),1)</t>
  </si>
  <si>
    <t>ChinaDates</t>
  </si>
  <si>
    <t>=OFFSET(tblData[[#Headers],[Date]],1,0,COUNTA(tblData[China]),1)</t>
  </si>
  <si>
    <t>ChinaLogi</t>
  </si>
  <si>
    <t>=OFFSET(tblData[[#Headers],[China LogiP(t)]],1,0,COUNTA(tblData[Date]),1)</t>
  </si>
  <si>
    <t>=OFFSET(tblData[[#Headers],[Date]],1,0,COUNTA(tblData[Date]),1)</t>
  </si>
  <si>
    <t>delta</t>
  </si>
  <si>
    <t>deltaChina</t>
  </si>
  <si>
    <t>deltaItaly</t>
  </si>
  <si>
    <t>deltaNSW</t>
  </si>
  <si>
    <t>deltaUS</t>
  </si>
  <si>
    <t>ItalyCases</t>
  </si>
  <si>
    <t>=OFFSET(tblData[[#Headers],[Italy]],MATCH(0,tblData[Italy],0),0,COUNTA(tblData[Italy]),1)</t>
  </si>
  <si>
    <t>ItalyDates</t>
  </si>
  <si>
    <t>=OFFSET(tblData[[#Headers],[Date]],MATCH(0,tblData[Italy],0),0,COUNTA(tblData[Italy]),1)</t>
  </si>
  <si>
    <t>ItalyLogi</t>
  </si>
  <si>
    <t>=OFFSET(tblData[[#Headers],[Italy LogiP(t)]],MATCH(0,tblData[Italy],0),0,COUNTA(tblData[Date])-MATCH(0,tblData[Italy],0)+1,1)</t>
  </si>
  <si>
    <t>ItalyLogiDates</t>
  </si>
  <si>
    <t>=OFFSET(tblData[[#Headers],[Date]],MATCH(0,tblData[Italy],0),0,COUNTA(tblData[Date])-MATCH(0,tblData[Italy],0)+1,1)</t>
  </si>
  <si>
    <t>msqChina</t>
  </si>
  <si>
    <t>msqItaly</t>
  </si>
  <si>
    <t>msqNSW</t>
  </si>
  <si>
    <t>msqUS</t>
  </si>
  <si>
    <t>NSWCases</t>
  </si>
  <si>
    <t>=OFFSET(tblData[[#Headers],[NSW]],MATCH(0,tblData[NSW],0),0,COUNTA(tblData[New South Wales])-MATCH(0,tblData[NSW],0)+1,1)</t>
  </si>
  <si>
    <t>NSWDates</t>
  </si>
  <si>
    <t>=OFFSET(tblData[[#Headers],[Date]],MATCH(0,tblData[NSW],0),0,COUNTA(tblData[New South Wales])-MATCH(0,tblData[NSW],0)+1,1)</t>
  </si>
  <si>
    <t>NSWLogi</t>
  </si>
  <si>
    <t>=OFFSET(tblData[[#Headers],[NSW LogiP(t)]],MATCH(0,tblData[NSW],0),0,COUNTA(tblData[Date])-MATCH(0,tblData[NSW],0)+1,1)</t>
  </si>
  <si>
    <t>NSWLogiDates</t>
  </si>
  <si>
    <t>=OFFSET(tblData[[#Headers],[Date]],MATCH(0,tblData[NSW],0),0,COUNTA(tblData[Date])-MATCH(0,tblData[NSW],0)+1,1)</t>
  </si>
  <si>
    <t>PoChina</t>
  </si>
  <si>
    <t>PoItaly</t>
  </si>
  <si>
    <t>PoNSW</t>
  </si>
  <si>
    <t>PoUS</t>
  </si>
  <si>
    <t>USCases</t>
  </si>
  <si>
    <t>USDates</t>
  </si>
  <si>
    <t>USDays</t>
  </si>
  <si>
    <t>USLogi</t>
  </si>
  <si>
    <t>USLogiDates</t>
  </si>
  <si>
    <t>myData</t>
  </si>
  <si>
    <t>myData!beta</t>
  </si>
  <si>
    <t>=myData!$A$2</t>
  </si>
  <si>
    <t>myData!betaChina</t>
  </si>
  <si>
    <t>myData!betaItaly</t>
  </si>
  <si>
    <t>myData!betaNSW</t>
  </si>
  <si>
    <t>myData!betaPodelta</t>
  </si>
  <si>
    <t>=myData!$F$2</t>
  </si>
  <si>
    <t>myData!betaPodeltaChina</t>
  </si>
  <si>
    <t>myData!betaPodeltaItaly</t>
  </si>
  <si>
    <t>myData!betaPodeltaNSW</t>
  </si>
  <si>
    <t>myData!betaPodeltaUS</t>
  </si>
  <si>
    <t>myData!betaUS</t>
  </si>
  <si>
    <t>myData!ChinaCases</t>
  </si>
  <si>
    <t>myData!ChinaDates</t>
  </si>
  <si>
    <t>myData!ChinaLogi</t>
  </si>
  <si>
    <t>myData!delta</t>
  </si>
  <si>
    <t>=myData!$B$2</t>
  </si>
  <si>
    <t>myData!deltaChina</t>
  </si>
  <si>
    <t>myData!deltaItaly</t>
  </si>
  <si>
    <t>myData!deltaNSW</t>
  </si>
  <si>
    <t>myData!deltaUS</t>
  </si>
  <si>
    <t>myData!ItalyCases</t>
  </si>
  <si>
    <t>myData!ItalyDates</t>
  </si>
  <si>
    <t>myData!ItalyLogi</t>
  </si>
  <si>
    <t>myData!ItalyLogiDates</t>
  </si>
  <si>
    <t>myData!msqChina</t>
  </si>
  <si>
    <t>myData!msqItaly</t>
  </si>
  <si>
    <t>myData!msqNSW</t>
  </si>
  <si>
    <t>myData!msqUS</t>
  </si>
  <si>
    <t>myData!NSWCases</t>
  </si>
  <si>
    <t>myData!NSWDates</t>
  </si>
  <si>
    <t>myData!NSWLogi</t>
  </si>
  <si>
    <t>myData!NSWLogiDates</t>
  </si>
  <si>
    <t>myData!Po</t>
  </si>
  <si>
    <t>=myData!$C$2</t>
  </si>
  <si>
    <t>myData!PoChina</t>
  </si>
  <si>
    <t>myData!PoItaly</t>
  </si>
  <si>
    <t>myData!PoNSW</t>
  </si>
  <si>
    <t>myData!PoUS</t>
  </si>
  <si>
    <t>myData!USCases</t>
  </si>
  <si>
    <t>myData!USDates</t>
  </si>
  <si>
    <t>myData!USDays</t>
  </si>
  <si>
    <t>myData!USLogi</t>
  </si>
  <si>
    <t>myData!USLogiDates</t>
  </si>
  <si>
    <t>80.9 k</t>
  </si>
  <si>
    <t>36.4 k</t>
  </si>
  <si>
    <t xml:space="preserve">698  </t>
  </si>
  <si>
    <t xml:space="preserve">542  </t>
  </si>
  <si>
    <t>149 k</t>
  </si>
  <si>
    <t>10.0 k</t>
  </si>
  <si>
    <t>Parameter List</t>
  </si>
  <si>
    <t>ChartLabel</t>
  </si>
  <si>
    <t>Logistic Eqn</t>
  </si>
  <si>
    <t>Message</t>
  </si>
  <si>
    <t>Solver found a solution. All constraints and optimality conditions are satisfied.</t>
  </si>
  <si>
    <t>Solver has converged to the current solution. All constraints are satisfied.</t>
  </si>
  <si>
    <t>Solver cannot improve the current solution. All constraints are satisfied.</t>
  </si>
  <si>
    <t>Stop chosen when the maximum iteration limit was reached.</t>
  </si>
  <si>
    <t>The Objective Cell values do not converge.</t>
  </si>
  <si>
    <t>Solver could not find a feasible solution.</t>
  </si>
  <si>
    <t>Solver stopped at user's request.</t>
  </si>
  <si>
    <t>The linearity conditions required by this LP Solver are not satisfied.</t>
  </si>
  <si>
    <t>The problem is too large for Solver to handle.</t>
  </si>
  <si>
    <t>Solver encountered an error value in a target or constraint cell.</t>
  </si>
  <si>
    <t>Stop chosen when the maximum time limit was reached.</t>
  </si>
  <si>
    <t>There is not enough memory available to solve the problem.</t>
  </si>
  <si>
    <t>Error in model. Please verify that all cells and constraints are valid.</t>
  </si>
  <si>
    <t>Solver found an integer solution within tolerance. All constraints are satisfied.</t>
  </si>
  <si>
    <t>Stop chosen when the maximum number of feasible [integer] solutions was reached.</t>
  </si>
  <si>
    <t>Stop chosen when the maximum number of feasible [integer] subproblems was reached.</t>
  </si>
  <si>
    <t>Solver converged in probability to a global solution.</t>
  </si>
  <si>
    <t>All variables must have both upper and lower bounds.</t>
  </si>
  <si>
    <t>Variable bounds conflict in binary or all different constraint.</t>
  </si>
  <si>
    <t>Lower and upper bounds on variables allow no feasible solution.</t>
  </si>
  <si>
    <t>Value</t>
  </si>
  <si>
    <t>Country</t>
  </si>
  <si>
    <t>Newfoundland and Labrador</t>
  </si>
  <si>
    <t>Prince Edward Island</t>
  </si>
  <si>
    <t>Central African Republic</t>
  </si>
  <si>
    <t>Congo (Brazzaville)</t>
  </si>
  <si>
    <t>Equatorial Guinea</t>
  </si>
  <si>
    <t>Mayotte</t>
  </si>
  <si>
    <t>Uzbekistan</t>
  </si>
  <si>
    <t>MaxCases</t>
  </si>
  <si>
    <t>SeriesLabel</t>
  </si>
  <si>
    <t>Sort Order</t>
  </si>
  <si>
    <t>chtFutureAll</t>
  </si>
  <si>
    <t>SERIES("NSW Confirmed Cases",myData!NSWDates,myData!NSWCases,1)</t>
  </si>
  <si>
    <t>SERIES(myData!NSWSeries,myData!NSWLogiDates,myData!NSWLogi,2)</t>
  </si>
  <si>
    <t>SERIES("Italy Confirmed Cases",myData!ItalyDates,myData!ItalyCases,3)</t>
  </si>
  <si>
    <t>SERIES(myData!ItalySeries,myData!ItalyLogiDates,myData!ItalyLogi,4)</t>
  </si>
  <si>
    <t>SERIES("US Confirmed Cases",myData!USDates,myData!USCases,5)</t>
  </si>
  <si>
    <t>SERIES(myData!USSeries,myData!USLogiDates,myData!USLogi,6)</t>
  </si>
  <si>
    <t>SERIES(myData!ChinaSeries,myData!ChinaLogiDates,myData!ChinaLogi,7)</t>
  </si>
  <si>
    <t>China Cases</t>
  </si>
  <si>
    <t>SERIES("China Cases",myData!ChinaDates,myData!ChinaCases,8)</t>
  </si>
  <si>
    <t>SERIES("Italy Confirmed Cases",myData!ItalyDates,myData!ItalyCases,1)</t>
  </si>
  <si>
    <t>SERIES("ItalyLogistic Prediction",myData!ItalyLogiDates,myData!ItalyLogi,2)</t>
  </si>
  <si>
    <t>SERIES("US Confirmed Cases",myData!USDates,myData!USCases,1)</t>
  </si>
  <si>
    <t>SERIES("US Logistic Prediction",myData!USLogiDates,myData!USLogi,2)</t>
  </si>
  <si>
    <t>chtFutureChina</t>
  </si>
  <si>
    <t>China Logi Prediction</t>
  </si>
  <si>
    <t>SERIES("China Logi Prediction",myData!ChinaLogiDates,myData!ChinaLogi,1)</t>
  </si>
  <si>
    <t>China Confirmed Cases</t>
  </si>
  <si>
    <t>SERIES("China Confirmed Cases",myData!ChinaDates,myData!ChinaCases,2)</t>
  </si>
  <si>
    <t>China Logi Prediction, China Confirmed Cases</t>
  </si>
  <si>
    <t>SERIES("Logistic Prediction",myData!NSWLogiDates,myData!NSWLogi,2)</t>
  </si>
  <si>
    <t>NSW Test Logi</t>
  </si>
  <si>
    <t>NSW Test Sq Err</t>
  </si>
  <si>
    <t>NSW Test Day Number</t>
  </si>
  <si>
    <t>Population</t>
  </si>
  <si>
    <t>Apply Population Scaling</t>
  </si>
  <si>
    <t>Population Divisor</t>
  </si>
  <si>
    <t>NSW Cases per Capita</t>
  </si>
  <si>
    <t>Italy Cases per Capita</t>
  </si>
  <si>
    <t>Use Count</t>
  </si>
  <si>
    <t>myData!Asymptote</t>
  </si>
  <si>
    <t>=myData!$D$2</t>
  </si>
  <si>
    <t>=myData!$E$15</t>
  </si>
  <si>
    <t>=myData!$E$13</t>
  </si>
  <si>
    <t>=myData!$E$12</t>
  </si>
  <si>
    <t>=myData!$J$15</t>
  </si>
  <si>
    <t>=myData!$J$13</t>
  </si>
  <si>
    <t>=myData!$J$12</t>
  </si>
  <si>
    <t>betaPodeltaTest</t>
  </si>
  <si>
    <t>myData!betaPodeltaTest</t>
  </si>
  <si>
    <t>=myData!$AH$2</t>
  </si>
  <si>
    <t>=myData!$J$14</t>
  </si>
  <si>
    <t>betaTest</t>
  </si>
  <si>
    <t>myData!betaTest</t>
  </si>
  <si>
    <t>=myData!$AC$2</t>
  </si>
  <si>
    <t>=myData!$E$14</t>
  </si>
  <si>
    <t>ChinaLogiDates</t>
  </si>
  <si>
    <t>myData!ChinaLogiDates</t>
  </si>
  <si>
    <t>ChinaSeries</t>
  </si>
  <si>
    <t>myData!ChinaSeries</t>
  </si>
  <si>
    <t>=myData!$T$15</t>
  </si>
  <si>
    <t>Countries</t>
  </si>
  <si>
    <t>=solvMsgs!$E$1:$E$5</t>
  </si>
  <si>
    <t>=myData!$F$15</t>
  </si>
  <si>
    <t>=myData!$F$13</t>
  </si>
  <si>
    <t>=myData!$F$12</t>
  </si>
  <si>
    <t>deltaTest</t>
  </si>
  <si>
    <t>myData!deltaTest</t>
  </si>
  <si>
    <t>=myData!$AD$2</t>
  </si>
  <si>
    <t>=myData!$F$14</t>
  </si>
  <si>
    <t>ItalySeries</t>
  </si>
  <si>
    <t>myData!ItalySeries</t>
  </si>
  <si>
    <t>=myData!$T$13</t>
  </si>
  <si>
    <t>=myData!$I$15</t>
  </si>
  <si>
    <t>=myData!$I$13</t>
  </si>
  <si>
    <t>=myData!$I$12</t>
  </si>
  <si>
    <t>msqTest</t>
  </si>
  <si>
    <t>myData!msqTest</t>
  </si>
  <si>
    <t>=myData!$AG$2</t>
  </si>
  <si>
    <t>=myData!$I$14</t>
  </si>
  <si>
    <t>mySolverPar</t>
  </si>
  <si>
    <t>myData!mySolverPar</t>
  </si>
  <si>
    <t>=myData!$A$2:$E$2</t>
  </si>
  <si>
    <t>NSWSeries</t>
  </si>
  <si>
    <t>myData!NSWSeries</t>
  </si>
  <si>
    <t>=myData!$T$12</t>
  </si>
  <si>
    <t>=myData!$G$15</t>
  </si>
  <si>
    <t>=myData!$G$13</t>
  </si>
  <si>
    <t>=myData!$G$12</t>
  </si>
  <si>
    <t>PopScaling</t>
  </si>
  <si>
    <t>myData!PopScaling</t>
  </si>
  <si>
    <t>=myData!$J$2</t>
  </si>
  <si>
    <t>PoTest</t>
  </si>
  <si>
    <t>myData!PoTest</t>
  </si>
  <si>
    <t>=myData!$AE$2</t>
  </si>
  <si>
    <t>=myData!$G$14</t>
  </si>
  <si>
    <t>SolverMsg</t>
  </si>
  <si>
    <t>=solvMsgs!$A$1:$B$21</t>
  </si>
  <si>
    <t>USSeries</t>
  </si>
  <si>
    <t>myData!USSeries</t>
  </si>
  <si>
    <t>=myData!$T$14</t>
  </si>
  <si>
    <t>Old String</t>
  </si>
  <si>
    <t>New String</t>
  </si>
  <si>
    <t>WS Scope</t>
  </si>
  <si>
    <t>Name</t>
  </si>
  <si>
    <t>WorkSheet Names</t>
  </si>
  <si>
    <t>RefersTo</t>
  </si>
  <si>
    <t>RefersToLocal</t>
  </si>
  <si>
    <t>[China]</t>
  </si>
  <si>
    <t>[China LogiP(t)]</t>
  </si>
  <si>
    <t>[China LogiP(t) Per Capita]</t>
  </si>
  <si>
    <t>China Cases Per Capita</t>
  </si>
  <si>
    <t>US Cases Per Capita</t>
  </si>
  <si>
    <t>=OFFSET(tblData[[#Headers],[US Cases]],MATCH(0,tblData[US Cases],0),0,COUNTA(tblData[US Cases]),1)</t>
  </si>
  <si>
    <t>=OFFSET(tblData[[#Headers],[Date]],MATCH(0,tblData[US Cases],0),0,COUNTA(tblData[US Cases]),1)</t>
  </si>
  <si>
    <t>=OFFSET(tblData[[#Headers],[Days'# US]],MATCH(0,tblData[US Cases],0),0,COUNTA(tblData[US Cases]),1)</t>
  </si>
  <si>
    <t>=OFFSET(tblData[[#Headers],[US LogiP(t)]],MATCH(0,tblData[US Cases],0),0,COUNTA(tblData[Date])-MATCH(0,tblData[US Cases],0)+1,1)</t>
  </si>
  <si>
    <t>=OFFSET(tblData[[#Headers],[Date]],MATCH(0,tblData[US Cases],0),0,COUNTA(tblData[Date])-MATCH(0,tblData[US Cases],0)+1,1)</t>
  </si>
  <si>
    <t>[US Cases]</t>
  </si>
  <si>
    <t>[US Cases per Capita]</t>
  </si>
  <si>
    <t>[US LogiP(t)]</t>
  </si>
  <si>
    <t>[US LogiP(t) Per Capita]</t>
  </si>
  <si>
    <t>[Italy]</t>
  </si>
  <si>
    <t>[Italy LogiP(t]]</t>
  </si>
  <si>
    <t>[Italy LogiP(t) Per Capita]</t>
  </si>
  <si>
    <t>[NSW]</t>
  </si>
  <si>
    <t>[NSW LogitP(t)]</t>
  </si>
  <si>
    <t>[NSW LogiP(t} Per Capita]</t>
  </si>
  <si>
    <t>[China Cases Per Capita]</t>
  </si>
  <si>
    <t>=OFFSET(tblData[[#Headers],[China Cases Per Capita]],1,0,COUNTA(tblData[China Cases Per Capita]),1)</t>
  </si>
  <si>
    <t>Italy LogiP(t) Per Capita</t>
  </si>
  <si>
    <t>China LogiP(t) Per Capita</t>
  </si>
  <si>
    <t>Nsw LogiP(t) Per Capita</t>
  </si>
  <si>
    <t>=OFFSET(tblData[[#Headers],[China LogiP(t) Per Capita]],1,0,COUNTA(tblData[Date]),1)</t>
  </si>
  <si>
    <t>[Italy Cases Per Capita]</t>
  </si>
  <si>
    <t>[NSW Cases Per Capita]</t>
  </si>
  <si>
    <t>=OFFSET(tblData[[#Headers],[Italy Cases Per Capita]],MATCH(0,tblData[Italy Cases Per Capita],0),0,COUNTA(tblData[Italy Cases Per Capita]),1)</t>
  </si>
  <si>
    <t>=OFFSET(tblData[[#Headers],[NSW Cases Per Capita]],MATCH(0,tblData[NSW Cases Per Capita],0),0,COUNTA(tblData[New South Wales])-MATCH(0,tblData[NSW Cases Per Capita],0)+1,1)</t>
  </si>
  <si>
    <t>=OFFSET(tblData[[#Headers],[US Cases per Capita]],MATCH(0,tblData[US Cases per Capita],0),0,COUNTA(tblData[US Cases per Capita]),1)</t>
  </si>
  <si>
    <t>US LogiP(t) Per Capita</t>
  </si>
  <si>
    <t>PerPerson</t>
  </si>
  <si>
    <t>Asymp PerP</t>
  </si>
  <si>
    <t>NSW population</t>
  </si>
  <si>
    <t>NSW population (norm)</t>
  </si>
  <si>
    <t>1.91 G</t>
  </si>
  <si>
    <t>2.36 G</t>
  </si>
  <si>
    <t>b=0.191, d=1.00E-10, P0=.0101 Limit=2.36 G</t>
  </si>
  <si>
    <t>NSW Limit 2.36 G</t>
  </si>
  <si>
    <t>42.7 k</t>
  </si>
  <si>
    <t>7.06 k</t>
  </si>
  <si>
    <t>b=0.262, d=6.14E-06, P0=.4409 Limit=7.06 k</t>
  </si>
  <si>
    <t>Italy Limit 7.06 k</t>
  </si>
  <si>
    <t>7.93 k</t>
  </si>
  <si>
    <t xml:space="preserve">241  </t>
  </si>
  <si>
    <t xml:space="preserve">b=0.361, d=4.56E-05, P0=.0293 Limit=241  </t>
  </si>
  <si>
    <t xml:space="preserve">USA Limit 241  </t>
  </si>
  <si>
    <t xml:space="preserve">562  </t>
  </si>
  <si>
    <t xml:space="preserve">b=0.222, d=2.75E-06, P0=1537.6493 Limit=562  </t>
  </si>
  <si>
    <t xml:space="preserve">China Limit 562  </t>
  </si>
  <si>
    <t>Notes</t>
  </si>
  <si>
    <t xml:space="preserve"> - Prediction without last day</t>
  </si>
  <si>
    <t>1.90 G</t>
  </si>
  <si>
    <t>b=0.19, d=1.00E-10, P0=.0101 Limit=1.90 G</t>
  </si>
  <si>
    <t>NSW Limit 1.90 G</t>
  </si>
  <si>
    <t>COVID19 NSW P(t) = b / {d+[( b/Po - d ) ]* exp(-b*t)}
b=0.19, d=1.00E-10, P0=.0101 Limit=1.90 G
 16-Mar</t>
  </si>
  <si>
    <t>Day0</t>
  </si>
  <si>
    <t>History of Fits Table</t>
  </si>
  <si>
    <t>Tests</t>
  </si>
  <si>
    <t>Au</t>
  </si>
  <si>
    <t>Au Cases Per Capita</t>
  </si>
  <si>
    <t>Au LogiP(t)</t>
  </si>
  <si>
    <t>AU Sq Err</t>
  </si>
  <si>
    <t>Au LogiP(t) Per Capita</t>
  </si>
  <si>
    <t>1.98 G</t>
  </si>
  <si>
    <t>782 M</t>
  </si>
  <si>
    <t>b=0.198, d=1.00E-10, P0=.0152 Limit=782 M</t>
  </si>
  <si>
    <t>Australia Limit 782 M</t>
  </si>
  <si>
    <t>COVID19 Australia P(t) = b / {d+[( b/Po - d ) ]* exp(-b*t)}
b=0.198, d=1.00E-10, P0=.0152 Limit=782 M
 18-Mar, Cases per 10 M population</t>
  </si>
  <si>
    <t>2.02 G</t>
  </si>
  <si>
    <t>2.50 G</t>
  </si>
  <si>
    <t>b=0.202, d=1.00E-10, P0=.0058 Limit=2.50 G</t>
  </si>
  <si>
    <t>NSW Limit 2.50 G</t>
  </si>
  <si>
    <t>COVID19 NSW P(t) = b / {d+[( b/Po - d ) ]* exp(-b*t)}
b=0.202, d=1.00E-10, P0=.0058 Limit=2.50 G
 18-Mar, Cases per 10 M population</t>
  </si>
  <si>
    <t>44.8 k</t>
  </si>
  <si>
    <t>7.41 k</t>
  </si>
  <si>
    <t>b=0.262, d=5.84E-06, P0=.441 Limit=7.41 k</t>
  </si>
  <si>
    <t>Italy Limit 7.41 k</t>
  </si>
  <si>
    <t>COVID19 Italy P(t) = b / {d+[( b/Po - d ) ]* exp(-b*t)}
b=0.262, d=5.84E-06, P0=.441 Limit=7.41 k
 17-Mar, Cases per 10 M population</t>
  </si>
  <si>
    <t>2.77 G</t>
  </si>
  <si>
    <t>84.1 M</t>
  </si>
  <si>
    <t>b=0.277, d=1.00E-10, P0=.2947 Limit=84.1 M</t>
  </si>
  <si>
    <t>USA Limit 84.1 M</t>
  </si>
  <si>
    <t>COVID19 USA P(t) = b / {d+[( b/Po - d ) ]* exp(-b*t)}
b=0.277, d=1.00E-10, P0=.2947 Limit=84.1 M
 17-Mar, Cases per 10 M population
 - Prediction without last day</t>
  </si>
  <si>
    <t>COVID19 China P(t) = b / {d+[( b/Po - d ) ]* exp(-b*t)}
b=0.222, d=2.75E-06, P0=1537.6493 Limit=562  
 17-Mar, Cases per 10 M population</t>
  </si>
  <si>
    <t>Date of NSW Case Match</t>
  </si>
  <si>
    <t>Data of AUS Case Match</t>
  </si>
  <si>
    <t>Days NSW is Behind</t>
  </si>
  <si>
    <t>Days AU is Behind</t>
  </si>
  <si>
    <t>Max Cases Per Capita</t>
  </si>
  <si>
    <t>COVID19 Australia 
b=0.198, d=1.00E-10, P0=.0152 Limit=782 M
 19-Mar, Cases per 10 M population</t>
  </si>
  <si>
    <t>At Thu 19-Mar Australia 251 cases per 10M was 18 days behind Italy, 0 days behind USA &amp; 40 days behind China</t>
  </si>
  <si>
    <t>COVID19 NSW 
b=0.202, d=1.00E-10, P0=.0058 Limit=2.50 G
 19-Mar, Cases per 10 M population</t>
  </si>
  <si>
    <t>At Thu 19-Mar Australia 380 cases per 10M was 16 days behind Italy, 2 days ahead of USA &amp; 35 days behind China</t>
  </si>
  <si>
    <t>COVID19 Italy 
b=0.262, d=5.84E-06, P0=.441 Limit=7.41 k
 18-Mar, Cases per 10 M population</t>
  </si>
  <si>
    <t>2.99 M</t>
  </si>
  <si>
    <t>90.8 k</t>
  </si>
  <si>
    <t>b=0.27, d=9.02E-08, P0=.2896 Limit=90.8 k</t>
  </si>
  <si>
    <t>USA Limit 90.8 k</t>
  </si>
  <si>
    <t>COVID19 USA 
b=0.27, d=9.02E-08, P0=.2896 Limit=90.8 k
 18-Mar, Cases per 10 M population
 - Prediction without last day</t>
  </si>
  <si>
    <t>COVID19 China 
b=0.222, d=2.75E-06, P0=1537.6493 Limit=562  
 18-Mar, Cases per 10 M population</t>
  </si>
  <si>
    <t>XY Data for Plotting Population Limit</t>
  </si>
  <si>
    <t>United Kingdom</t>
  </si>
  <si>
    <t>_FilterDatabase</t>
  </si>
  <si>
    <t>Names</t>
  </si>
  <si>
    <t>Names!_FilterDatabase</t>
  </si>
  <si>
    <t>=Names!$A$1:$P$56</t>
  </si>
  <si>
    <t>time_series_19-covid-Confirmed'</t>
  </si>
  <si>
    <t>time_series_19-covid-Confirmed'!_FilterDatabase</t>
  </si>
  <si>
    <t>='time_series_19-covid-Confirmed'!$A$1:$DP$453</t>
  </si>
  <si>
    <t>AuCases</t>
  </si>
  <si>
    <t>myData!AuCases</t>
  </si>
  <si>
    <t>=OFFSET(tblData[[#Headers],[Au Cases Per Capita]],MATCH(0,tblData[Au Cases Per Capita],0),0,COUNTA(tblData[New South Wales])-MATCH(0,tblData[NSW Cases per Capita],0)+1,1)</t>
  </si>
  <si>
    <t>AuDates</t>
  </si>
  <si>
    <t>myData!AuDates</t>
  </si>
  <si>
    <t>=myData!NSWDates</t>
  </si>
  <si>
    <t>AuLogi</t>
  </si>
  <si>
    <t>myData!AuLogi</t>
  </si>
  <si>
    <t>=OFFSET(tblData[[#Headers],[Au LogiP(t) Per Capita]],MATCH(0,tblData[NSW],0),0,COUNTA(tblData[Date])-MATCH(0,tblData[NSW],0)+1,1)</t>
  </si>
  <si>
    <t>AuLogiDates</t>
  </si>
  <si>
    <t>myData!AuLogiDates</t>
  </si>
  <si>
    <t>AuMaxCasespc</t>
  </si>
  <si>
    <t>myData!AuMaxCasespc</t>
  </si>
  <si>
    <t>=myData!$BV$11</t>
  </si>
  <si>
    <t>AuPop</t>
  </si>
  <si>
    <t>myData!AuPop</t>
  </si>
  <si>
    <t>=myData!$W$8</t>
  </si>
  <si>
    <t>AuSeries</t>
  </si>
  <si>
    <t>myData!AuSeries</t>
  </si>
  <si>
    <t>=myData!$BS$11</t>
  </si>
  <si>
    <t>betaAu</t>
  </si>
  <si>
    <t>myData!betaAu</t>
  </si>
  <si>
    <t>=myData!$BC$11</t>
  </si>
  <si>
    <t>=myData!$BC$15</t>
  </si>
  <si>
    <t>=myData!$BC$13</t>
  </si>
  <si>
    <t>=myData!$BC$12</t>
  </si>
  <si>
    <t>betaPodeltaAu</t>
  </si>
  <si>
    <t>myData!betaPodeltaAu</t>
  </si>
  <si>
    <t>=myData!$BH$11</t>
  </si>
  <si>
    <t>=myData!$BH$15</t>
  </si>
  <si>
    <t>=myData!$BH$13</t>
  </si>
  <si>
    <t>=myData!$BH$12</t>
  </si>
  <si>
    <t>=myData!$BH$14</t>
  </si>
  <si>
    <t>betaTests</t>
  </si>
  <si>
    <t>myData!betaTests</t>
  </si>
  <si>
    <t>=myData!$BC$16</t>
  </si>
  <si>
    <t>=myData!$BC$14</t>
  </si>
  <si>
    <t>ChinaPop</t>
  </si>
  <si>
    <t>myData!ChinaPop</t>
  </si>
  <si>
    <t>=myData!$R$8</t>
  </si>
  <si>
    <t>=myData!$BS$15</t>
  </si>
  <si>
    <t>=solvMsgs!$E$1:$E$7</t>
  </si>
  <si>
    <t>deltaAu</t>
  </si>
  <si>
    <t>myData!deltaAu</t>
  </si>
  <si>
    <t>=myData!$BD$11</t>
  </si>
  <si>
    <t>=myData!$BD$15</t>
  </si>
  <si>
    <t>=myData!$BD$13</t>
  </si>
  <si>
    <t>=myData!$BD$12</t>
  </si>
  <si>
    <t>deltaTests</t>
  </si>
  <si>
    <t>myData!deltaTests</t>
  </si>
  <si>
    <t>=myData!$BD$16</t>
  </si>
  <si>
    <t>=myData!$BD$14</t>
  </si>
  <si>
    <t>=OFFSET(tblData[[#Headers],[Italy Cases per Capita]],MATCH(0,tblData[Italy Cases per Capita],0),0,COUNTA(tblData[Italy Cases per Capita]),1)</t>
  </si>
  <si>
    <t>=OFFSET(tblData[[#Headers],[Italy LogiP(t) Per Capita]],MATCH(0,tblData[Italy],0),0,COUNTA(tblData[Date])-MATCH(0,tblData[Italy],0)+1,1)</t>
  </si>
  <si>
    <t>ItalyPop</t>
  </si>
  <si>
    <t>myData!ItalyPop</t>
  </si>
  <si>
    <t>=myData!$N$8</t>
  </si>
  <si>
    <t>=myData!$BS$13</t>
  </si>
  <si>
    <t>MaxAusCases</t>
  </si>
  <si>
    <t>myData!MaxAusCases</t>
  </si>
  <si>
    <t>=myData!$BM$11</t>
  </si>
  <si>
    <t>MaxNSWCases</t>
  </si>
  <si>
    <t>myData!MaxNSWCases</t>
  </si>
  <si>
    <t>=myData!$BM$12</t>
  </si>
  <si>
    <t>msqAu</t>
  </si>
  <si>
    <t>myData!msqAu</t>
  </si>
  <si>
    <t>=myData!$BG$11</t>
  </si>
  <si>
    <t>=myData!$BG$15</t>
  </si>
  <si>
    <t>=myData!$BG$13</t>
  </si>
  <si>
    <t>=myData!$BG$12</t>
  </si>
  <si>
    <t>msqTests</t>
  </si>
  <si>
    <t>myData!msqTests</t>
  </si>
  <si>
    <t>=myData!$BG$16</t>
  </si>
  <si>
    <t>=myData!$BG$14</t>
  </si>
  <si>
    <t>=OFFSET(tblData[[#Headers],[NSW Cases per Capita]],MATCH(0,tblData[NSW Cases per Capita],0),0,COUNTA(tblData[New South Wales])-MATCH(0,tblData[NSW Cases per Capita],0)+1,1)</t>
  </si>
  <si>
    <t>=OFFSET(tblData[[#Headers],[Nsw LogiP(t) Per Capita]],MATCH(0,tblData[NSW],0),0,COUNTA(tblData[Date])-MATCH(0,tblData[NSW],0)+1,1)</t>
  </si>
  <si>
    <t>NSWMaxCasespc</t>
  </si>
  <si>
    <t>myData!NSWMaxCasespc</t>
  </si>
  <si>
    <t>=myData!$BV$12</t>
  </si>
  <si>
    <t>NSWpop</t>
  </si>
  <si>
    <t>myData!NSWpop</t>
  </si>
  <si>
    <t>=myData!$L$8</t>
  </si>
  <si>
    <t>=myData!$BS$12</t>
  </si>
  <si>
    <t>myData!PerPerson</t>
  </si>
  <si>
    <t>=myData!$C$7</t>
  </si>
  <si>
    <t>PerPersonLabel</t>
  </si>
  <si>
    <t>=myData!$D$7</t>
  </si>
  <si>
    <t>PoAu</t>
  </si>
  <si>
    <t>myData!PoAu</t>
  </si>
  <si>
    <t>=myData!$BE$11</t>
  </si>
  <si>
    <t>=myData!$BE$15</t>
  </si>
  <si>
    <t>=myData!$BE$13</t>
  </si>
  <si>
    <t>=myData!$BE$12</t>
  </si>
  <si>
    <t>PoTests</t>
  </si>
  <si>
    <t>myData!PoTests</t>
  </si>
  <si>
    <t>=myData!$BE$16</t>
  </si>
  <si>
    <t>=myData!$BE$14</t>
  </si>
  <si>
    <t>solver_adj</t>
  </si>
  <si>
    <t>myData!solver_adj</t>
  </si>
  <si>
    <t>=myData!$AC$2:$AE$2</t>
  </si>
  <si>
    <t>solver_cvg</t>
  </si>
  <si>
    <t>myData!solver_cvg</t>
  </si>
  <si>
    <t>=0.0001</t>
  </si>
  <si>
    <t>solver_drv</t>
  </si>
  <si>
    <t>myData!solver_drv</t>
  </si>
  <si>
    <t>=1</t>
  </si>
  <si>
    <t>solver_eng</t>
  </si>
  <si>
    <t>myData!solver_eng</t>
  </si>
  <si>
    <t>solver_est</t>
  </si>
  <si>
    <t>myData!solver_est</t>
  </si>
  <si>
    <t>solver_itr</t>
  </si>
  <si>
    <t>myData!solver_itr</t>
  </si>
  <si>
    <t>=2147483647</t>
  </si>
  <si>
    <t>solver_lhs1</t>
  </si>
  <si>
    <t>myData!solver_lhs1</t>
  </si>
  <si>
    <t>solver_lhs2</t>
  </si>
  <si>
    <t>myData!solver_lhs2</t>
  </si>
  <si>
    <t>solver_lhs3</t>
  </si>
  <si>
    <t>myData!solver_lhs3</t>
  </si>
  <si>
    <t>solver_lhs4</t>
  </si>
  <si>
    <t>myData!solver_lhs4</t>
  </si>
  <si>
    <t>solver_lhs5</t>
  </si>
  <si>
    <t>myData!solver_lhs5</t>
  </si>
  <si>
    <t>solver_mip</t>
  </si>
  <si>
    <t>myData!solver_mip</t>
  </si>
  <si>
    <t>solver_mni</t>
  </si>
  <si>
    <t>myData!solver_mni</t>
  </si>
  <si>
    <t>=30</t>
  </si>
  <si>
    <t>solver_mrt</t>
  </si>
  <si>
    <t>myData!solver_mrt</t>
  </si>
  <si>
    <t>=0.075</t>
  </si>
  <si>
    <t>solver_msl</t>
  </si>
  <si>
    <t>myData!solver_msl</t>
  </si>
  <si>
    <t>=2</t>
  </si>
  <si>
    <t>solver_neg</t>
  </si>
  <si>
    <t>myData!solver_neg</t>
  </si>
  <si>
    <t>solver_nod</t>
  </si>
  <si>
    <t>myData!solver_nod</t>
  </si>
  <si>
    <t>solver_num</t>
  </si>
  <si>
    <t>myData!solver_num</t>
  </si>
  <si>
    <t>=3</t>
  </si>
  <si>
    <t>solver_nwt</t>
  </si>
  <si>
    <t>myData!solver_nwt</t>
  </si>
  <si>
    <t>solver_opt</t>
  </si>
  <si>
    <t>myData!solver_opt</t>
  </si>
  <si>
    <t>solver_pre</t>
  </si>
  <si>
    <t>myData!solver_pre</t>
  </si>
  <si>
    <t>=0.000001</t>
  </si>
  <si>
    <t>solver_rbv</t>
  </si>
  <si>
    <t>myData!solver_rbv</t>
  </si>
  <si>
    <t>solver_rel1</t>
  </si>
  <si>
    <t>myData!solver_rel1</t>
  </si>
  <si>
    <t>solver_rel2</t>
  </si>
  <si>
    <t>myData!solver_rel2</t>
  </si>
  <si>
    <t>solver_rel3</t>
  </si>
  <si>
    <t>myData!solver_rel3</t>
  </si>
  <si>
    <t>solver_rel4</t>
  </si>
  <si>
    <t>myData!solver_rel4</t>
  </si>
  <si>
    <t>solver_rel5</t>
  </si>
  <si>
    <t>myData!solver_rel5</t>
  </si>
  <si>
    <t>solver_rhs1</t>
  </si>
  <si>
    <t>myData!solver_rhs1</t>
  </si>
  <si>
    <t>=0.000000001</t>
  </si>
  <si>
    <t>solver_rhs2</t>
  </si>
  <si>
    <t>myData!solver_rhs2</t>
  </si>
  <si>
    <t>=0</t>
  </si>
  <si>
    <t>solver_rhs3</t>
  </si>
  <si>
    <t>myData!solver_rhs3</t>
  </si>
  <si>
    <t>solver_rhs4</t>
  </si>
  <si>
    <t>myData!solver_rhs4</t>
  </si>
  <si>
    <t>=0.0000000001</t>
  </si>
  <si>
    <t>solver_rhs5</t>
  </si>
  <si>
    <t>myData!solver_rhs5</t>
  </si>
  <si>
    <t>solver_rlx</t>
  </si>
  <si>
    <t>myData!solver_rlx</t>
  </si>
  <si>
    <t>solver_rsd</t>
  </si>
  <si>
    <t>myData!solver_rsd</t>
  </si>
  <si>
    <t>solver_scl</t>
  </si>
  <si>
    <t>myData!solver_scl</t>
  </si>
  <si>
    <t>solver_sho</t>
  </si>
  <si>
    <t>myData!solver_sho</t>
  </si>
  <si>
    <t>solver_ssz</t>
  </si>
  <si>
    <t>myData!solver_ssz</t>
  </si>
  <si>
    <t>=100</t>
  </si>
  <si>
    <t>solver_tim</t>
  </si>
  <si>
    <t>myData!solver_tim</t>
  </si>
  <si>
    <t>solver_tol</t>
  </si>
  <si>
    <t>myData!solver_tol</t>
  </si>
  <si>
    <t>=0.01</t>
  </si>
  <si>
    <t>solver_typ</t>
  </si>
  <si>
    <t>myData!solver_typ</t>
  </si>
  <si>
    <t>solver_val</t>
  </si>
  <si>
    <t>myData!solver_val</t>
  </si>
  <si>
    <t>solver_ver</t>
  </si>
  <si>
    <t>myData!solver_ver</t>
  </si>
  <si>
    <t>=OFFSET(tblData[[#Headers],[US Cases Per Capita]],MATCH(0,tblData[US Cases Per Capita],0),0,COUNT(tblData[US]),1)</t>
  </si>
  <si>
    <t>=OFFSET(tblData[[#Headers],[Date]],MATCH(0,tblData[US],0),0,COUNT(tblData[US]),1)</t>
  </si>
  <si>
    <t>=OFFSET(tblData[[#Headers],[Days'# US]],MATCH(0,tblData[US],0),0,COUNTA(tblData[US]),1)</t>
  </si>
  <si>
    <t>=OFFSET(tblData[[#Headers],[US LogiP(t) Per Capita]],MATCH(0,tblData[US],0),0,COUNT(tblData[US LogiP(t) Per Capita]),1)</t>
  </si>
  <si>
    <t>=OFFSET(tblData[[#Headers],[Date]],MATCH(0,tblData[US],0),0,COUNTA(tblData[Date])-MATCH(0,tblData[US],0)+1,1)</t>
  </si>
  <si>
    <t>USpop</t>
  </si>
  <si>
    <t>myData!USpop</t>
  </si>
  <si>
    <t>=myData!$P$8</t>
  </si>
  <si>
    <t>=myData!$BS$14</t>
  </si>
  <si>
    <t>UK</t>
  </si>
  <si>
    <t>Ireland</t>
  </si>
  <si>
    <t>Nova Scotia</t>
  </si>
  <si>
    <t>Benin</t>
  </si>
  <si>
    <t>Greenland</t>
  </si>
  <si>
    <t>Liberia</t>
  </si>
  <si>
    <t>Somalia</t>
  </si>
  <si>
    <t>Tanzania</t>
  </si>
  <si>
    <t>Barbados</t>
  </si>
  <si>
    <t>Montenegro</t>
  </si>
  <si>
    <t>Kyrgyzstan</t>
  </si>
  <si>
    <t>Mauritius</t>
  </si>
  <si>
    <t>Zambia</t>
  </si>
  <si>
    <t>Djibouti</t>
  </si>
  <si>
    <t>Minimum Date</t>
  </si>
  <si>
    <t>JHName</t>
  </si>
  <si>
    <t>Inviidual States</t>
  </si>
  <si>
    <t>Days# UK</t>
  </si>
  <si>
    <t>UK Cases Per Capita</t>
  </si>
  <si>
    <t>SKorea Cases Per Capita</t>
  </si>
  <si>
    <t>Skorea</t>
  </si>
  <si>
    <t>SKorea</t>
  </si>
  <si>
    <t>Days# Skorea</t>
  </si>
  <si>
    <t>SKorea LogiP(t)</t>
  </si>
  <si>
    <t>Skorea Sq Err</t>
  </si>
  <si>
    <t>Skorea LogiP(t) Per Capita</t>
  </si>
  <si>
    <t>UK LogiP(t)</t>
  </si>
  <si>
    <t>UK Sq Err</t>
  </si>
  <si>
    <t>UK LogiP(t) Per Capita</t>
  </si>
  <si>
    <t xml:space="preserve">log fit from 19th Feb </t>
  </si>
  <si>
    <t>203 k</t>
  </si>
  <si>
    <t>80.2 k</t>
  </si>
  <si>
    <t>b=0.203, d=1.00E-06, P0=.0119 Limit=80.2 k</t>
  </si>
  <si>
    <t>Australia Limit 80.2 k</t>
  </si>
  <si>
    <t>COVID19 Australia 
b=0.203, d=1.00E-06, P0=.0119 Limit=80.2 k
 20-Mar, Cases per 10 M population</t>
  </si>
  <si>
    <t>At Fri 20-Mar Australia 345 cases per 10M was 17 days behind Italy, 1 days behind USA &amp; 36 days behind China</t>
  </si>
  <si>
    <t>19.8 M</t>
  </si>
  <si>
    <t>24.6 M</t>
  </si>
  <si>
    <t>b=0.198, d=1.00E-08, P0=.0069 Limit=24.6 M</t>
  </si>
  <si>
    <t>NSW Limit 24.6 M</t>
  </si>
  <si>
    <t>COVID19 NSW 
b=0.198, d=1.00E-08, P0=.0069 Limit=24.6 M
 20-Mar, Cases per 10 M population</t>
  </si>
  <si>
    <t>At Fri 20-Mar NSW 473 cases per 10M was 16 days behind Italy, 0 days ahead of USA &amp; 34 days behind China</t>
  </si>
  <si>
    <t>47.3 k</t>
  </si>
  <si>
    <t>7.82 k</t>
  </si>
  <si>
    <t>b=0.261, d=5.53E-06, P0=.4412 Limit=7.82 k</t>
  </si>
  <si>
    <t>Italy Limit 7.82 k</t>
  </si>
  <si>
    <t>COVID19 Italy 
b=0.261, d=5.53E-06, P0=.4412 Limit=7.82 k
 19-Mar, Cases per 10 M population</t>
  </si>
  <si>
    <t>117 k</t>
  </si>
  <si>
    <t>3.56 k</t>
  </si>
  <si>
    <t>b=0.27, d=2.30E-06, P0=.2896 Limit=3.56 k</t>
  </si>
  <si>
    <t>USA Limit 3.56 k</t>
  </si>
  <si>
    <t>COVID19 USA 
b=0.27, d=2.30E-06, P0=.2896 Limit=3.56 k
 19-Mar, Cases per 10 M population
 - Prediction without last day</t>
  </si>
  <si>
    <t xml:space="preserve">COVID19 China 
b=0.222, d=2.75E-06, P0=1537.6493 Limit=562  
 19-Mar, Cases per 10 M population
</t>
  </si>
  <si>
    <t>8.22 k</t>
  </si>
  <si>
    <t>1.60 k</t>
  </si>
  <si>
    <t>b=0.335, d=4.07E-05, P0=161.5015 Limit=1.60 k</t>
  </si>
  <si>
    <t>Skorea Limit 1.60 k fr 19th Feb</t>
  </si>
  <si>
    <t xml:space="preserve">COVID19 Skorea 
b=0.335, d=4.07E-05, P0=161.5015 Limit=1.60 k
 20-Mar, Cases per 10 M population
log fit from 19th Feb </t>
  </si>
  <si>
    <t>241 k</t>
  </si>
  <si>
    <t>36.3 k</t>
  </si>
  <si>
    <t>b=0.241, d=1.00E-06, P0=.0241 Limit=36.3 k</t>
  </si>
  <si>
    <t>UK Limit 36.3 k</t>
  </si>
  <si>
    <t xml:space="preserve">COVID19 UK 
b=0.241, d=1.00E-06, P0=.0241 Limit=36.3 k
 20-Mar, Cases per 10 M population
</t>
  </si>
  <si>
    <t>HISTORICAL RUNS -- COPY PASTE VALUES FROM RUN PARAMETERS RANGE TO LAST ROW HERE, THEN SORT.</t>
  </si>
  <si>
    <t>Place</t>
  </si>
  <si>
    <t xml:space="preserve">Date Start Log Fit </t>
  </si>
  <si>
    <t>RunTime</t>
  </si>
  <si>
    <t>Logistic Start2</t>
  </si>
  <si>
    <t>Start Logistic</t>
  </si>
  <si>
    <t>55.4 k</t>
  </si>
  <si>
    <t>9.17 k</t>
  </si>
  <si>
    <t>b=0.26, d=4.70E-06, P0=.442 Limit=9.17 k</t>
  </si>
  <si>
    <t>Italy Limit 9.17 k</t>
  </si>
  <si>
    <t>Channel Islands</t>
  </si>
  <si>
    <t>Gibraltar</t>
  </si>
  <si>
    <t>Cayman Islands</t>
  </si>
  <si>
    <t>Montserrat</t>
  </si>
  <si>
    <t>New Caledonia</t>
  </si>
  <si>
    <t>Bermuda</t>
  </si>
  <si>
    <t>Chad</t>
  </si>
  <si>
    <t>El Salvador</t>
  </si>
  <si>
    <t>Fiji</t>
  </si>
  <si>
    <t>Nicaragua</t>
  </si>
  <si>
    <t>Madagascar</t>
  </si>
  <si>
    <t>Haiti</t>
  </si>
  <si>
    <t>Angola</t>
  </si>
  <si>
    <t>Cabo Verde</t>
  </si>
  <si>
    <t>Sint Maarten</t>
  </si>
  <si>
    <t>Niger</t>
  </si>
  <si>
    <t>Papua New Guinea</t>
  </si>
  <si>
    <t>Isle of Man</t>
  </si>
  <si>
    <t>Zimbabwe</t>
  </si>
  <si>
    <t>At Sat 21-Mar Australia 421 cases per 10M was 17 days behind Italy, 1 days behind USA &amp; 36 days behind China, 22 days behind South Korea, 1 days behind UK</t>
  </si>
  <si>
    <t>At Sat 21-Mar NSW 540 cases per 10M was 16 days behind Italy, 1 days behind USA &amp; 25 days behind China, 21 days behind South Korea, 1 days behind UK</t>
  </si>
  <si>
    <t xml:space="preserve">b=0.222, d=2.74E-06, P0=1537.6493 Limit=562  </t>
  </si>
  <si>
    <t>81.0 k</t>
  </si>
  <si>
    <t>8.32 k</t>
  </si>
  <si>
    <t>1.62 k</t>
  </si>
  <si>
    <t>b=0.326, d=3.91E-05, P0=174.6165 Limit=1.62 k</t>
  </si>
  <si>
    <t>Skorea Limit 1.62 k fr 19th Feb</t>
  </si>
  <si>
    <t>231 M</t>
  </si>
  <si>
    <t>34.7 M</t>
  </si>
  <si>
    <t>b=0.231, d=1.00E-09, P0=.0381 Limit=34.7 M</t>
  </si>
  <si>
    <t>UK Limit 34.7 M</t>
  </si>
  <si>
    <t>2.72 k</t>
  </si>
  <si>
    <t>3.37 k</t>
  </si>
  <si>
    <t>b=0.209, d=7.68E-05, P0=.0043 Limit=3.37 k</t>
  </si>
  <si>
    <t>NSW Limit 3.37 k</t>
  </si>
  <si>
    <t>COVID19 NSW P(t) = b / {d+[( b/Po - d ) ]* exp(-b*t)}
b=0.209, d=7.68E-05, P0=.0043 Limit=3.37 k
 21-Mar, Cases per 10 M population</t>
  </si>
  <si>
    <t xml:space="preserve">COVID19 UK P(t) = b / {d+[( b/Po - d ) ]* exp(-b*t)}
b=0.231, d=1.00E-09, P0=.0381 Limit=34.7 M
 20-Mar, Cases per 10 M population
</t>
  </si>
  <si>
    <t>206 M</t>
  </si>
  <si>
    <t>81.4 M</t>
  </si>
  <si>
    <t>b=0.206, d=1.00E-09, P0=.0102 Limit=81.4 M</t>
  </si>
  <si>
    <t>Australia Limit 81.4 M</t>
  </si>
  <si>
    <t>COVID19 Australia P(t) = b / {d+[( b/Po - d ) ]* exp(-b*t)}
b=0.206, d=1.00E-09, P0=.0102 Limit=81.4 M
 21-Mar, Cases per 10 M population</t>
  </si>
  <si>
    <t>COVID19 Italy P(t) = b / {d+[( b/Po - d ) ]* exp(-b*t)}
b=0.26, d=4.70E-06, P0=.442 Limit=9.17 k
 20-Mar, Cases per 10 M population</t>
  </si>
  <si>
    <t>348 M</t>
  </si>
  <si>
    <t>10.6 M</t>
  </si>
  <si>
    <t>b=0.348, d=1.00E-09, P0=.0171 Limit=10.6 M</t>
  </si>
  <si>
    <t>USA Limit 10.6 M</t>
  </si>
  <si>
    <t>COVID19 USA P(t) = b / {d+[( b/Po - d ) ]* exp(-b*t)}
b=0.348, d=1.00E-09, P0=.0171 Limit=10.6 M
 20-Mar, Cases per 10 M population
 - Prediction without last day</t>
  </si>
  <si>
    <t xml:space="preserve">COVID19 China P(t) = b / {d+[( b/Po - d ) ]* exp(-b*t)}
b=0.222, d=2.74E-06, P0=1537.6493 Limit=562  
 20-Mar, Cases per 10 M population
</t>
  </si>
  <si>
    <t xml:space="preserve">COVID19 Skorea P(t) = b / {d+[( b/Po - d ) ]* exp(-b*t)}
b=0.326, d=3.91E-05, P0=174.6165 Limit=1.62 k
 20-Mar, Cases per 10 M population
log fit from 19th Feb </t>
  </si>
  <si>
    <t>At Sat 21-Mar Australia 423 cases per 10M was 18 days behind Italy, 2 days behind USA &amp; 37 days behind China, 23 days behind South Korea, 2 days behind UK</t>
  </si>
  <si>
    <t>207 M</t>
  </si>
  <si>
    <t>81.6 M</t>
  </si>
  <si>
    <t>b=0.207, d=1.00E-09, P0=.0099 Limit=81.6 M</t>
  </si>
  <si>
    <t>Australia Limit 81.6 M</t>
  </si>
  <si>
    <t>COVID19 Australia P(t) = b / {d+[( b/Po - d ) ]* exp(-b*t)}
b=0.207, d=1.00E-09, P0=.0099 Limit=81.6 M
 21-Mar, Cases per 10 M population</t>
  </si>
  <si>
    <t>60.6 k</t>
  </si>
  <si>
    <t>b=0.259, d=4.28E-06, P0=.4422 Limit=10.0 k</t>
  </si>
  <si>
    <t>Italy Limit 10.0 k</t>
  </si>
  <si>
    <t>COVID19 Italy P(t) = b / {d+[( b/Po - d ) ]* exp(-b*t)}
b=0.259, d=4.28E-06, P0=.4422 Limit=10.0 k
 21-Mar, Cases per 10 M population</t>
  </si>
  <si>
    <t>385 k</t>
  </si>
  <si>
    <t>11.7 k</t>
  </si>
  <si>
    <t>b=0.348, d=9.04E-07, P0=.0171 Limit=11.7 k</t>
  </si>
  <si>
    <t>USA Limit 11.7 k</t>
  </si>
  <si>
    <t>COVID19 USA P(t) = b / {d+[( b/Po - d ) ]* exp(-b*t)}
b=0.348, d=9.04E-07, P0=.0171 Limit=11.7 k
 21-Mar, Cases per 10 M population
 - Prediction without last day</t>
  </si>
  <si>
    <t xml:space="preserve">COVID19 China P(t) = b / {d+[( b/Po - d ) ]* exp(-b*t)}
b=0.222, d=2.74E-06, P0=1537.6493 Limit=562  
 21-Mar, Cases per 10 M population
</t>
  </si>
  <si>
    <t>8.38 k</t>
  </si>
  <si>
    <t>1.63 k</t>
  </si>
  <si>
    <t>b=0.321, d=3.83E-05, P0=182.7881 Limit=1.63 k</t>
  </si>
  <si>
    <t>Skorea Limit 1.63 k fr 19th Feb</t>
  </si>
  <si>
    <t xml:space="preserve">COVID19 Skorea P(t) = b / {d+[( b/Po - d ) ]* exp(-b*t)}
b=0.321, d=3.83E-05, P0=182.7881 Limit=1.63 k
 21-Mar, Cases per 10 M population
log fit from 19th Feb </t>
  </si>
  <si>
    <t>236 M</t>
  </si>
  <si>
    <t>35.4 M</t>
  </si>
  <si>
    <t>b=0.236, d=1.00E-09, P0=.0303 Limit=35.4 M</t>
  </si>
  <si>
    <t>UK Limit 35.4 M</t>
  </si>
  <si>
    <t xml:space="preserve">COVID19 UK P(t) = b / {d+[( b/Po - d ) ]* exp(-b*t)}
b=0.236, d=1.00E-09, P0=.0303 Limit=35.4 M
 21-Mar, Cases per 10 M population
</t>
  </si>
  <si>
    <t>Eritrea</t>
  </si>
  <si>
    <t>Uganda</t>
  </si>
  <si>
    <t>At Sun 22-Mar Australia 500 cases per 10M was 18 days behind Italy, 2 days behind USA &amp; 34 days behind China, 22 days behind South Korea, 2 days behind UK</t>
  </si>
  <si>
    <t>64.3 k</t>
  </si>
  <si>
    <t>25.3 k</t>
  </si>
  <si>
    <t>b=0.207, d=3.22E-06, P0=.0099 Limit=25.3 k</t>
  </si>
  <si>
    <t>Australia Limit 25.3 k</t>
  </si>
  <si>
    <t>COVID19 Australia P(t) = b / {d+[( b/Po - d ) ]* exp(-b*t)}
b=0.207, d=3.22E-06, P0=.0099 Limit=25.3 k
 22-Mar, Cases per 10 M population</t>
  </si>
  <si>
    <t>At Sun 22-Mar NSW 660 cases per 10M was 16 days behind Italy, 1 days behind USA &amp; 0 days behind China, 21 days behind South Korea, 1 days behind UK</t>
  </si>
  <si>
    <t>3.26 k</t>
  </si>
  <si>
    <t>4.04 k</t>
  </si>
  <si>
    <t>b=0.207, d=6.34E-05, P0=.0048 Limit=4.04 k</t>
  </si>
  <si>
    <t>NSW Limit 4.04 k</t>
  </si>
  <si>
    <t>COVID19 NSW P(t) = b / {d+[( b/Po - d ) ]* exp(-b*t)}
b=0.207, d=6.34E-05, P0=.0048 Limit=4.04 k
 22-Mar, Cases per 10 M population</t>
  </si>
  <si>
    <t>3.37 G</t>
  </si>
  <si>
    <t>102 M</t>
  </si>
  <si>
    <t>b=0.337, d=1.00E-10, P0=.0255 Limit=102 M</t>
  </si>
  <si>
    <t>USA Limit 102 M</t>
  </si>
  <si>
    <t>COVID19 USA P(t) = b / {d+[( b/Po - d ) ]* exp(-b*t)}
b=0.337, d=1.00E-10, P0=.0255 Limit=102 M
 21-Mar, Cases per 10 M population
 - Prediction without last day</t>
  </si>
  <si>
    <t>35.5 M</t>
  </si>
  <si>
    <t>b=0.236, d=1.00E-09, P0=.0297 Limit=35.5 M</t>
  </si>
  <si>
    <t>UK Limit 35.5 M</t>
  </si>
  <si>
    <t xml:space="preserve">COVID19 UK P(t) = b / {d+[( b/Po - d ) ]* exp(-b*t)}
b=0.236, d=1.00E-09, P0=.0297 Limit=35.5 M
 21-Mar, Cases per 10 M population
</t>
  </si>
  <si>
    <t>Limit Cases</t>
  </si>
  <si>
    <t>At Sun 22-Mar Australia 532 cases per 10M was 17 days behind Italy, 2 days behind USA &amp; 29 days behind China, 22 days behind South Korea, 2 days behind UK</t>
  </si>
  <si>
    <t>2.10 G</t>
  </si>
  <si>
    <t>828 M</t>
  </si>
  <si>
    <t xml:space="preserve">b=0.21, d=1.00E-10, P0=.008 Limit=828 M=&gt;2.10 G cases </t>
  </si>
  <si>
    <t>Australia Limit 828 M</t>
  </si>
  <si>
    <t>COVID19 Australia P(t) = b / {d+[( b/Po - d ) ]* exp(-b*t)}
b=0.21, d=1.00E-10, P0=.008 Limit=828 M=&gt;2.10 G cases 
 22-Mar, Cases per 10 M population</t>
  </si>
  <si>
    <t xml:space="preserve">b=0.207, d=6.34E-05, P0=.005 Limit=4.04 k=&gt;3.26 k cases </t>
  </si>
  <si>
    <t>COVID19 NSW P(t) = b / {d+[( b/Po - d ) ]* exp(-b*t)}
b=0.207, d=6.34E-05, P0=.005 Limit=4.04 k=&gt;3.26 k cases 
 22-Mar, Cases per 10 M population</t>
  </si>
  <si>
    <t xml:space="preserve">b=0.259, d=4.28E-06, P0=.442 Limit=10.0 k=&gt;60.6 k cases </t>
  </si>
  <si>
    <t>COVID19 Italy P(t) = b / {d+[( b/Po - d ) ]* exp(-b*t)}
b=0.259, d=4.28E-06, P0=.442 Limit=10.0 k=&gt;60.6 k cases 
 21-Mar, Cases per 10 M population</t>
  </si>
  <si>
    <t xml:space="preserve">b=0.337, d=1.00E-10, P0=.025 Limit=102 M=&gt;3.37 G cases </t>
  </si>
  <si>
    <t>COVID19 USA P(t) = b / {d+[( b/Po - d ) ]* exp(-b*t)}
b=0.337, d=1.00E-10, P0=.025 Limit=102 M=&gt;3.37 G cases 
 21-Mar, Cases per 10 M population</t>
  </si>
  <si>
    <t>164 k</t>
  </si>
  <si>
    <t>4.97 k</t>
  </si>
  <si>
    <t xml:space="preserve">b=0.337, d=2.06E-06, P0=.025 Limit=4.97 k=&gt;164 k cases </t>
  </si>
  <si>
    <t>USA Limit 4.97 k</t>
  </si>
  <si>
    <t>COVID19 USA P(t) = b / {d+[( b/Po - d ) ]* exp(-b*t)}
b=0.337, d=2.06E-06, P0=.025 Limit=4.97 k=&gt;164 k cases 
 21-Mar, Cases per 10 M population</t>
  </si>
  <si>
    <t xml:space="preserve">563  </t>
  </si>
  <si>
    <t xml:space="preserve">b=0.222, d=2.74E-06, P0=1537.649 Limit=563  =&gt;81.0 k cases </t>
  </si>
  <si>
    <t xml:space="preserve">China Limit 563  </t>
  </si>
  <si>
    <t>COVID19 China P(t) = b / {d+[( b/Po - d ) ]* exp(-b*t)}
b=0.222, d=2.74E-06, P0=1537.649 Limit=563  =&gt;81.0 k cases 
 22-Mar, Cases per 10 M population</t>
  </si>
  <si>
    <t xml:space="preserve">, log fit from 19th Feb </t>
  </si>
  <si>
    <t>8.44 k</t>
  </si>
  <si>
    <t>1.64 k</t>
  </si>
  <si>
    <t xml:space="preserve">b=0.315, d=3.74E-05, P0=191.459 Limit=1.64 k=&gt;8.44 k cases , log fit from 19th Feb </t>
  </si>
  <si>
    <t>Skorea Limit 1.64 k fr 19th Feb</t>
  </si>
  <si>
    <t>COVID19 Skorea P(t) = b / {d+[( b/Po - d ) ]* exp(-b*t)}
b=0.315, d=3.74E-05, P0=191.459 Limit=1.64 k=&gt;8.44 k cases , log fit from 19th Feb 
 22-Mar, Cases per 10 M population</t>
  </si>
  <si>
    <t xml:space="preserve">b=0.236, d=1.00E-09, P0=.03 Limit=35.5 M=&gt;236 M cases </t>
  </si>
  <si>
    <t>COVID19 UK P(t) = b / {d+[( b/Po - d ) ]* exp(-b*t)}
b=0.236, d=1.00E-09, P0=.03 Limit=35.5 M=&gt;236 M cases 
 21-Mar, Cases per 10 M population</t>
  </si>
  <si>
    <t>At Sun 22-Mar Australia 534 cases per 10M was 17 days behind Italy, 2 days behind USA &amp; 29 days behind China, 22 days behind South Korea, 2 days behind UK</t>
  </si>
  <si>
    <t>829 M</t>
  </si>
  <si>
    <t xml:space="preserve">b=0.21, d=1.00E-10, P0=.008 Limit=829 M=&gt;2.10 G cases </t>
  </si>
  <si>
    <t>Australia Limit 829 M</t>
  </si>
  <si>
    <t>COVID19 Australia P(t) = b / {d+[( b/Po - d ) ]* exp(-b*t)}
b=0.21, d=1.00E-10, P0=.008 Limit=829 M=&gt;2.10 G cases 
 22-Mar, Cases per 10 M population</t>
  </si>
  <si>
    <t>NSW Logest</t>
  </si>
  <si>
    <t>aaaTest</t>
  </si>
  <si>
    <t>=OFFSET(tblData[[#Headers],[Au Cases Per Capita]],MATCH(0,tblData[Au Cases Per Capita],0)+1,0,COUNTA(tblData[New South Wales])-MATCH(0,tblData[NSW Cases per Capita],0),1)</t>
  </si>
  <si>
    <t>=myData!$CG$11</t>
  </si>
  <si>
    <t>betaPodeltaSKorea</t>
  </si>
  <si>
    <t>myData!betaPodeltaSKorea</t>
  </si>
  <si>
    <t>betaPodeltaUK</t>
  </si>
  <si>
    <t>myData!betaPodeltaUK</t>
  </si>
  <si>
    <t>betaSKorea</t>
  </si>
  <si>
    <t>myData!betaSKorea</t>
  </si>
  <si>
    <t>betaUK</t>
  </si>
  <si>
    <t>myData!betaUK</t>
  </si>
  <si>
    <t>=myData!$V$8</t>
  </si>
  <si>
    <t>=myData!$CG$15</t>
  </si>
  <si>
    <t>deltaconstraint</t>
  </si>
  <si>
    <t>myData!deltaconstraint</t>
  </si>
  <si>
    <t>=myData!$B$3</t>
  </si>
  <si>
    <t>deltaSKorea</t>
  </si>
  <si>
    <t>myData!deltaSKorea</t>
  </si>
  <si>
    <t>deltaUK</t>
  </si>
  <si>
    <t>myData!deltaUK</t>
  </si>
  <si>
    <t>HisTableBL</t>
  </si>
  <si>
    <t>myData!HisTableBL</t>
  </si>
  <si>
    <t>HisTableTL</t>
  </si>
  <si>
    <t>myData!HisTableTL</t>
  </si>
  <si>
    <t>=myData!$CG$13</t>
  </si>
  <si>
    <t>ItalyStart</t>
  </si>
  <si>
    <t>myData!ItalyStart</t>
  </si>
  <si>
    <t>LogestBNSW</t>
  </si>
  <si>
    <t>myData!LogestBNSW</t>
  </si>
  <si>
    <t>LogEstMNSW</t>
  </si>
  <si>
    <t>myData!LogEstMNSW</t>
  </si>
  <si>
    <t>LogFormula</t>
  </si>
  <si>
    <t>myData!LogFormula</t>
  </si>
  <si>
    <t>msqSKorea</t>
  </si>
  <si>
    <t>myData!msqSKorea</t>
  </si>
  <si>
    <t>msqUK</t>
  </si>
  <si>
    <t>myData!msqUK</t>
  </si>
  <si>
    <t>=OFFSET(tblData[[#Headers],[NSW Cases per Capita]],MATCH(0,tblData[NSW Cases per Capita],0)+1,0,COUNTA(tblData[New South Wales])-MATCH(0,tblData[NSW Cases per Capita],0),1)</t>
  </si>
  <si>
    <t>=OFFSET(tblData[[#Headers],[Date]],MATCH(0,tblData[NSW],0)+1,0,COUNTA(tblData[New South Wales])-MATCH(0,tblData[NSW],0),1)</t>
  </si>
  <si>
    <t>=myData!$CG$12</t>
  </si>
  <si>
    <t>=myData!$L$2</t>
  </si>
  <si>
    <t>=myData!$L$3</t>
  </si>
  <si>
    <t>PoSKorea</t>
  </si>
  <si>
    <t>myData!PoSKorea</t>
  </si>
  <si>
    <t>PoUK</t>
  </si>
  <si>
    <t>myData!PoUK</t>
  </si>
  <si>
    <t>RunRange</t>
  </si>
  <si>
    <t>myData!RunRange</t>
  </si>
  <si>
    <t>RunTableTL</t>
  </si>
  <si>
    <t>myData!RunTableTL</t>
  </si>
  <si>
    <t>RunTableTR</t>
  </si>
  <si>
    <t>myData!RunTableTR</t>
  </si>
  <si>
    <t>RunTimeAu</t>
  </si>
  <si>
    <t>myData!RunTimeAu</t>
  </si>
  <si>
    <t>SKoreaCases</t>
  </si>
  <si>
    <t>myData!SKoreaCases</t>
  </si>
  <si>
    <t>SKoreaDates</t>
  </si>
  <si>
    <t>myData!SKoreaDates</t>
  </si>
  <si>
    <t>SKoreaLogi</t>
  </si>
  <si>
    <t>myData!SKoreaLogi</t>
  </si>
  <si>
    <t>SKoreaLogiDates</t>
  </si>
  <si>
    <t>myData!SKoreaLogiDates</t>
  </si>
  <si>
    <t>SKoreaPop</t>
  </si>
  <si>
    <t>myData!SKoreaPop</t>
  </si>
  <si>
    <t>SKoreaSeries</t>
  </si>
  <si>
    <t>myData!SKoreaSeries</t>
  </si>
  <si>
    <t>=myData!$CG$16</t>
  </si>
  <si>
    <t>SKoreaStart</t>
  </si>
  <si>
    <t>myData!SKoreaStart</t>
  </si>
  <si>
    <t>StartDt2Au</t>
  </si>
  <si>
    <t>myData!StartDt2Au</t>
  </si>
  <si>
    <t>StartDt2China</t>
  </si>
  <si>
    <t>myData!StartDt2China</t>
  </si>
  <si>
    <t>StartDt2Italy</t>
  </si>
  <si>
    <t>myData!StartDt2Italy</t>
  </si>
  <si>
    <t>StartDt2NSW</t>
  </si>
  <si>
    <t>myData!StartDt2NSW</t>
  </si>
  <si>
    <t>StartDt2Tests</t>
  </si>
  <si>
    <t>myData!StartDt2Tests</t>
  </si>
  <si>
    <t>StartDt2UK</t>
  </si>
  <si>
    <t>myData!StartDt2UK</t>
  </si>
  <si>
    <t>StartDt2US</t>
  </si>
  <si>
    <t>myData!StartDt2US</t>
  </si>
  <si>
    <t>TitleAll</t>
  </si>
  <si>
    <t>myData!TitleAll</t>
  </si>
  <si>
    <t>TitleAllSK</t>
  </si>
  <si>
    <t>myData!TitleAllSK</t>
  </si>
  <si>
    <t>UKCases</t>
  </si>
  <si>
    <t>myData!UKCases</t>
  </si>
  <si>
    <t>=OFFSET(tblData[[#Headers],[UK Cases Per Capita]],MATCH(0,tblData[UK Cases Per Capita],0)+1,0,COUNTA(tblData[UK Cases Per Capita])-1,1)</t>
  </si>
  <si>
    <t>UKDates</t>
  </si>
  <si>
    <t>myData!UKDates</t>
  </si>
  <si>
    <t>=OFFSET(tblData[[#Headers],[Date]],MATCH(0,tblData[UK],0)+1,0,COUNTA(tblData[UK])-1,1)</t>
  </si>
  <si>
    <t>UKLogi</t>
  </si>
  <si>
    <t>myData!UKLogi</t>
  </si>
  <si>
    <t>UKLogiDates</t>
  </si>
  <si>
    <t>myData!UKLogiDates</t>
  </si>
  <si>
    <t>UKPop</t>
  </si>
  <si>
    <t>myData!UKPop</t>
  </si>
  <si>
    <t>=myData!$T$8</t>
  </si>
  <si>
    <t>UKSeries</t>
  </si>
  <si>
    <t>myData!UKSeries</t>
  </si>
  <si>
    <t>=myData!$CG$17</t>
  </si>
  <si>
    <t>UKStart</t>
  </si>
  <si>
    <t>myData!UKStart</t>
  </si>
  <si>
    <t>=myData!$CG$14</t>
  </si>
  <si>
    <t>Chart Titles</t>
  </si>
  <si>
    <t>Chinese New Year</t>
  </si>
  <si>
    <t>Vert Val</t>
  </si>
  <si>
    <t>At Mon 23-Mar Australia 638 cases per 10M was 16 days behind Italy, 1 days behind USA &amp; 1 days behind China, 21 days behind South Korea, 1 days behind UK</t>
  </si>
  <si>
    <t>165 k</t>
  </si>
  <si>
    <t>65.0 k</t>
  </si>
  <si>
    <t xml:space="preserve">b=0.21, d=1.27E-06, P0=.008 Limit=65.0 k=&gt;165 k cases </t>
  </si>
  <si>
    <t>Australia Limit 65.0 k</t>
  </si>
  <si>
    <t>COVID19 Australia P(t) = b / {d+[( b/Po - d ) ]* exp(-b*t)}
b=0.21, d=1.27E-06, P0=.008 Limit=65.0 k=&gt;165 k cases 
 23-Mar, Cases per 10 M population</t>
  </si>
  <si>
    <t>At Mon 23-Mar NSW 828 cases per 10M was 16 days behind Italy, 0 days ahead of USA &amp; -1 days behind China, 21 days behind South Korea, 0 days behind UK</t>
  </si>
  <si>
    <t>249 k</t>
  </si>
  <si>
    <t>309 k</t>
  </si>
  <si>
    <t xml:space="preserve">b=0.193, d=7.74E-07, P0=.009 Limit=309 k=&gt;249 k cases </t>
  </si>
  <si>
    <t>NSW Limit 309 k</t>
  </si>
  <si>
    <t>COVID19 NSW P(t) = b / {d+[( b/Po - d ) ]* exp(-b*t)}
b=0.193, d=7.74E-07, P0=.009 Limit=309 k=&gt;249 k cases 
 23-Mar, Cases per 10 M population</t>
  </si>
  <si>
    <t>COVID19 China P(t) = b / {d+[( b/Po - d ) ]* exp(-b*t)}
b=0.222, d=2.74E-06, P0=1537.649 Limit=563  =&gt;81.0 k cases 
 21-Mar, Cases per 10 M population</t>
  </si>
  <si>
    <t xml:space="preserve">b=0.32, d=3.83E-05, P0=182.8 Limit=1.63 k=&gt;8.38 k cases , log fit from 19th Feb </t>
  </si>
  <si>
    <t>COVID19 Skorea P(t) = b / {d+[( b/Po - d ) ]* exp(-b*t)}
b=0.32, d=3.83E-05, P0=182.8 Limit=1.63 k=&gt;8.38 k cases , log fit from 19th Feb 
 21-Mar, Cases per 10 M population</t>
  </si>
  <si>
    <t>23.6 G</t>
  </si>
  <si>
    <t>3.55 G</t>
  </si>
  <si>
    <t xml:space="preserve">b=0.236, d=1.00E-11, P0=.03 Limit=3.55 G=&gt;23.6 G cases </t>
  </si>
  <si>
    <t>UK Limit 3.55 G</t>
  </si>
  <si>
    <t>COVID19 UK P(t) = b / {d+[( b/Po - d ) ]* exp(-b*t)}
b=0.236, d=1.00E-11, P0=.03 Limit=3.55 G=&gt;23.6 G cases 
 21-Mar, Cases per 10 M population</t>
  </si>
  <si>
    <t>Dominica</t>
  </si>
  <si>
    <t>Grenada</t>
  </si>
  <si>
    <t>Mozambique</t>
  </si>
  <si>
    <t>Syria</t>
  </si>
  <si>
    <t>Timor-Leste</t>
  </si>
  <si>
    <t>Singapore LogiP(t)</t>
  </si>
  <si>
    <t>Singapore Sq Err</t>
  </si>
  <si>
    <t>Singapore LogiP(t) Per Capita</t>
  </si>
  <si>
    <t>Singapore Cases Per Capita</t>
  </si>
  <si>
    <t>Day# Singapore</t>
  </si>
  <si>
    <t>At Mon 23-Mar Australia 646 cases per 10M was 17 days behind Italy, 2 days behind USA &amp; 0 days behind China, 22 days behind South Korea, 2 days behind UK</t>
  </si>
  <si>
    <t>209 G</t>
  </si>
  <si>
    <t>82.6 G</t>
  </si>
  <si>
    <t xml:space="preserve">b=0.209, d=1.00E-12, P0=.009 Limit=82.6 G=&gt;209 G cases </t>
  </si>
  <si>
    <t>Australia Limit 82.6 G</t>
  </si>
  <si>
    <t>COVID19 Australia P(t) = b / {d+[( b/Po - d ) ]* exp(-b*t)}
b=0.209, d=1.00E-12, P0=.009 Limit=82.6 G=&gt;209 G cases 
 23-Mar, Cases per 10 M population</t>
  </si>
  <si>
    <t>At Mon 23-Mar NSW 828 cases per 10M was 16 days behind Italy, 1 days behind USA &amp; -1 days behind China, 21 days behind South Korea, 1 days behind UK</t>
  </si>
  <si>
    <t>250 k</t>
  </si>
  <si>
    <t>310 k</t>
  </si>
  <si>
    <t xml:space="preserve">b=0.193, d=7.71E-07, P0=.009 Limit=310 k=&gt;250 k cases </t>
  </si>
  <si>
    <t>NSW Limit 310 k</t>
  </si>
  <si>
    <t>COVID19 NSW P(t) = b / {d+[( b/Po - d ) ]* exp(-b*t)}
b=0.193, d=7.71E-07, P0=.009 Limit=310 k=&gt;250 k cases 
 23-Mar, Cases per 10 M population</t>
  </si>
  <si>
    <t>65.4 k</t>
  </si>
  <si>
    <t>10.8 k</t>
  </si>
  <si>
    <t xml:space="preserve">b=0.259, d=3.95E-06, P0=.442 Limit=10.8 k=&gt;65.4 k cases </t>
  </si>
  <si>
    <t>Italy Limit 10.8 k</t>
  </si>
  <si>
    <t>COVID19 Italy P(t) = b / {d+[( b/Po - d ) ]* exp(-b*t)}
b=0.259, d=3.95E-06, P0=.442 Limit=10.8 k=&gt;65.4 k cases 
 22-Mar, Cases per 10 M population</t>
  </si>
  <si>
    <t>At Mon 23-Mar Australia 646 cases per 10M was 17 days behind Italy, 2 days behind USA &amp; 0 days behind China, 22 days behind South Korea, 2 days behind UK
At Mon 23-Mar NSW 828 cases per 10M was 16 days behind Italy, 1 days behind USA &amp; -1 days behind China, 21 days behind South Korea, 1 days behind UK</t>
  </si>
  <si>
    <t>605 k</t>
  </si>
  <si>
    <t>18.4 k</t>
  </si>
  <si>
    <t xml:space="preserve">b=0.337, d=5.57E-07, P0=.025 Limit=18.4 k=&gt;605 k cases </t>
  </si>
  <si>
    <t>USA Limit 18.4 k</t>
  </si>
  <si>
    <t>COVID19 USA P(t) = b / {d+[( b/Po - d ) ]* exp(-b*t)}
b=0.337, d=5.57E-07, P0=.025 Limit=18.4 k=&gt;605 k cases 
 22-Mar, Cases per 10 M population</t>
  </si>
  <si>
    <t>111 k</t>
  </si>
  <si>
    <t>16.7 k</t>
  </si>
  <si>
    <t xml:space="preserve">b=0.236, d=2.13E-06, P0=.03 Limit=16.7 k=&gt;111 k cases </t>
  </si>
  <si>
    <t>UK Limit 16.7 k</t>
  </si>
  <si>
    <t>COVID19 UK P(t) = b / {d+[( b/Po - d ) ]* exp(-b*t)}
b=0.236, d=2.13E-06, P0=.03 Limit=16.7 k=&gt;111 k cases 
 22-Mar, Cases per 10 M population</t>
  </si>
  <si>
    <t>At Mon 23-Mar Australia 647 cases per 10M was 17 days behind Italy, 2 days behind USA &amp; 0 days behind China, 22 days behind South Korea, 2 days behind UK</t>
  </si>
  <si>
    <t>At Mon 23-Mar Australia 675 cases per 10M was 17 days behind Italy, 2 days behind USA &amp; 0 days behind China, 22 days behind South Korea, 2 days behind UK</t>
  </si>
  <si>
    <t>215 G</t>
  </si>
  <si>
    <t>At Mon 23-Mar NSW 871 cases per 10M was 16 days behind Italy, 1 days behind USA &amp; -1 days behind China, 20 days behind South Korea, 0 days behind UK</t>
  </si>
  <si>
    <t>198 G</t>
  </si>
  <si>
    <t>245 G</t>
  </si>
  <si>
    <t xml:space="preserve">b=0.198, d=1.00E-12, P0=.007 Limit=245 G=&gt;198 G cases </t>
  </si>
  <si>
    <t>NSW Limit 245 G</t>
  </si>
  <si>
    <t>COVID19 NSW P(t) = b / {d+[( b/Po - d ) ]* exp(-b*t)}
b=0.198, d=1.00E-12, P0=.007 Limit=245 G=&gt;198 G cases 
 23-Mar, Cases per 10 M population</t>
  </si>
  <si>
    <t>At Mon 23-Mar Australia 675 cases per 10M was 17 days behind Italy, 2 days behind USA &amp; 0 days behind China, 22 days behind South Korea, 2 days behind UK
At Mon 23-Mar NSW 871 cases per 10M was 16 days behind Italy, 1 days behind USA &amp; -1 days behind China, 20 days behind South Korea, 0 days behind UK</t>
  </si>
  <si>
    <t>162 k</t>
  </si>
  <si>
    <t>4.92 k</t>
  </si>
  <si>
    <t xml:space="preserve">b=0.337, d=2.08E-06, P0=.025 Limit=4.92 k=&gt;162 k cases </t>
  </si>
  <si>
    <t>USA Limit 4.92 k</t>
  </si>
  <si>
    <t>COVID19 USA P(t) = b / {d+[( b/Po - d ) ]* exp(-b*t)}
b=0.337, d=2.08E-06, P0=.025 Limit=4.92 k=&gt;162 k cases 
 22-Mar, Cases per 10 M population</t>
  </si>
  <si>
    <t>COVID19 China P(t) = b / {d+[( b/Po - d ) ]* exp(-b*t)}
b=0.222, d=2.74E-06, P0=1537.649 Limit=563  =&gt;81.0 k cases 
 23-Mar, Cases per 10 M population</t>
  </si>
  <si>
    <t>8.49 k</t>
  </si>
  <si>
    <t>1.65 k</t>
  </si>
  <si>
    <t xml:space="preserve">b=0.31, d=3.65E-05, P0=200.102 Limit=1.65 k=&gt;8.49 k cases , log fit from 19th Feb </t>
  </si>
  <si>
    <t>Skorea Limit 1.65 k fr 19th Feb</t>
  </si>
  <si>
    <t>COVID19 Skorea P(t) = b / {d+[( b/Po - d ) ]* exp(-b*t)}
b=0.31, d=3.65E-05, P0=200.102 Limit=1.65 k=&gt;8.49 k cases , log fit from 19th Feb 
 23-Mar, Cases per 10 M population</t>
  </si>
  <si>
    <t xml:space="preserve">b=0.315, d=3.74E-05, P0=191.48 Limit=1.64 k=&gt;8.44 k cases , log fit from 19th Feb </t>
  </si>
  <si>
    <t>COVID19 Skorea P(t) = b / {d+[( b/Po - d ) ]* exp(-b*t)}
b=0.315, d=3.74E-05, P0=191.48 Limit=1.64 k=&gt;8.44 k cases , log fit from 19th Feb 
 22-Mar, Cases per 10 M population</t>
  </si>
  <si>
    <t>At Mon 23-Mar Australia 677 cases per 10M was 17 days behind Italy, 2 days behind USA &amp; 0 days behind China, 22 days behind South Korea, 2 days behind UK</t>
  </si>
  <si>
    <t>84.8 G</t>
  </si>
  <si>
    <t xml:space="preserve">b=0.215, d=1.00E-12, P0=.006 Limit=84.8 G=&gt;215 G cases </t>
  </si>
  <si>
    <t>Australia Limit 84.8 G</t>
  </si>
  <si>
    <t>COVID19 Australia P(t) = b / {d+[( b/Po - d ) ]* exp(-b*t)}
b=0.215, d=1.00E-12, P0=.006 Limit=84.8 G=&gt;215 G cases 
 23-Mar, Cases per 10 M population</t>
  </si>
  <si>
    <t>At Tue 24-Mar NSW 1012 cases per 10M was 16 days behind Italy, 0 days ahead of USA &amp; -2 days behind China, 20 days behind South Korea, -1 days behind UK</t>
  </si>
  <si>
    <t>137 k</t>
  </si>
  <si>
    <t>169 k</t>
  </si>
  <si>
    <t xml:space="preserve">b=0.198, d=1.45E-06, P0=.007 Limit=169 k=&gt;137 k cases </t>
  </si>
  <si>
    <t>NSW Limit 169 k</t>
  </si>
  <si>
    <t>COVID19 NSW P(t) = b / {d+[( b/Po - d ) ]* exp(-b*t)}
b=0.198, d=1.45E-06, P0=.007 Limit=169 k=&gt;137 k cases 
 24-Mar, Cases per 10 M population</t>
  </si>
  <si>
    <t>At Tue 24-Mar Australia 744 cases per 10M was 17 days behind Italy, 2 days behind USA &amp; 0 days behind China, 21 days behind South Korea, 2 days behind UK</t>
  </si>
  <si>
    <t>15.2 k</t>
  </si>
  <si>
    <t>5.98 k</t>
  </si>
  <si>
    <t xml:space="preserve">b=0.216, d=1.43E-05, P0=.006 Limit=5.98 k=&gt;15.2 k cases </t>
  </si>
  <si>
    <t>Australia Limit 5.98 k</t>
  </si>
  <si>
    <t>COVID19 Australia P(t) = b / {d+[( b/Po - d ) ]* exp(-b*t)}
b=0.216, d=1.43E-05, P0=.006 Limit=5.98 k=&gt;15.2 k cases 
 24-Mar, Cases per 10 M population</t>
  </si>
  <si>
    <t>9.61 k</t>
  </si>
  <si>
    <t>3.79 k</t>
  </si>
  <si>
    <t xml:space="preserve">b=0.227, d=2.36E-05, P0=.004 Limit=3.79 k=&gt;9.61 k cases </t>
  </si>
  <si>
    <t>Australia Limit 3.79 k</t>
  </si>
  <si>
    <t>COVID19 Australia P(t) = b / {d+[( b/Po - d ) ]* exp(-b*t)}
b=0.227, d=2.36E-05, P0=.004 Limit=3.79 k=&gt;9.61 k cases 
 24-Mar, Cases per 10 M population</t>
  </si>
  <si>
    <t>At Tue 24-Mar Australia 744 cases per 10M was 17 days behind Italy, 2 days behind USA &amp; 0 days behind China, 21 days behind South Korea, 2 days behind UK
At Tue 24-Mar NSW 1012 cases per 10M was 16 days behind Italy, 0 days ahead of USA &amp; -2 days behind China, 20 days behind South Korea, -1 days behind UK</t>
  </si>
  <si>
    <t>606 k</t>
  </si>
  <si>
    <t xml:space="preserve">b=0.337, d=5.57E-07, P0=.025 Limit=18.4 k=&gt;606 k cases </t>
  </si>
  <si>
    <t>COVID19 USA P(t) = b / {d+[( b/Po - d ) ]* exp(-b*t)}
b=0.337, d=5.57E-07, P0=.025 Limit=18.4 k=&gt;606 k cases 
 22-Mar, Cases per 10 M population</t>
  </si>
  <si>
    <t>Day# Generic</t>
  </si>
  <si>
    <t>Generic Cases Per Capita</t>
  </si>
  <si>
    <t>GenState</t>
  </si>
  <si>
    <t>GenCountry</t>
  </si>
  <si>
    <t>Generic</t>
  </si>
  <si>
    <t>State</t>
  </si>
  <si>
    <t>GenName</t>
  </si>
  <si>
    <t>GenStart</t>
  </si>
  <si>
    <t>Generic LogiP(t)</t>
  </si>
  <si>
    <t>Generic Sq Err</t>
  </si>
  <si>
    <t>Generic LogiP(t) Per Capita</t>
  </si>
  <si>
    <t>CtryAbbrev</t>
  </si>
  <si>
    <t>=myData!$AE$8</t>
  </si>
  <si>
    <t>=myData!$CB$11</t>
  </si>
  <si>
    <t>betaGeneric</t>
  </si>
  <si>
    <t>myData!betaGeneric</t>
  </si>
  <si>
    <t>betaPodeltaGeneric</t>
  </si>
  <si>
    <t>myData!betaPodeltaGeneric</t>
  </si>
  <si>
    <t>=myData!$CG$19</t>
  </si>
  <si>
    <t>betaPodeltaSingapore</t>
  </si>
  <si>
    <t>myData!betaPodeltaSingapore</t>
  </si>
  <si>
    <t>=myData!$CG$18</t>
  </si>
  <si>
    <t>betaPodeltaTests</t>
  </si>
  <si>
    <t>myData!betaPodeltaTests</t>
  </si>
  <si>
    <t>=myData!$CG$20</t>
  </si>
  <si>
    <t>betaSingapore</t>
  </si>
  <si>
    <t>myData!betaSingapore</t>
  </si>
  <si>
    <t>=solvMsgs!$E$1:$G$10</t>
  </si>
  <si>
    <t>=myData!$CC$11</t>
  </si>
  <si>
    <t>=myData!$CC$15</t>
  </si>
  <si>
    <t>deltaGeneric</t>
  </si>
  <si>
    <t>myData!deltaGeneric</t>
  </si>
  <si>
    <t>=myData!$CC$19</t>
  </si>
  <si>
    <t>=myData!$CC$13</t>
  </si>
  <si>
    <t>=myData!$CC$12</t>
  </si>
  <si>
    <t>deltaSingapore</t>
  </si>
  <si>
    <t>myData!deltaSingapore</t>
  </si>
  <si>
    <t>=myData!$CC$18</t>
  </si>
  <si>
    <t>=myData!$CC$16</t>
  </si>
  <si>
    <t>=myData!$CC$17</t>
  </si>
  <si>
    <t>=myData!$CC$14</t>
  </si>
  <si>
    <t>myData!GenCountry</t>
  </si>
  <si>
    <t>=myData!$Y$2</t>
  </si>
  <si>
    <t>GenericPop</t>
  </si>
  <si>
    <t>myData!GenericPop</t>
  </si>
  <si>
    <t>=myData!$BL$8</t>
  </si>
  <si>
    <t>myData!GenName</t>
  </si>
  <si>
    <t>=myData!$AA$2</t>
  </si>
  <si>
    <t>GenPop</t>
  </si>
  <si>
    <t>myData!GenPop</t>
  </si>
  <si>
    <t>=myData!$Z$8</t>
  </si>
  <si>
    <t>myData!GenStart</t>
  </si>
  <si>
    <t>=myData!$AB$2</t>
  </si>
  <si>
    <t>myData!GenState</t>
  </si>
  <si>
    <t>=myData!$Z$2</t>
  </si>
  <si>
    <t>=myData!$CF$11</t>
  </si>
  <si>
    <t>=myData!$CF$15</t>
  </si>
  <si>
    <t>msqGeneric</t>
  </si>
  <si>
    <t>myData!msqGeneric</t>
  </si>
  <si>
    <t>=myData!$CF$19</t>
  </si>
  <si>
    <t>=myData!$CF$13</t>
  </si>
  <si>
    <t>=myData!$CF$12</t>
  </si>
  <si>
    <t>msqSingapore</t>
  </si>
  <si>
    <t>myData!msqSingapore</t>
  </si>
  <si>
    <t>=myData!$CF$18</t>
  </si>
  <si>
    <t>=myData!$CF$16</t>
  </si>
  <si>
    <t>=myData!$CF$20</t>
  </si>
  <si>
    <t>=myData!$CF$17</t>
  </si>
  <si>
    <t>=myData!$CF$14</t>
  </si>
  <si>
    <t>=myData!$CD$11</t>
  </si>
  <si>
    <t>=myData!$CD$15</t>
  </si>
  <si>
    <t>PoGeneric</t>
  </si>
  <si>
    <t>myData!PoGeneric</t>
  </si>
  <si>
    <t>=myData!$CD$19</t>
  </si>
  <si>
    <t>=myData!$CD$13</t>
  </si>
  <si>
    <t>=myData!$CD$12</t>
  </si>
  <si>
    <t>PoSingapore</t>
  </si>
  <si>
    <t>myData!PoSingapore</t>
  </si>
  <si>
    <t>=myData!$CD$18</t>
  </si>
  <si>
    <t>=myData!$CD$16</t>
  </si>
  <si>
    <t>=myData!$CD$20</t>
  </si>
  <si>
    <t>=myData!$CD$17</t>
  </si>
  <si>
    <t>=myData!$CD$14</t>
  </si>
  <si>
    <t>=OFFSET(myData!RunTableTL,0,0,COUNTA(myData!$BU:$BU),COLUMN(myData!RunTableTR)-COLUMN(myData!RunTableTL)+1)</t>
  </si>
  <si>
    <t>SingaporeCases</t>
  </si>
  <si>
    <t>myData!SingaporeCases</t>
  </si>
  <si>
    <t>=OFFSET(tblData[[#Headers],[Singapore Cases Per Capita]],MATCH(0,tblData[Singapore Cases Per Capita],0)+1,0,COUNTA(tblData[Singapore Cases Per Capita])-1,1)</t>
  </si>
  <si>
    <t>SingaporeDates</t>
  </si>
  <si>
    <t>myData!SingaporeDates</t>
  </si>
  <si>
    <t>=OFFSET(tblData[[#Headers],[Date]],MATCH(0,tblData[Singapore],0)+1,0,COUNTA(tblData[Singapore])-1,1)</t>
  </si>
  <si>
    <t>SingaporeLogi</t>
  </si>
  <si>
    <t>myData!SingaporeLogi</t>
  </si>
  <si>
    <t>SingaporeLogiDates</t>
  </si>
  <si>
    <t>myData!SingaporeLogiDates</t>
  </si>
  <si>
    <t>SingaporePop</t>
  </si>
  <si>
    <t>myData!SingaporePop</t>
  </si>
  <si>
    <t>=myData!$X$8</t>
  </si>
  <si>
    <t>SingaporeSeries</t>
  </si>
  <si>
    <t>myData!SingaporeSeries</t>
  </si>
  <si>
    <t>SingaporeStart</t>
  </si>
  <si>
    <t>myData!SingaporeStart</t>
  </si>
  <si>
    <t>StartDt2Singapore</t>
  </si>
  <si>
    <t>myData!StartDt2Singapore</t>
  </si>
  <si>
    <t>TestsPop</t>
  </si>
  <si>
    <t>myData!TestsPop</t>
  </si>
  <si>
    <t>=myData!$BS$8</t>
  </si>
  <si>
    <t>TitleCases</t>
  </si>
  <si>
    <t>myData!TitleCases</t>
  </si>
  <si>
    <t>SumStates</t>
  </si>
  <si>
    <t>MinLoadingDate</t>
  </si>
  <si>
    <t>GenMatch</t>
  </si>
  <si>
    <t>Bahamas</t>
  </si>
  <si>
    <t>Gambia</t>
  </si>
  <si>
    <t>Belize</t>
  </si>
  <si>
    <t>Recovered</t>
  </si>
  <si>
    <t>Laos</t>
  </si>
  <si>
    <t>Libya</t>
  </si>
  <si>
    <t>NSW Test Per Capita</t>
  </si>
  <si>
    <t>NSW Cases Logest</t>
  </si>
  <si>
    <t>SortOrder</t>
  </si>
  <si>
    <t>At Wed 25-Mar NSW 1274 cases per 10M was 16 days behind Italy, 2 days behind USA &amp; -3 days behind China, 19 days behind South Korea, 0 days behind UK</t>
  </si>
  <si>
    <t>At Wed 25-Mar Australia 956 cases per 10M was 18 days behind Italy, 3 days behind USA &amp; -3 days behind China, 22 days behind South Korea, 2 days behind UK</t>
  </si>
  <si>
    <t>9.57 k</t>
  </si>
  <si>
    <t>3.77 k</t>
  </si>
  <si>
    <t xml:space="preserve">b=0.239, d=2.50E-05, P0=.002 Limit=3.77 k=&gt;9.57 k cases </t>
  </si>
  <si>
    <t>Australia Limit 3.77 k</t>
  </si>
  <si>
    <t>COVID19 Australia P(t) = b / {d+[( b/Po - d ) ]* exp(-b*t)}
b=0.239, d=2.50E-05, P0=.002 Limit=3.77 k=&gt;9.57 k cases 
 25-Mar, Cases per 10 M population</t>
  </si>
  <si>
    <t>72.2 k</t>
  </si>
  <si>
    <t>11.9 k</t>
  </si>
  <si>
    <t xml:space="preserve">b=0.258, d=3.58E-06, P0=.442 Limit=11.9 k=&gt;72.2 k cases </t>
  </si>
  <si>
    <t>Italy Limit 11.9 k</t>
  </si>
  <si>
    <t>COVID19 Italy P(t) = b / {d+[( b/Po - d ) ]* exp(-b*t)}
b=0.258, d=3.58E-06, P0=.442 Limit=11.9 k=&gt;72.2 k cases 
 24-Mar, Cases per 10 M population</t>
  </si>
  <si>
    <t>8.61 k</t>
  </si>
  <si>
    <t>1.67 k</t>
  </si>
  <si>
    <t xml:space="preserve">b=0.3, d=3.49E-05, P0=219.422 Limit=1.67 k=&gt;8.61 k cases , log fit from 19th Feb </t>
  </si>
  <si>
    <t>Skorea Limit 1.67 k fr 19th Feb</t>
  </si>
  <si>
    <t>COVID19 Skorea P(t) = b / {d+[( b/Po - d ) ]* exp(-b*t)}
b=0.3, d=3.49E-05, P0=219.422 Limit=1.67 k=&gt;8.61 k cases , log fit from 19th Feb 
 25-Mar, Cases per 10 M population</t>
  </si>
  <si>
    <t>64.5 k</t>
  </si>
  <si>
    <t>9.71 k</t>
  </si>
  <si>
    <t xml:space="preserve">b=0.236, d=3.66E-06, P0=.03 Limit=9.71 k=&gt;64.5 k cases </t>
  </si>
  <si>
    <t>UK Limit 9.71 k</t>
  </si>
  <si>
    <t>COVID19 UK P(t) = b / {d+[( b/Po - d ) ]* exp(-b*t)}
b=0.236, d=3.66E-06, P0=.03 Limit=9.71 k=&gt;64.5 k cases 
 24-Mar, Cases per 10 M population</t>
  </si>
  <si>
    <t>At Wed 25-Mar Australia 958 cases per 10M was 18 days behind Italy, 3 days behind USA &amp; -3 days behind China, 22 days behind South Korea, 2 days behind UK</t>
  </si>
  <si>
    <t>9.70 k</t>
  </si>
  <si>
    <t>3.83 k</t>
  </si>
  <si>
    <t xml:space="preserve">b=0.239, d=2.47E-05, P0=.002 Limit=3.83 k=&gt;9.70 k cases </t>
  </si>
  <si>
    <t>Australia Limit 3.83 k</t>
  </si>
  <si>
    <t>COVID19 Australia P(t) = b / {d+[( b/Po - d ) ]* exp(-b*t)}
b=0.239, d=2.47E-05, P0=.002 Limit=3.83 k=&gt;9.70 k cases 
 25-Mar, Cases per 10 M population</t>
  </si>
  <si>
    <t>200 G</t>
  </si>
  <si>
    <t>247 G</t>
  </si>
  <si>
    <t xml:space="preserve">b=0.2, d=1.00E-12, P0=.006 Limit=247 G=&gt;200 G cases </t>
  </si>
  <si>
    <t>NSW Limit 247 G</t>
  </si>
  <si>
    <t>COVID19 NSW P(t) = b / {d+[( b/Po - d ) ]* exp(-b*t)}
b=0.2, d=1.00E-12, P0=.006 Limit=247 G=&gt;200 G cases 
 25-Mar, Cases per 10 M population</t>
  </si>
  <si>
    <t>At Wed 25-Mar Australia 958 cases per 10M was 18 days behind Italy, 3 days behind USA &amp; -2 days behind China, 22 days behind South Korea, 2 days behind UK</t>
  </si>
  <si>
    <t>13.7 k</t>
  </si>
  <si>
    <t>5.41 k</t>
  </si>
  <si>
    <t xml:space="preserve">b=0.23, d=1.68E-05, P0=.003 Limit=5.41 k=&gt;13.7 k cases </t>
  </si>
  <si>
    <t>Australia Limit 5.41 k</t>
  </si>
  <si>
    <t>COVID19 Australia P(t) = b / {d+[( b/Po - d ) ]* exp(-b*t)}
b=0.23, d=1.68E-05, P0=.003 Limit=5.41 k=&gt;13.7 k cases 
 25-Mar, Cases per 10 M population</t>
  </si>
  <si>
    <t>SummaryWords</t>
  </si>
  <si>
    <t>Predic 1 week</t>
  </si>
  <si>
    <t>GrowthInNextWeek</t>
  </si>
  <si>
    <t>At Wed 25-Mar Australia 958 cases per 10M was 18 days behind Italy, 3 days behind USA &amp; -2 days behind China, 22 days behind South Korea, 2 days behind UK
At Wed 25-Mar NSW 1274 cases per 10M was 16 days behind Italy, 2 days behind USA &amp; -3 days behind China, 19 days behind South Korea, 0 days behind UK</t>
  </si>
  <si>
    <t>187 k</t>
  </si>
  <si>
    <t>5.69 k</t>
  </si>
  <si>
    <t xml:space="preserve">b=0.277, d=1.48E-06, P0=.002 Limit=5.69 k=&gt;187 k cases </t>
  </si>
  <si>
    <t>USA Limit 5.69 k</t>
  </si>
  <si>
    <t>COVID19 USA P(t) = b / {d+[( b/Po - d ) ]* exp(-b*t)}
b=0.277, d=1.48E-06, P0=.002 Limit=5.69 k=&gt;187 k cases 
 24-Mar, Cases per 10 M population</t>
  </si>
  <si>
    <t>76.1 k</t>
  </si>
  <si>
    <t>12.6 k</t>
  </si>
  <si>
    <t xml:space="preserve">b=0.258, d=3.39E-06, P0=.442 Limit=12.6 k=&gt;76.1 k cases </t>
  </si>
  <si>
    <t>Italy Limit 12.6 k</t>
  </si>
  <si>
    <t>COVID19 Italy P(t) = b / {d+[( b/Po - d ) ]* exp(-b*t)}
b=0.258, d=3.39E-06, P0=.442 Limit=12.6 k=&gt;76.1 k cases 
 25-Mar, Cases per 10 M population</t>
  </si>
  <si>
    <t>USA GDP 2019</t>
  </si>
  <si>
    <t>$21,427,100 million</t>
  </si>
  <si>
    <t>GDP</t>
  </si>
  <si>
    <t>Bailout</t>
  </si>
  <si>
    <t>At Thu 26-Mar Australia 1055 cases per 10M was 18 days behind Italy, 3 days behind USA &amp; -4 days behind China, 22 days behind South Korea, 2 days behind UK</t>
  </si>
  <si>
    <t>6.25 k</t>
  </si>
  <si>
    <t>2.46 k</t>
  </si>
  <si>
    <t xml:space="preserve">b=0.253, d=4.04E-05, P0=.001 Limit=2.46 k=&gt;6.25 k cases </t>
  </si>
  <si>
    <t>Australia Limit 2.46 k</t>
  </si>
  <si>
    <t>COVID19 Australia P(t) = b / {d+[( b/Po - d ) ]* exp(-b*t)}
b=0.253, d=4.04E-05, P0=.001 Limit=2.46 k=&gt;6.25 k cases 
 26-Mar, Cases per 10 M population</t>
  </si>
  <si>
    <t>At Thu 26-Mar NSW 1509 cases per 10M was 17 days behind Italy, 2 days behind USA &amp; -4 days behind China, 15 days behind South Korea, -1 days behind UK</t>
  </si>
  <si>
    <t>MSQ per MaxCasesPerCapita</t>
  </si>
  <si>
    <t>Tests LogEst M</t>
  </si>
  <si>
    <t>B</t>
  </si>
  <si>
    <t>y=BxM^x</t>
  </si>
  <si>
    <t>NSW Test LOGEST</t>
  </si>
  <si>
    <t>y=BxExp(Ln(M))</t>
  </si>
  <si>
    <t>x</t>
  </si>
  <si>
    <t>Test LOGEST Sq Err</t>
  </si>
  <si>
    <t>Tests Logest Mean Sq Err</t>
  </si>
  <si>
    <t>At Thu 26-Mar Australia 1106 cases per 10M was 18 days behind Italy, 3 days behind USA &amp; -4 days behind China, 21 days behind South Korea, 2 days behind UK</t>
  </si>
  <si>
    <t>7.04 k</t>
  </si>
  <si>
    <t>2.77 k</t>
  </si>
  <si>
    <t xml:space="preserve">b=0.252, d=3.58E-05, P0=.001 Limit=2.77 k=&gt;7.04 k cases </t>
  </si>
  <si>
    <t>Australia Limit 2.77 k</t>
  </si>
  <si>
    <t>COVID19 Australia P(t) = b / {d+[( b/Po - d ) ]* exp(-b*t)}
b=0.252, d=3.58E-05, P0=.001 Limit=2.77 k=&gt;7.04 k cases 
 26-Mar, Cases per 10 M population</t>
  </si>
  <si>
    <t>9.60 k</t>
  </si>
  <si>
    <t xml:space="preserve">b=0.209, d=2.17E-05, P0=.004 Limit=11.9 k=&gt;9.60 k cases </t>
  </si>
  <si>
    <t>NSW Limit 11.9 k</t>
  </si>
  <si>
    <t>COVID19 NSW P(t) = b / {d+[( b/Po - d ) ]* exp(-b*t)}
b=0.209, d=2.17E-05, P0=.004 Limit=11.9 k=&gt;9.60 k cases 
 26-Mar, Cases per 10 M population</t>
  </si>
  <si>
    <t>COVID19 USA P(t) = b / {d+[( b/Po - d ) ]* exp(-b*t)}
b=0.277, d=1.48E-06, P0=.002 Limit=5.69 k=&gt;187 k cases 
 25-Mar, Cases per 10 M population</t>
  </si>
  <si>
    <t>At Thu 26-Mar Australia 1106 cases per 10M was 18 days behind Italy, 3 days behind USA &amp; -4 days behind China, 21 days behind South Korea, 2 days behind UK
At Thu 26-Mar NSW 1509 cases per 10M was 17 days behind Italy, 2 days behind USA &amp; -4 days behind China, 15 days behind South Korea, -1 days behind UK</t>
  </si>
  <si>
    <t>COVID19 China P(t) = b / {d+[( b/Po - d ) ]* exp(-b*t)}
b=0.222, d=2.74E-06, P0=1537.649 Limit=563  =&gt;81.0 k cases 
 25-Mar, Cases per 10 M population</t>
  </si>
  <si>
    <t>22.0 k</t>
  </si>
  <si>
    <t>3.32 k</t>
  </si>
  <si>
    <t xml:space="preserve">b=0.237, d=1.08E-05, P0=.032 Limit=3.32 k=&gt;22.0 k cases </t>
  </si>
  <si>
    <t>UK Limit 3.32 k</t>
  </si>
  <si>
    <t>COVID19 UK P(t) = b / {d+[( b/Po - d ) ]* exp(-b*t)}
b=0.237, d=1.08E-05, P0=.032 Limit=3.32 k=&gt;22.0 k cases 
 25-Mar, Cases per 10 M population</t>
  </si>
  <si>
    <t>West Bank and Gaza</t>
  </si>
  <si>
    <t>Guinea-Bissau</t>
  </si>
  <si>
    <t>Mali</t>
  </si>
  <si>
    <t>Saint Kitts and Nevis</t>
  </si>
  <si>
    <t>Northwest Territories</t>
  </si>
  <si>
    <t>Yukon</t>
  </si>
  <si>
    <t>Kosovo</t>
  </si>
  <si>
    <t>Skorea Limit 1.70 k fr 19th Feb</t>
  </si>
  <si>
    <t>LogistStartSave</t>
  </si>
  <si>
    <t>Logistic Start Method</t>
  </si>
  <si>
    <t>Parameter</t>
  </si>
  <si>
    <t>Last n Days</t>
  </si>
  <si>
    <t>chtTests</t>
  </si>
  <si>
    <t>NSW Tests</t>
  </si>
  <si>
    <t>SERIES("NSW Tests",myData!TestsDates,myData!TestsCases,1)</t>
  </si>
  <si>
    <t>SERIES(myData!$BT$7,myData!TestsLogiDates,myData!TestsLogi,2)</t>
  </si>
  <si>
    <t>SERIES(myData!TestsLogestLabel,myData!TestsLogiDates,myData!TestsLOGEST,3)</t>
  </si>
  <si>
    <t>chtAsymptoteNSW (2)</t>
  </si>
  <si>
    <t>Italy Asymptote</t>
  </si>
  <si>
    <t>Logistic Equation Asymptote v's Date</t>
  </si>
  <si>
    <t>chtFutureItalyEarly (2)</t>
  </si>
  <si>
    <t>SERIES(myData!ItalySeries,myData!ItalyLogiDates,myData!ItalyLogi,2)</t>
  </si>
  <si>
    <t>chtFutureSKoreaLS</t>
  </si>
  <si>
    <t>Skorea Confirmed Cases</t>
  </si>
  <si>
    <t>SERIES("Skorea Confirmed Cases",myData!SKoreaDates,myData!SKoreaCases,1)</t>
  </si>
  <si>
    <t>SERIES(myData!SKoreaSeries,myData!SKoreaLogiDates,myData!SKoreaLogi,2)</t>
  </si>
  <si>
    <t>chtFutureItalyLS</t>
  </si>
  <si>
    <t>chtFutureChinaLS</t>
  </si>
  <si>
    <t>chtAllcases</t>
  </si>
  <si>
    <t>Au Cases</t>
  </si>
  <si>
    <t>SERIES("Au Cases",myData!AuDates,myData!AuCases,1)</t>
  </si>
  <si>
    <t>SERIES("NSW",myData!NSWDates,myData!NSWCases,2)</t>
  </si>
  <si>
    <t>SERIES("Italy",myData!ItalyDates,myData!ItalyCases,3)</t>
  </si>
  <si>
    <t>SERIES("SKorea",myData!SKoreaDates,myData!SKoreaCases,4)</t>
  </si>
  <si>
    <t>UK Cases</t>
  </si>
  <si>
    <t>SERIES("UK Cases",myData!UKDates,myData!UKCases,5)</t>
  </si>
  <si>
    <t xml:space="preserve">Italy </t>
  </si>
  <si>
    <t>SERIES("Italy ",myData!ItalyDates,myData!ItalyCases,6)</t>
  </si>
  <si>
    <t>SERIES("China Cases",myData!ChinaDates,myData!ChinaCases,7)</t>
  </si>
  <si>
    <t>SERIES("US",myData!USDates,myData!USCases,8)</t>
  </si>
  <si>
    <t>Chinese NY +14 days</t>
  </si>
  <si>
    <t>Au Cases, NSW, Italy, SKorea, UK Cases, Italy , China Cases, US, Chinese New Year, Chinese NY +14 days</t>
  </si>
  <si>
    <t>chtAsymptoteNSW</t>
  </si>
  <si>
    <t>NSW Asymptote</t>
  </si>
  <si>
    <t>chtFutureAllSK2</t>
  </si>
  <si>
    <t>SKorea Confirmed Cases</t>
  </si>
  <si>
    <t>SERIES("SKorea Confirmed Cases",myData!SKoreaDates,myData!SKoreaCases,5)</t>
  </si>
  <si>
    <t>SERIES(myData!SKoreaSeries,myData!SKoreaLogiDates,myData!SKoreaLogi,6)</t>
  </si>
  <si>
    <t>SERIES("Au Cases",myData!AuDates,myData!AuCases,7)</t>
  </si>
  <si>
    <t>SERIES(myData!AuSeries,myData!AuLogiDates,myData!AuLogi,8)</t>
  </si>
  <si>
    <t>SERIES("UK Cases",myData!UKDates,myData!UKCases,9)</t>
  </si>
  <si>
    <t>SERIES(myData!UKSeries,myData!UKLogiDates,myData!UKLogi,10)</t>
  </si>
  <si>
    <t>Au Confirmed Cases</t>
  </si>
  <si>
    <t>SERIES("Au Confirmed Cases",myData!AuDates,myData!AuCases,3)</t>
  </si>
  <si>
    <t>SERIES(myData!AuSeries,myData!AuLogiDates,myData!AuLogi,4)</t>
  </si>
  <si>
    <t>Singapore Cases</t>
  </si>
  <si>
    <t>SERIES("Singapore Cases",myData!SingaporeDates,myData!SingaporeCases,5)</t>
  </si>
  <si>
    <t>SERIES(myData!SingaporeSeries,myData!SingaporeLogiDates,myData!SingaporeLogi,6)</t>
  </si>
  <si>
    <t>chtFutureUK</t>
  </si>
  <si>
    <t>UK Confirmed Cases</t>
  </si>
  <si>
    <t>SERIES("UK Confirmed Cases",myData!UKDates,myData!UKCases,1)</t>
  </si>
  <si>
    <t>SERIES(myData!UKSeries,myData!UKLogiDates,myData!UKLogi,2)</t>
  </si>
  <si>
    <t>chtFutureSKorea</t>
  </si>
  <si>
    <t>chtFutureNSWUS</t>
  </si>
  <si>
    <t>SERIES("US Confirmed Cases",myData!USDates,myData!USCases,3)</t>
  </si>
  <si>
    <t>SERIES(myData!USSeries,myData!USLogiDates,myData!USLogi,4)</t>
  </si>
  <si>
    <t>Pop Limit</t>
  </si>
  <si>
    <t>NSW Population</t>
  </si>
  <si>
    <t>chtFutureAU</t>
  </si>
  <si>
    <t>SERIES("Au Confirmed Cases",myData!AuDates,myData!AuCases,1)</t>
  </si>
  <si>
    <t>SERIES(myData!AuSeries,myData!AuLogiDates,myData!AuLogi,2)</t>
  </si>
  <si>
    <t>chtFutureAllAU</t>
  </si>
  <si>
    <t>SERIES(myData!ChinaSeries,myData!ChinaLogiDates,myData!ChinaLogi,8)</t>
  </si>
  <si>
    <t>SERIES("Au Cases",myData!AuDates,myData!AuCases,9)</t>
  </si>
  <si>
    <t>SERIES(myData!AuSeries,myData!AuLogiDates,myData!AuLogi,10)</t>
  </si>
  <si>
    <t>Days Back Limit</t>
  </si>
  <si>
    <t>="COVID19  NSW Tests" &amp;LogFormula&amp;CHAR(10)&amp;CT19&amp;CHAR(10)&amp;TEXT(CR19," dd-mmm")</t>
  </si>
  <si>
    <t>COVID19  NSW TestsP(t) = b / {d+[( b/Po - d ) ]* exp(-b*t)}
b=0.202, d=1.88E-06, P0=3093.029 Limit = =&gt;108 k cases 
 (Fit: Fri 06-Mar - Fri 27-Mar)</t>
  </si>
  <si>
    <t>At Fri 27-Mar NSW 1739 cases per 10M was 16 days behind Italy, 2 days behind USA &amp; -5 days behind China, 5 days behind South Korea, 1 days behind UK</t>
  </si>
  <si>
    <t>At Fri 27-Mar Australia 1249 cases per 10M was 18 days behind Italy, 4 days behind USA &amp; -5 days behind China, 21 days behind South Korea, 2 days behind UK</t>
  </si>
  <si>
    <t>=myData!$CY$11</t>
  </si>
  <si>
    <t>=myData!$CV$11</t>
  </si>
  <si>
    <t>AuStart</t>
  </si>
  <si>
    <t>myData!AuStart</t>
  </si>
  <si>
    <t>=myData!$CK$11</t>
  </si>
  <si>
    <t>=myData!$CK$15</t>
  </si>
  <si>
    <t>=myData!$CK$20</t>
  </si>
  <si>
    <t>=myData!$CK$13</t>
  </si>
  <si>
    <t>=myData!$CK$12</t>
  </si>
  <si>
    <t>=myData!$CK$18</t>
  </si>
  <si>
    <t>=myData!$CK$16</t>
  </si>
  <si>
    <t>=myData!$CK$19</t>
  </si>
  <si>
    <t>=myData!$CK$17</t>
  </si>
  <si>
    <t>=myData!$CK$14</t>
  </si>
  <si>
    <t>=myData!$CV$15</t>
  </si>
  <si>
    <t>ChinaStart</t>
  </si>
  <si>
    <t>myData!ChinaStart</t>
  </si>
  <si>
    <t>DaysBack</t>
  </si>
  <si>
    <t>solvMsgs</t>
  </si>
  <si>
    <t>solvMsgs!DaysBack</t>
  </si>
  <si>
    <t>=solvMsgs!$X$4</t>
  </si>
  <si>
    <t>GenericCases</t>
  </si>
  <si>
    <t>myData!GenericCases</t>
  </si>
  <si>
    <t>=OFFSET(tblData[[#Headers],[Generic Cases Per Capita]],MATCH(0,tblData[Generic Cases Per Capita],0)+1,0,COUNTA(tblData[Generic Cases Per Capita])-1,1)</t>
  </si>
  <si>
    <t>GenericDates</t>
  </si>
  <si>
    <t>myData!GenericDates</t>
  </si>
  <si>
    <t>=OFFSET(tblData[[#Headers],[Date]],MATCH(0,tblData[Generic],0)+1,0,COUNTA(tblData[Generic])-1,1)</t>
  </si>
  <si>
    <t>GenericLogiDates</t>
  </si>
  <si>
    <t>myData!GenericLogiDates</t>
  </si>
  <si>
    <t>myData!GenMatch</t>
  </si>
  <si>
    <t>=OFFSET(myData!HisTableTL,COUNTA(myData!HisTableCol1All)-1,0,1,1)</t>
  </si>
  <si>
    <t>HisTableCol1</t>
  </si>
  <si>
    <t>myData!HisTableCol1</t>
  </si>
  <si>
    <t>=OFFSET(myData!HisTableTL,1,0,COUNTA(myData!HisTableCol1All)-1,1)</t>
  </si>
  <si>
    <t>HisTableCol1All</t>
  </si>
  <si>
    <t>myData!HisTableCol1All</t>
  </si>
  <si>
    <t>=myData!$DY:$DY</t>
  </si>
  <si>
    <t>HisTableItalyDates</t>
  </si>
  <si>
    <t>myData!HisTableItalyDates</t>
  </si>
  <si>
    <t>=OFFSET(myData!HisTableTL,MATCH("Italy",myData!HisTableCol1,0),12,MATCH("USA",myData!HisTableCol1,0)-MATCH("Italy",myData!HisTableCol1,0),1)</t>
  </si>
  <si>
    <t>HisTableItalyLimit</t>
  </si>
  <si>
    <t>myData!HisTableItalyLimit</t>
  </si>
  <si>
    <t>=OFFSET(myData!HisTableItalyDates,0,-4)</t>
  </si>
  <si>
    <t>HisTableNSWDates</t>
  </si>
  <si>
    <t>myData!HisTableNSWDates</t>
  </si>
  <si>
    <t>=OFFSET(myData!HisTableTL,MATCH("NSW",myData!HisTableCol1,0),12,MATCH("Italy",myData!HisTableCol1,0)-MATCH("NSW",myData!HisTableCol1,0),1)</t>
  </si>
  <si>
    <t>HisTableNSWLimit</t>
  </si>
  <si>
    <t>myData!HisTableNSWLimit</t>
  </si>
  <si>
    <t>=OFFSET(myData!HisTableNSWDates,0,-4)</t>
  </si>
  <si>
    <t>=myData!$DY$10</t>
  </si>
  <si>
    <t>=myData!$CV$13</t>
  </si>
  <si>
    <t>LastNDays</t>
  </si>
  <si>
    <t>solvMsgs!LastNDays</t>
  </si>
  <si>
    <t>=solvMsgs!$X$3</t>
  </si>
  <si>
    <t>=myData!$FG$2</t>
  </si>
  <si>
    <t>=myData!$FF$2</t>
  </si>
  <si>
    <t>=myData!$DG$4</t>
  </si>
  <si>
    <t>=myData!$CP$11</t>
  </si>
  <si>
    <t>=myData!$CP$12</t>
  </si>
  <si>
    <t>=myData!$CJ$11</t>
  </si>
  <si>
    <t>=myData!$CJ$15</t>
  </si>
  <si>
    <t>=myData!$CJ$20</t>
  </si>
  <si>
    <t>=myData!$CJ$13</t>
  </si>
  <si>
    <t>=myData!$CJ$12</t>
  </si>
  <si>
    <t>=myData!$CJ$18</t>
  </si>
  <si>
    <t>=myData!$CJ$16</t>
  </si>
  <si>
    <t>=myData!$CJ$19</t>
  </si>
  <si>
    <t>=myData!$CJ$17</t>
  </si>
  <si>
    <t>=myData!$CJ$14</t>
  </si>
  <si>
    <t>=myData!$CY$12</t>
  </si>
  <si>
    <t>=myData!$CV$12</t>
  </si>
  <si>
    <t>nswstart</t>
  </si>
  <si>
    <t>myData!nswstart</t>
  </si>
  <si>
    <t>=myData!$CH$11</t>
  </si>
  <si>
    <t>=myData!$CH$15</t>
  </si>
  <si>
    <t>=myData!$CH$20</t>
  </si>
  <si>
    <t>=myData!$CH$13</t>
  </si>
  <si>
    <t>=myData!$CH$12</t>
  </si>
  <si>
    <t>=myData!$CH$18</t>
  </si>
  <si>
    <t>=myData!$CH$16</t>
  </si>
  <si>
    <t>=myData!$CH$19</t>
  </si>
  <si>
    <t>=myData!$CH$17</t>
  </si>
  <si>
    <t>=myData!$CH$14</t>
  </si>
  <si>
    <t>=myData!$CA$10</t>
  </si>
  <si>
    <t>=myData!$DC$10</t>
  </si>
  <si>
    <t>=myData!$CV$18</t>
  </si>
  <si>
    <t>=OFFSET(tblData[[#Headers],[SKorea Cases Per Capita]],2,0,COUNT(tblData[SKorea Cases Per Capita])-1,1)</t>
  </si>
  <si>
    <t>=OFFSET(tblData[[#Headers],[Date]],2,0,COUNTA(tblData[SKorea])-1,1)</t>
  </si>
  <si>
    <t>=myData!$CV$16</t>
  </si>
  <si>
    <t>StartDt2Generic</t>
  </si>
  <si>
    <t>myData!StartDt2Generic</t>
  </si>
  <si>
    <t>StartMethod</t>
  </si>
  <si>
    <t>solvMsgs!StartMethod</t>
  </si>
  <si>
    <t>=solvMsgs!$X$2</t>
  </si>
  <si>
    <t>tableGeneric</t>
  </si>
  <si>
    <t>myData!tableGeneric</t>
  </si>
  <si>
    <t>=myData!$Y$1:$AB$2</t>
  </si>
  <si>
    <t>TestsCases</t>
  </si>
  <si>
    <t>myData!TestsCases</t>
  </si>
  <si>
    <t>=OFFSET(tblData[[#Headers],[Tests]],MATCH(0,tblData[Tests],0)+1,0,COUNT(tblData[Tests])-1,1)</t>
  </si>
  <si>
    <t>TestsDates</t>
  </si>
  <si>
    <t>myData!TestsDates</t>
  </si>
  <si>
    <t>=OFFSET(tblData[[#Headers],[Date]],MATCH(0,tblData[Tests],0)+1,0,COUNT(tblData[Tests])-1,1)</t>
  </si>
  <si>
    <t>TestsDayNo</t>
  </si>
  <si>
    <t>myData!TestsDayNo</t>
  </si>
  <si>
    <t>=OFFSET(tblData[[#Headers],[NSW Test Day Number]],MATCH(0,tblData[Tests],0)+1,0,COUNT(tblData[Tests])-1,1)</t>
  </si>
  <si>
    <t>TestsLOGEST</t>
  </si>
  <si>
    <t>myData!TestsLOGEST</t>
  </si>
  <si>
    <t>=OFFSET(tblData[[#Headers],[NSW Test LOGEST]],MATCH(0,tblData[Tests],0)+1,0,COUNTA(tblData[Date])-MATCH(0,tblData[Tests],0),1)</t>
  </si>
  <si>
    <t>TestsLogestB</t>
  </si>
  <si>
    <t>myData!TestsLogestB</t>
  </si>
  <si>
    <t>=myData!$BS$2</t>
  </si>
  <si>
    <t>TestsLogestDayNo</t>
  </si>
  <si>
    <t>myData!TestsLogestDayNo</t>
  </si>
  <si>
    <t>=OFFSET(tblData[[#Headers],[NSW Test Day Number]],MATCH(0,tblData[Tests],0)+1,0,COUNTA(tblData[Date])-MATCH(0,tblData[Tests],0),1)</t>
  </si>
  <si>
    <t>TestsLogestLabel</t>
  </si>
  <si>
    <t>myData!TestsLogestLabel</t>
  </si>
  <si>
    <t>=myData!$BT$6</t>
  </si>
  <si>
    <t>TestsLogestM</t>
  </si>
  <si>
    <t>myData!TestsLogestM</t>
  </si>
  <si>
    <t>=myData!$BR$2</t>
  </si>
  <si>
    <t>TestsLogestMsq</t>
  </si>
  <si>
    <t>myData!TestsLogestMsq</t>
  </si>
  <si>
    <t>=myData!$BU$8</t>
  </si>
  <si>
    <t>TestsLogi</t>
  </si>
  <si>
    <t>myData!TestsLogi</t>
  </si>
  <si>
    <t>=OFFSET(tblData[[#Headers],[NSW Test Logi]],MATCH(0,tblData[Tests],0)+1,0,COUNTA(tblData[Date])-MATCH(0,tblData[Tests],0),1)</t>
  </si>
  <si>
    <t>TestsLogiDates</t>
  </si>
  <si>
    <t>myData!TestsLogiDates</t>
  </si>
  <si>
    <t>=OFFSET(tblData[[#Headers],[Date]],MATCH(0,tblData[Tests],0)+1,0,COUNTA(tblData[Date])-MATCH(0,tblData[Tests],0),1)</t>
  </si>
  <si>
    <t>TestsStart</t>
  </si>
  <si>
    <t>myData!TestsStart</t>
  </si>
  <si>
    <t>=myData!$DG$8</t>
  </si>
  <si>
    <t>=myData!$DG$9</t>
  </si>
  <si>
    <t>=myData!$DG$7</t>
  </si>
  <si>
    <t>=myData!$CV$17</t>
  </si>
  <si>
    <t>=OFFSET(tblData[[#Headers],[US Cases Per Capita]],MATCH(1,tblData[US],0),0,COUNT(tblData[US]),1)</t>
  </si>
  <si>
    <t>=OFFSET(tblData[[#Headers],[Date]],MATCH(1,tblData[US],0),0,COUNT(tblData[US]),1)</t>
  </si>
  <si>
    <t>=OFFSET(tblData[[#Headers],[Days'# US]],MATCH(1,tblData[US],0)+1,0,COUNTA(tblData[US])-1,1)</t>
  </si>
  <si>
    <t>=OFFSET(tblData[[#Headers],[US LogiP(t) Per Capita]],MATCH(myData!StartDt2US,tblData[Date],0),0,COUNT(tblData[US LogiP(t) Per Capita]),1)</t>
  </si>
  <si>
    <t>=OFFSET(tblData[[#Headers],[Date]],MATCH(myData!StartDt2US,tblData[Date],0),0,COUNT(tblData[US LogiP(t) Per Capita]),1)</t>
  </si>
  <si>
    <t>=myData!$CV$14</t>
  </si>
  <si>
    <t>USStart</t>
  </si>
  <si>
    <t>myData!USStart</t>
  </si>
  <si>
    <t>4.69 k</t>
  </si>
  <si>
    <t>5.81 k</t>
  </si>
  <si>
    <t xml:space="preserve">b=0.225, d=4.79E-05, P0=85.614 Limit=5.81 k=&gt;4.69 k cases </t>
  </si>
  <si>
    <t>NSW Limit 5.81 k</t>
  </si>
  <si>
    <t>COVID19 NSW P(t) = b / {d+[( b/Po - d ) ]* exp(-b*t)}
b=0.225, d=4.79E-05, P0=85.614 Limit=5.81 k=&gt;4.69 k cases 
 (Fit: Fri 13-Mar - Fri 27-Mar), Cases per 10 M population</t>
  </si>
  <si>
    <t>5.21 k</t>
  </si>
  <si>
    <t>6.45 k</t>
  </si>
  <si>
    <t xml:space="preserve">b=0.22, d=4.22E-05, P0=19.271 Limit=6.45 k=&gt;5.21 k cases </t>
  </si>
  <si>
    <t>NSW Limit 6.45 k</t>
  </si>
  <si>
    <t>COVID19 NSW P(t) = b / {d+[( b/Po - d ) ]* exp(-b*t)}
b=0.22, d=4.22E-05, P0=19.271 Limit=6.45 k=&gt;5.21 k cases 
 (Fit: Fri 06-Mar - Fri 27-Mar), Cases per 10 M population</t>
  </si>
  <si>
    <t>190 G</t>
  </si>
  <si>
    <t>235 G</t>
  </si>
  <si>
    <t xml:space="preserve">b=0.19, d=1.00E-12, P0=.011 Limit=235 G=&gt;190 G cases </t>
  </si>
  <si>
    <t>NSW Limit 235 G</t>
  </si>
  <si>
    <t>COVID19 NSW P(t) = b / {d+[( b/Po - d ) ]* exp(-b*t)}
b=0.19, d=1.00E-12, P0=.011 Limit=235 G=&gt;190 G cases 
 (Fit: Sat 25-Jan - Fri 27-Mar), Cases per 10 M population</t>
  </si>
  <si>
    <t>188 G</t>
  </si>
  <si>
    <t>74.1 G</t>
  </si>
  <si>
    <t xml:space="preserve">b=0.188, d=1.00E-12, P0=.029 Limit=74.1 G=&gt;188 G cases </t>
  </si>
  <si>
    <t>Australia Limit 74.1 G</t>
  </si>
  <si>
    <t>COVID19 Australia P(t) = b / {d+[( b/Po - d ) ]* exp(-b*t)}
b=0.188, d=1.00E-12, P0=.029 Limit=74.1 G=&gt;188 G cases 
 (Fit: Sat 25-Jan - Fri 27-Mar), Cases per 10 M population</t>
  </si>
  <si>
    <t>Burma</t>
  </si>
  <si>
    <t>8.72 k</t>
  </si>
  <si>
    <t>1.70 k</t>
  </si>
  <si>
    <t>At Sat 28-Mar NSW 2001 cases per 10M was 17 days behind Italy, 2 days behind USA &amp; -6 days behind China, 0 days behind South Korea, 1 days behind UK</t>
  </si>
  <si>
    <t>319 k</t>
  </si>
  <si>
    <t>9.69 k</t>
  </si>
  <si>
    <t xml:space="preserve">b=0.285, d=8.94E-07, P0=.001 Limit=9.69 k=&gt;319 k cases </t>
  </si>
  <si>
    <t>USA Limit 9.69 k</t>
  </si>
  <si>
    <t>COVID19 USA P(t) = b / {d+[( b/Po - d ) ]* exp(-b*t)}
b=0.285, d=8.94E-07, P0=.001 Limit=9.69 k=&gt;319 k cases 
 (Fit: Tue 21-Jan - Fri 27-Mar), Cases per 10 M population</t>
  </si>
  <si>
    <t>48.7 k</t>
  </si>
  <si>
    <t>8.33 k</t>
  </si>
  <si>
    <t>Hubei Limit 8.33 k</t>
  </si>
  <si>
    <t>GetTrueBlank</t>
  </si>
  <si>
    <t>Change it to zero</t>
  </si>
  <si>
    <t>Formula with condition</t>
  </si>
  <si>
    <t>ISBLANK test</t>
  </si>
  <si>
    <t>79.3 G</t>
  </si>
  <si>
    <t>136 G</t>
  </si>
  <si>
    <t xml:space="preserve">b=0.079, d=1.00E-12, P0=4.359 Limit=136 G=&gt;47.5 G cases </t>
  </si>
  <si>
    <t>Singapore Limit 136 G</t>
  </si>
  <si>
    <t>COVID19 Singapore P(t) = b / {d+[( b/Po - d ) ]* exp(-b*t)}
b=0.079, d=1.00E-12, P0=4.359 Limit=136 G=&gt;47.5 G cases 
 (Fit: Thu 23-Jan - Fri 27-Mar), Cases per 10 M population</t>
  </si>
  <si>
    <t>At Sat 28-Mar Australia 1435 cases per 10M was 19 days behind Italy, 4 days behind USA &amp; -6 days behind China, 19 days behind South Korea, 3 days behind UK</t>
  </si>
  <si>
    <t>21.3 k</t>
  </si>
  <si>
    <t>8.39 k</t>
  </si>
  <si>
    <t xml:space="preserve">b=0.19, d=8.92E-06, P0=.029 Limit=8.39 k=&gt;21.3 k cases </t>
  </si>
  <si>
    <t>Australia Limit 8.39 k</t>
  </si>
  <si>
    <t>COVID19 Australia P(t) = b / {d+[( b/Po - d ) ]* exp(-b*t)}
b=0.19, d=8.92E-06, P0=.029 Limit=8.39 k=&gt;21.3 k cases 
 (Fit: Sat 25-Jan - Sat 28-Mar), Cases per 10 M population</t>
  </si>
  <si>
    <t>4.51 k</t>
  </si>
  <si>
    <t>5.58 k</t>
  </si>
  <si>
    <t xml:space="preserve">b=0.224, d=4.96E-05, P0=.002 Limit=5.58 k=&gt;4.51 k cases </t>
  </si>
  <si>
    <t>NSW Limit 5.58 k</t>
  </si>
  <si>
    <t>COVID19 NSW P(t) = b / {d+[( b/Po - d ) ]* exp(-b*t)}
b=0.224, d=4.96E-05, P0=.002 Limit=5.58 k=&gt;4.51 k cases 
 (Fit: Sat 25-Jan - Sat 28-Mar), Cases per 10 M population</t>
  </si>
  <si>
    <t>80.5 k</t>
  </si>
  <si>
    <t>13.3 k</t>
  </si>
  <si>
    <t xml:space="preserve">b=0.258, d=3.21E-06, P0=.443 Limit=13.3 k=&gt;80.5 k cases </t>
  </si>
  <si>
    <t>Italy Limit 13.3 k</t>
  </si>
  <si>
    <t>COVID19 Italy P(t) = b / {d+[( b/Po - d ) ]* exp(-b*t)}
b=0.258, d=3.21E-06, P0=.443 Limit=13.3 k=&gt;80.5 k cases 
 (Fit: Sat 22-Feb - Fri 27-Mar), Cases per 10 M population</t>
  </si>
  <si>
    <t>At Sat 28-Mar Australia 1435 cases per 10M was 19 days behind Italy, 4 days behind USA &amp; -6 days behind China, 19 days behind South Korea, 3 days behind UK
At Sat 28-Mar NSW 2001 cases per 10M was 17 days behind Italy, 2 days behind USA &amp; -6 days behind China, 0 days behind South Korea, 1 days behind UK</t>
  </si>
  <si>
    <t>66.6 k</t>
  </si>
  <si>
    <t xml:space="preserve">463  </t>
  </si>
  <si>
    <t xml:space="preserve">b=0.948, d=1.42E-05, P0=.012 Limit=463  =&gt;66.6 k cases </t>
  </si>
  <si>
    <t xml:space="preserve">China Limit 463  </t>
  </si>
  <si>
    <t>COVID19 China P(t) = b / {d+[( b/Po - d ) ]* exp(-b*t)}
b=0.948, d=1.42E-05, P0=.012 Limit=463  =&gt;66.6 k cases 
 (Fit: Wed 22-Jan - Fri 27-Mar), Cases per 10 M population</t>
  </si>
  <si>
    <t xml:space="preserve">b=0.289, d=3.31E-05, P0=244.082 Limit=1.70 k=&gt;8.72 k cases , log fit from 19th Feb </t>
  </si>
  <si>
    <t>COVID19 Skorea P(t) = b / {d+[( b/Po - d ) ]* exp(-b*t)}
b=0.289, d=3.31E-05, P0=244.082 Limit=1.70 k=&gt;8.72 k cases , log fit from 19th Feb 
 (Fit: Wed 19-Feb - Fri 27-Mar), Cases per 10 M population</t>
  </si>
  <si>
    <t>93.5 k</t>
  </si>
  <si>
    <t>14.1 k</t>
  </si>
  <si>
    <t xml:space="preserve">b=0.214, d=2.28E-06, P0=.088 Limit=14.1 k=&gt;93.5 k cases </t>
  </si>
  <si>
    <t>UK Limit 14.1 k</t>
  </si>
  <si>
    <t>COVID19 UK P(t) = b / {d+[( b/Po - d ) ]* exp(-b*t)}
b=0.214, d=2.28E-06, P0=.088 Limit=14.1 k=&gt;93.5 k cases 
 (Fit: Thu 30-Jan - Fri 27-Mar), Cases per 10 M population</t>
  </si>
  <si>
    <t xml:space="preserve">b=9.292, d=1.91E-04, P0=48649.937 Limit=8.33 k=&gt;48.7 k cases </t>
  </si>
  <si>
    <t>COVID19 China Hubei P(t) = b / {d+[( b/Po - d ) ]* exp(-b*t)}
b=9.292, d=1.91E-04, P0=48649.937 Limit=8.33 k=&gt;48.7 k cases 
  (Fit: Wed 22-Jan - Fri 27-Mar), Cases per 10 M population</t>
  </si>
  <si>
    <t>37.4 k</t>
  </si>
  <si>
    <t>46.3 k</t>
  </si>
  <si>
    <t>b=7.897, d=2.11E-04, P0=.001 Limit = =&gt;37.4 k tests</t>
  </si>
  <si>
    <t>Tests Limit 46.3 k</t>
  </si>
  <si>
    <t>COVID19  NSW TestsP(t) = b / {d+[( b/Po - d ) ]* exp(-b*t)}
b=7.897, d=2.11E-04, P0=.001 Limit = =&gt;37.4 k tests
 (Fit: Fri 06-Mar - Sat 28-Mar)</t>
  </si>
  <si>
    <t>=MATCH(myData!StartDt2NSW,tblData[Date],0)</t>
  </si>
  <si>
    <t>=OFFSET(tblData[[#Headers],[Au LogiP(t) Per Capita]],MATCH(myData!StartDt2Au,tblData[Date],0),0,COUNT(tblData[Au LogiP(t)]),1)</t>
  </si>
  <si>
    <t>=OFFSET(tblData[[#Headers],[Date]],MATCH(myData!StartDt2Au,tblData[Date],0),0,COUNT(tblData[Au LogiP(t)]),1)</t>
  </si>
  <si>
    <t>=OFFSET(tblData[[#Headers],[China LogiP(t) Per Capita]],MATCH(myData!StartDt2China,tblData[Date],0),0,COUNTA(tblData[China LogiP(t)]),1)</t>
  </si>
  <si>
    <t>=OFFSET(tblData[[#Headers],[Date]],MATCH(myData!StartDt2China,tblData[Date],0),0,COUNTA(tblData[China LogiP(t)]),1)</t>
  </si>
  <si>
    <t>GenericLogi</t>
  </si>
  <si>
    <t>myData!GenericLogi</t>
  </si>
  <si>
    <t>=OFFSET(tblData[[#Headers],[Generic LogiP(t)]],MATCH(myData!StartDt2Generic,tblData[Date],0),0,COUNT(tblData[Generic LogiP(t)]),1)</t>
  </si>
  <si>
    <t>=OFFSET(tblData[[#Headers],[Date]],MATCH(myData!StartDt2Generic,tblData[Date],0),0,COUNT(tblData[Generic LogiP(t)]),1)</t>
  </si>
  <si>
    <t>=OFFSET(tblData[[#Headers],[Italy Cases per Capita]],MATCH(myData!StartDt2Italy,tblData[Date],0),0,COUNTIF(tblData[Italy],"&gt;0")+MATCH(0,tblData[Italy],0)-MATCH(myData!StartDt2Italy,tblData[Date],0)+1,1)</t>
  </si>
  <si>
    <t>=OFFSET(tblData[[#Headers],[Date]],MATCH(myData!StartDt2Italy,tblData[Date],0),0,COUNTIF(tblData[Italy],"&gt;0")+MATCH(0,tblData[Italy],0)-MATCH(myData!StartDt2Italy,tblData[Date],0)+1,1)</t>
  </si>
  <si>
    <t>=OFFSET(tblData[[#Headers],[Italy LogiP(t) Per Capita]],MATCH(myData!StartDt2Italy,tblData[Date],0)+1,0,COUNTIF(tblData[Italy LogiP(t)],"&gt;0"),1)</t>
  </si>
  <si>
    <t>=OFFSET(tblData[[#Headers],[Date]],MATCH(myData!StartDt2Italy,tblData[Date],0)+1,0,COUNTIF(tblData[Italy LogiP(t)],"&gt;0"),1)</t>
  </si>
  <si>
    <t>=OFFSET(tblData[[#Headers],[Nsw LogiP(t) Per Capita]],MATCH(myData!StartDt2NSW,tblData[Date],0)+1,0,COUNT(tblData[NSW LogiP(t)]),1)</t>
  </si>
  <si>
    <t>=OFFSET(tblData[[#Headers],[Date]],MATCH(myData!StartDt2NSW,tblData[Date],0)+1,0,COUNT(tblData[Nsw LogiP(t) Per Capita]),1)</t>
  </si>
  <si>
    <t>=OFFSET(tblData[[#Headers],[Singapore LogiP(t) Per Capita]],MATCH(myData!StartDt2Singapore,tblData[Date],0),0,COUNT(tblData[Singapore LogiP(t)]),1)</t>
  </si>
  <si>
    <t>=OFFSET(tblData[[#Headers],[Date]],MATCH(myData!StartDt2Singapore,tblData[Date],0),0,COUNT(tblData[Singapore LogiP(t) Per Capita]),1)</t>
  </si>
  <si>
    <t>=OFFSET(tblData[[#Headers],[Skorea LogiP(t) Per Capita]],MATCH(myData!StartDt2SKorea,tblData[Date],0),0,COUNT(tblData[SKorea LogiP(t)]),1)</t>
  </si>
  <si>
    <t>=OFFSET(tblData[[#Headers],[Date]],MATCH(myData!StartDt2SKorea,tblData[Date],0),0,COUNT(tblData[SKorea LogiP(t)]),1)</t>
  </si>
  <si>
    <t>StartDt2RowItaly</t>
  </si>
  <si>
    <t>myData!StartDt2RowItaly</t>
  </si>
  <si>
    <t>=MATCH(myData!StartDt2Italy,tblData[Date],0)</t>
  </si>
  <si>
    <t>StartDt2SKorea</t>
  </si>
  <si>
    <t>myData!StartDt2SKorea</t>
  </si>
  <si>
    <t>=OFFSET(tblData[[#Headers],[UK LogiP(t) Per Capita]],MATCH(myData!StartDt2UK,tblData[Date],0),0,COUNT(tblData[UK LogiP(t)]),1)</t>
  </si>
  <si>
    <t>=OFFSET(tblData[[#Headers],[Date]],MATCH(myData!StartDt2UK,tblData[Date],0),0,COUNT(tblData[UK LogiP(t)]),1)</t>
  </si>
  <si>
    <t>=EVALUATE("Delete_UDF("&amp;CELL("address",TrueBlank!A186)&amp;")")</t>
  </si>
  <si>
    <t>123 k</t>
  </si>
  <si>
    <t>152 k</t>
  </si>
  <si>
    <t>b=0.176, d=1.43E-06, P0=4312.319 Limit = =&gt;123 k tests</t>
  </si>
  <si>
    <t>Tests Limit 152 k</t>
  </si>
  <si>
    <t>COVID19  NSW TestsP(t) = b / {d+[( b/Po - d ) ]* exp(-b*t)}
b=0.176, d=1.43E-06, P0=4312.319 Limit = =&gt;123 k tests
 (Fit: Fri 06-Mar - Sat 28-Mar)</t>
  </si>
  <si>
    <t>DateOver100</t>
  </si>
  <si>
    <t>At Sun 29-Mar NSW 2217 cases per 10M was 16 days behind Italy, 3 days behind USA &amp; -7 days behind China, -1 days behind South Korea, 2 days behind UK</t>
  </si>
  <si>
    <t>3.71 k</t>
  </si>
  <si>
    <t>4.59 k</t>
  </si>
  <si>
    <t xml:space="preserve">b=0.233, d=6.28E-05, P0=.001 Limit=4.59 k=&gt;3.71 k cases </t>
  </si>
  <si>
    <t>NSW Limit 4.59 k</t>
  </si>
  <si>
    <t>COVID19 NSW P(t) = b / {d+[( b/Po - d ) ]* exp(-b*t)}
b=0.233, d=6.28E-05, P0=.001 Limit=4.59 k=&gt;3.71 k cases 
 (Fit: Sat 25-Jan - Sun 29-Mar), Cases per 10 M population</t>
  </si>
  <si>
    <t>124 k</t>
  </si>
  <si>
    <t>154 k</t>
  </si>
  <si>
    <t>b=0.176, d=1.42E-06, P0=4294.879 Limit = =&gt;124 k tests</t>
  </si>
  <si>
    <t>Tests Limit 154 k</t>
  </si>
  <si>
    <t>COVID19  NSW TestsP(t) = b / {d+[( b/Po - d ) ]* exp(-b*t)}
b=0.176, d=1.42E-06, P0=4294.879 Limit = =&gt;124 k tests
 (Fit: Fri 06-Mar - Sun 29-Mar)</t>
  </si>
  <si>
    <t>Anguilla</t>
  </si>
  <si>
    <t>British Virgin Islands</t>
  </si>
  <si>
    <t>Turks and Caicos Islands</t>
  </si>
  <si>
    <t>MS Zaandam</t>
  </si>
  <si>
    <t>At Sun 29-Mar Australia 1564 cases per 10M was 19 days behind Italy, 5 days behind USA &amp; -7 days behind China, 15 days behind South Korea, 3 days behind UK</t>
  </si>
  <si>
    <t>18.2 k</t>
  </si>
  <si>
    <t>7.16 k</t>
  </si>
  <si>
    <t xml:space="preserve">b=0.19, d=1.05E-05, P0=.029 Limit=7.16 k=&gt;18.2 k cases </t>
  </si>
  <si>
    <t>Australia Limit 7.16 k</t>
  </si>
  <si>
    <t>COVID19 Australia P(t) = b / {d+[( b/Po - d ) ]* exp(-b*t)}
b=0.19, d=1.05E-05, P0=.029 Limit=7.16 k=&gt;18.2 k cases 
 (Fit: Sat 25-Jan - Sun 29-Mar), Cases per 10 M population</t>
  </si>
  <si>
    <t>85.5 k</t>
  </si>
  <si>
    <t xml:space="preserve">b=0.258, d=3.01E-06, P0=.443 Limit=14.1 k=&gt;85.5 k cases </t>
  </si>
  <si>
    <t>Italy Limit 14.1 k</t>
  </si>
  <si>
    <t>COVID19 Italy P(t) = b / {d+[( b/Po - d ) ]* exp(-b*t)}
b=0.258, d=3.01E-06, P0=.443 Limit=14.1 k=&gt;85.5 k cases 
 (Fit: Sat 22-Feb - Sat 28-Mar), Cases per 10 M population</t>
  </si>
  <si>
    <t>At Sun 29-Mar Australia 1564 cases per 10M was 19 days behind Italy, 5 days behind USA &amp; -7 days behind China, 15 days behind South Korea, 3 days behind UK
At Sun 29-Mar NSW 2217 cases per 10M was 16 days behind Italy, 3 days behind USA &amp; -7 days behind China, -1 days behind South Korea, 2 days behind UK</t>
  </si>
  <si>
    <t>284 G</t>
  </si>
  <si>
    <t>8.62 G</t>
  </si>
  <si>
    <t xml:space="preserve">b=0.284, d=1.00E-12, P0=.001 Limit=8.62 G=&gt;284 G cases </t>
  </si>
  <si>
    <t>USA Limit 8.62 G</t>
  </si>
  <si>
    <t>COVID19 USA P(t) = b / {d+[( b/Po - d ) ]* exp(-b*t)}
b=0.284, d=1.00E-12, P0=.001 Limit=8.62 G=&gt;284 G cases 
 (Fit: Wed 22-Jan - Sat 28-Mar), Cases per 10 M population</t>
  </si>
  <si>
    <t>81.1 k</t>
  </si>
  <si>
    <t xml:space="preserve">564  </t>
  </si>
  <si>
    <t xml:space="preserve">b=0.221, d=2.72E-06, P0=1564.332 Limit=564  =&gt;81.1 k cases </t>
  </si>
  <si>
    <t xml:space="preserve">China Limit 564  </t>
  </si>
  <si>
    <t>COVID19 China P(t) = b / {d+[( b/Po - d ) ]* exp(-b*t)}
b=0.221, d=2.72E-06, P0=1564.332 Limit=564  =&gt;81.1 k cases 
 (Fit: Wed 22-Jan - Sat 28-Mar), Cases per 10 M population</t>
  </si>
  <si>
    <t>8.79 k</t>
  </si>
  <si>
    <t>1.71 k</t>
  </si>
  <si>
    <t xml:space="preserve">b=0.283, d=3.23E-05, P0=256.648 Limit=1.71 k=&gt;8.79 k cases , log fit from 19th Feb </t>
  </si>
  <si>
    <t>Skorea Limit 1.71 k fr 19th Feb</t>
  </si>
  <si>
    <t>COVID19 Skorea P(t) = b / {d+[( b/Po - d ) ]* exp(-b*t)}
b=0.283, d=3.23E-05, P0=256.648 Limit=1.71 k=&gt;8.79 k cases , log fit from 19th Feb 
 (Fit: Wed 19-Feb - Sat 28-Mar), Cases per 10 M population</t>
  </si>
  <si>
    <t>93.8 k</t>
  </si>
  <si>
    <t xml:space="preserve">b=0.214, d=2.28E-06, P0=.088 Limit=14.1 k=&gt;93.8 k cases </t>
  </si>
  <si>
    <t>COVID19 UK P(t) = b / {d+[( b/Po - d ) ]* exp(-b*t)}
b=0.214, d=2.28E-06, P0=.088 Limit=14.1 k=&gt;93.8 k cases 
 (Fit: Thu 30-Jan - Sat 28-Mar), Cases per 10 M population</t>
  </si>
  <si>
    <t>81.0 G</t>
  </si>
  <si>
    <t>138 G</t>
  </si>
  <si>
    <t xml:space="preserve">b=0.081, d=1.00E-12, P0=3.987 Limit=138 G=&gt;55.8 G cases </t>
  </si>
  <si>
    <t>Singapore Limit 138 G</t>
  </si>
  <si>
    <t>COVID19 Singapore P(t) = b / {d+[( b/Po - d ) ]* exp(-b*t)}
b=0.081, d=1.00E-12, P0=3.987 Limit=138 G=&gt;55.8 G cases 
 (Fit: Thu 23-Jan - Sat 28-Mar), Cases per 10 M population</t>
  </si>
  <si>
    <t>11.2 k</t>
  </si>
  <si>
    <t xml:space="preserve">b=0.922, d=1.41E-05, P0=.001 Limit=11.2 k=&gt;65.4 k cases </t>
  </si>
  <si>
    <t>Hubei Limit 11.2 k</t>
  </si>
  <si>
    <t>COVID19 China Hubei P(t) = b / {d+[( b/Po - d ) ]* exp(-b*t)}
b=0.922, d=1.41E-05, P0=.001 Limit=11.2 k=&gt;65.4 k cases 
  (Fit: Wed 22-Jan - Sat 28-Mar), Cases per 10 M population</t>
  </si>
  <si>
    <t>NZ</t>
  </si>
  <si>
    <t>196 G</t>
  </si>
  <si>
    <t>374 G</t>
  </si>
  <si>
    <t xml:space="preserve">b=0.196, d=1.00E-12, P0=.001 Limit=374 G=&gt;196 G cases </t>
  </si>
  <si>
    <t>New Zealand Limit 374 G</t>
  </si>
  <si>
    <t>COVID19 New Zealand  P(t) = b / {d+[( b/Po - d ) ]* exp(-b*t)}
b=0.196, d=1.00E-12, P0=.001 Limit=374 G=&gt;196 G cases 
  (Fit: Wed 22-Jan - Sat 28-Mar), Cases per 10 M population</t>
  </si>
  <si>
    <t>NSW Cases LogEst</t>
  </si>
  <si>
    <t>NSW LOGEST Sq Err</t>
  </si>
  <si>
    <t>Exponential Growth: 
y = 5413.4 x 1.135^ [day number]
r^2=97.5% mse=45189</t>
  </si>
  <si>
    <t>Test Logistic Growth Limit 124.46E+3 mse = 1502</t>
  </si>
  <si>
    <t>Msq Logist</t>
  </si>
  <si>
    <t>NSW Logest Mean Sq Err</t>
  </si>
  <si>
    <t>NSWLogEst M</t>
  </si>
  <si>
    <t>At Sun 29-Mar Australia 1571 cases per 10M was 19 days behind Italy, 5 days behind USA &amp; -7 days behind China, 15 days behind South Korea, 3 days behind UK</t>
  </si>
  <si>
    <t>6.52 k</t>
  </si>
  <si>
    <t>2.57 k</t>
  </si>
  <si>
    <t xml:space="preserve">b=0.252, d=3.87E-05, P0=.001 Limit=2.57 k=&gt;6.52 k cases </t>
  </si>
  <si>
    <t>Australia Limit 2.57 k</t>
  </si>
  <si>
    <t>COVID19 Australia P(t) = b / {d+[( b/Po - d ) ]* exp(-b*t)}
b=0.252, d=3.87E-05, P0=.001 Limit=2.57 k=&gt;6.52 k cases 
 (Fit: Sat 25-Jan - Sun 29-Mar), Cases per 10 M population</t>
  </si>
  <si>
    <t>chtFutureNSWGen</t>
  </si>
  <si>
    <t>SERIES(myData!GenName,myData!GenericDates,myData!GenericCases,5)</t>
  </si>
  <si>
    <t>SERIES(myData!GenericSeries,myData!GenericLogiDates,myData!GenericLogi,6)</t>
  </si>
  <si>
    <t>NSW Exponential Growth: 
y = 0.9 x 1.106^ [day number]
r^2=79.6% mse=349</t>
  </si>
  <si>
    <t>SERIES(myData!NSWLogestLabel,myData!NSWLogiDates,myData!NSWLogest,7)</t>
  </si>
  <si>
    <t>NSW Confirmed Cases, NSW Limit 4.59 k, Au Confirmed Cases, Australia Limit 2.57 k, New Zealand, New Zealand Limit 374 G, NSW Exponential Growth: 
y = 0.9 x 1.106^ [day number]
r^2=79.6% mse=349</t>
  </si>
  <si>
    <t>chtFutureNSWEarlyLS</t>
  </si>
  <si>
    <t>SERIES(myData!$CX$12,myData!NSWLogiDates,myData!NSWLogi,2)</t>
  </si>
  <si>
    <t>SERIES("NSW Population",myData!$DT$11:$DT$12,myData!$DU$11:$DU$12,3)</t>
  </si>
  <si>
    <t>NSW Confirmed Cases, NSW Limit 4.59 k, NSW Population</t>
  </si>
  <si>
    <t>COVID19 Italy P(t) = b / {d+[( b/Po - d ) ]* exp(-b*t)}
b=0.258, d=3.01E-06, P0=.443 Limit=14.1 k=&gt;85.5 k cases 
 (Fit: Thu 30-Jan - Sat 28-Mar), Cases per 10 M population</t>
  </si>
  <si>
    <t>Italy Confirmed Cases, Italy Limit 14.1 k</t>
  </si>
  <si>
    <t>NSW Confirmed Cases, NSW Limit 4.59 k, Au Confirmed Cases, Australia Limit 2.57 k, Singapore Cases, Singapore Limit 138 G</t>
  </si>
  <si>
    <t>NSW Tests, Test Logistic Growth Limit 124.46E+3 mse = 1502, Exponential Growth: 
y = 5413.4 x 1.135^ [day number]
r^2=97.5% mse=45189</t>
  </si>
  <si>
    <t>Skorea Confirmed Cases, Skorea Limit 1.71 k fr 19th Feb</t>
  </si>
  <si>
    <t>SERIES("Chinese New Year",myData!$DT$15:$DT$18,myData!$DU$15:$DU$18,9)</t>
  </si>
  <si>
    <t>SERIES("Chinese NY +14 days",myData!$DU$19:$DU$22,myData!$DV$19:$DV$22,10)</t>
  </si>
  <si>
    <t>COVID 19  Sun 29-Mar-2020, Cases per 10 M population</t>
  </si>
  <si>
    <t>NSW Asymptote, NSW Asymptote, Italy Asymptote</t>
  </si>
  <si>
    <t>COVID 19 Least Sq Err Logistic Eqns at Sun 29-Mar-2020, Cases per 10 M population</t>
  </si>
  <si>
    <t>NSW Confirmed Cases, NSW Limit 4.59 k, Italy Confirmed Cases, Italy Limit 14.1 k, SKorea Confirmed Cases, Skorea Limit 1.71 k fr 19th Feb, Au Cases, Australia Limit 2.57 k, UK Cases, UK Limit 14.1 k</t>
  </si>
  <si>
    <t>UK Confirmed Cases, UK Limit 14.1 k</t>
  </si>
  <si>
    <t>SERIES("Pop Limit",myData!$DT$11:$DT$12,myData!$DV$11:$DV$12,5)</t>
  </si>
  <si>
    <t>NSW Confirmed Cases, NSW Limit 4.59 k, US Confirmed Cases, USA Limit 8.62 G, Pop Limit</t>
  </si>
  <si>
    <t>SERIES("Pop Limit",myData!$DT$11:$DT$12,myData!$DV$11:$DV$12,9)</t>
  </si>
  <si>
    <t>NSW Confirmed Cases, NSW Limit 4.59 k, Italy Confirmed Cases, Italy Limit 14.1 k, US Confirmed Cases, USA Limit 8.62 G, China Limit 564  , China Cases, Pop Limit</t>
  </si>
  <si>
    <t>SERIES(myData!$CX$14,myData!USLogiDates,myData!USLogi,2)</t>
  </si>
  <si>
    <t>US Confirmed Cases, USA Limit 8.62 G</t>
  </si>
  <si>
    <t>Au Confirmed Cases, Australia Limit 2.57 k, NSW Population</t>
  </si>
  <si>
    <t>SERIES("Pop Limit",myData!$DT$11:$DT$12,myData!$DV$11:$DV$12,11)</t>
  </si>
  <si>
    <t>NSW Confirmed Cases, NSW Limit 4.59 k, Italy Confirmed Cases, Italy Limit 14.1 k, US Confirmed Cases, USA Limit 8.62 G, China Cases, China Limit 564  , Au Cases, Australia Limit 2.57 k, Pop Limit</t>
  </si>
  <si>
    <t>MinCases</t>
  </si>
  <si>
    <t>DayFrom100</t>
  </si>
  <si>
    <t>NSW100Days</t>
  </si>
  <si>
    <t>Italy100Days</t>
  </si>
  <si>
    <t>Cases Label</t>
  </si>
  <si>
    <t>AU100Days</t>
  </si>
  <si>
    <t>At Mon 30-Mar Australia 1665 cases per 10M was 20 days behind Italy, 5 days behind USA &amp; -8 days behind China, 11 days behind South Korea, 4 days behind UK</t>
  </si>
  <si>
    <t>6.27 k</t>
  </si>
  <si>
    <t>2.47 k</t>
  </si>
  <si>
    <t xml:space="preserve">b=0.253, d=4.03E-05, P0=.001 Limit=2.47 k=&gt;6.27 k cases </t>
  </si>
  <si>
    <t>Australia Limit 2.47 k</t>
  </si>
  <si>
    <t>COVID19 Australia P(t) = b / {d+[( b/Po - d ) ]* exp(-b*t)}
b=0.253, d=4.03E-05, P0=.001 Limit=2.47 k=&gt;6.27 k cases 
 (Fit: Sat 25-Jan - Mon 30-Mar), Cases per 10 M population</t>
  </si>
  <si>
    <t>SKorea100Days</t>
  </si>
  <si>
    <t>Botswana</t>
  </si>
  <si>
    <t>At Tue 31-Mar Australia 1780 cases per 10M was 20 days behind Italy, 6 days behind USA &amp; -9 days behind China, 5 days behind South Korea, 4 days behind UK</t>
  </si>
  <si>
    <t xml:space="preserve">b=0.253, d=4.05E-05, P0=.001, mse=37., Limit=2.46 k=&gt;6.25 k cases </t>
  </si>
  <si>
    <t>COVID19 Australia P(t) = b / {d+[( b/Po - d ) ]* exp(-b*t)}
b=0.253, d=4.05E-05, P0=.001, mse=37., Limit=2.46 k=&gt;6.25 k cases 
 (Fit: Sat 25-Jan - Tue 31-Mar), Cases per 10 M population</t>
  </si>
  <si>
    <t>At Tue 31-Mar NSW 2515 cases per 10M was 18 days behind Italy, 5 days behind USA &amp; -9 days behind China, -3 days behind South Korea, 3 days behind UK</t>
  </si>
  <si>
    <t>91.5 k</t>
  </si>
  <si>
    <t>15.1 k</t>
  </si>
  <si>
    <t xml:space="preserve">b=0.257, d=2.81E-06, P0=.443, mse=5055.1, Limit=15.1 k=&gt;91.5 k cases </t>
  </si>
  <si>
    <t>Italy Limit 15.1 k</t>
  </si>
  <si>
    <t>COVID19 Italy P(t) = b / {d+[( b/Po - d ) ]* exp(-b*t)}
b=0.257, d=2.81E-06, P0=.443, mse=5055.1, Limit=15.1 k=&gt;91.5 k cases 
 (Fit: Thu 30-Jan - Mon 30-Mar), Cases per 10 M population</t>
  </si>
  <si>
    <t>At Tue 31-Mar Australia 1780 cases per 10M was 20 days behind Italy, 6 days behind USA &amp; -9 days behind China, 5 days behind South Korea, 4 days behind UK
At Tue 31-Mar NSW 2515 cases per 10M was 18 days behind Italy, 5 days behind USA &amp; -9 days behind China, -3 days behind South Korea, 3 days behind UK</t>
  </si>
  <si>
    <t>633 k</t>
  </si>
  <si>
    <t>19.2 k</t>
  </si>
  <si>
    <t xml:space="preserve">b=0.284, d=4.48E-07, P0=.001, mse=4390.2, Limit=19.2 k=&gt;633 k cases </t>
  </si>
  <si>
    <t>USA Limit 19.2 k</t>
  </si>
  <si>
    <t>COVID19 USA P(t) = b / {d+[( b/Po - d ) ]* exp(-b*t)}
b=0.284, d=4.48E-07, P0=.001, mse=4390.2, Limit=19.2 k=&gt;633 k cases 
 (Fit: Wed 22-Jan - Mon 30-Mar), Cases per 10 M population</t>
  </si>
  <si>
    <t>81.2 k</t>
  </si>
  <si>
    <t xml:space="preserve">b=0.221, d=2.72E-06, P0=1564.332, mse=1946.6, Limit=564  =&gt;81.2 k cases </t>
  </si>
  <si>
    <t>COVID19 China P(t) = b / {d+[( b/Po - d ) ]* exp(-b*t)}
b=0.221, d=2.72E-06, P0=1564.332, mse=1946.6, Limit=564  =&gt;81.2 k cases 
 (Fit: Wed 22-Jan - Tue 31-Mar), Cases per 10 M population</t>
  </si>
  <si>
    <t>8.97 k</t>
  </si>
  <si>
    <t>1.75 k</t>
  </si>
  <si>
    <t xml:space="preserve">b=0.267, d=2.98E-05, P0=299.319, mse=355.9, Limit=1.75 k=&gt;8.97 k cases , log fit from 19th Feb </t>
  </si>
  <si>
    <t>Skorea Limit 1.75 k</t>
  </si>
  <si>
    <t>COVID19 Skorea P(t) = b / {d+[( b/Po - d ) ]* exp(-b*t)}
b=0.267, d=2.98E-05, P0=299.319, mse=355.9, Limit=1.75 k=&gt;8.97 k cases , log fit from 19th Feb 
 (Fit: Wed 19-Feb - Tue 31-Mar), Cases per 10 M population</t>
  </si>
  <si>
    <t xml:space="preserve">b=0.214, d=2.28E-06, P0=.088, mse=270.3, Limit=14.1 k=&gt;93.8 k cases </t>
  </si>
  <si>
    <t>COVID19 UK P(t) = b / {d+[( b/Po - d ) ]* exp(-b*t)}
b=0.214, d=2.28E-06, P0=.088, mse=270.3, Limit=14.1 k=&gt;93.8 k cases 
 (Fit: Thu 30-Jan - Mon 30-Mar), Cases per 10 M population</t>
  </si>
  <si>
    <t>80.5 G</t>
  </si>
  <si>
    <t xml:space="preserve">b=0.08, d=1.00E-12, P0=4.099, mse=26.7, Limit=138 G=&gt;53.4 G cases </t>
  </si>
  <si>
    <t>COVID19 Singapore P(t) = b / {d+[( b/Po - d ) ]* exp(-b*t)}
b=0.08, d=1.00E-12, P0=4.099, mse=26.7, Limit=138 G=&gt;53.4 G cases 
 (Fit: Thu 23-Jan - Mon 30-Mar), Cases per 10 M population</t>
  </si>
  <si>
    <t>127 k</t>
  </si>
  <si>
    <t>157 k</t>
  </si>
  <si>
    <t xml:space="preserve">b=0.176, d=1.39E-06, P0=4294.861, mse=1730., Limit=157 k=&gt;97.9 k cases </t>
  </si>
  <si>
    <t>Tests Limit 157 k</t>
  </si>
  <si>
    <t>COVID19  NSW TestsP(t) = b / {d+[( b/Po - d ) ]* exp(-b*t)}
b=0.176, d=1.39E-06, P0=4294.861, mse=1730., Limit=157 k=&gt;97.9 k cases 
 (Fit: Fri 06-Mar - Mon 30-Mar)</t>
  </si>
  <si>
    <t xml:space="preserve">b=0.196, d=1.00E-12, P0=.001, mse=24.6, Limit=374 G=&gt;196 G cases </t>
  </si>
  <si>
    <t>COVID19 New Zealand  P(t) = b / {d+[( b/Po - d ) ]* exp(-b*t)}
b=0.196, d=1.00E-12, P0=.001, mse=24.6, Limit=374 G=&gt;196 G cases 
  (Fit: Wed 22-Jan - Mon 30-Mar), Cases per 10 M population</t>
  </si>
  <si>
    <t xml:space="preserve">b=0.176, d=1.39E-06, P0=4294.861, mse=1513.6, Limit=157 k=&gt;97.9 k cases </t>
  </si>
  <si>
    <t>COVID19  NSW TestsP(t) = b / {d+[( b/Po - d ) ]* exp(-b*t)}
b=0.176, d=1.39E-06, P0=4294.861, mse=1513.6, Limit=157 k=&gt;97.9 k cases 
 (Fit: Fri 06-Mar - Tue 31-Mar)</t>
  </si>
  <si>
    <t>23.7 k</t>
  </si>
  <si>
    <t>45.3 k</t>
  </si>
  <si>
    <t xml:space="preserve">b=0.195, d=8.25E-06, P0=.001, mse=26.7, Limit=45.3 k=&gt;23.7 k cases </t>
  </si>
  <si>
    <t>New Zealand Limit 45.3 k</t>
  </si>
  <si>
    <t>COVID19 New Zealand  P(t) = b / {d+[( b/Po - d ) ]* exp(-b*t)}
b=0.195, d=8.25E-06, P0=.001, mse=26.7, Limit=45.3 k=&gt;23.7 k cases 
  (Fit: Wed 22-Jan - Tue 31-Mar), Cases per 10 M population</t>
  </si>
  <si>
    <t>At Tue 31-Mar Australia 1798 cases per 10M was 20 days behind Italy, 6 days behind USA &amp; -9 days behind China, 4 days behind South Korea, 4 days behind UK</t>
  </si>
  <si>
    <t>6.31 k</t>
  </si>
  <si>
    <t>2.49 k</t>
  </si>
  <si>
    <t xml:space="preserve">b=0.253, d=4.01E-05, P0=.001, mse=34.4, Limit=2.49 k=&gt;6.31 k cases </t>
  </si>
  <si>
    <t>Australia Limit 2.49 k</t>
  </si>
  <si>
    <t>COVID19 Australia P(t) = b / {d+[( b/Po - d ) ]* exp(-b*t)}
b=0.253, d=4.01E-05, P0=.001, mse=34.4, Limit=2.49 k=&gt;6.31 k cases 
 (Fit: Sat 25-Jan - Tue 31-Mar), Cases per 10 M population</t>
  </si>
  <si>
    <t>At Mon 30-Mar NSW 2374 cases per 10M was 17 days behind Italy, 4 days behind USA &amp; -8 days behind China, -2 days behind South Korea, 2 days behind UK</t>
  </si>
  <si>
    <t xml:space="preserve">b=0.233, d=6.28E-05, P0=.001, mse=16.1, Limit=4.59 k=&gt;3.71 k cases </t>
  </si>
  <si>
    <t>COVID19 NSW P(t) = b / {d+[( b/Po - d ) ]* exp(-b*t)}
b=0.233, d=6.28E-05, P0=.001, mse=16.1, Limit=4.59 k=&gt;3.71 k cases 
 (Fit: Sat 25-Jan - Mon 30-Mar), Cases per 10 M population</t>
  </si>
  <si>
    <t>Burundi</t>
  </si>
  <si>
    <t>Sierra Leone</t>
  </si>
  <si>
    <t>US100Days</t>
  </si>
  <si>
    <t>UK100Days</t>
  </si>
  <si>
    <t>China100Days</t>
  </si>
  <si>
    <t>Singapore100Days</t>
  </si>
  <si>
    <t>Generic100Days</t>
  </si>
  <si>
    <t>4.38 k</t>
  </si>
  <si>
    <t>5.42 k</t>
  </si>
  <si>
    <t xml:space="preserve">b=0.198, d=4.52E-05, P0=.009, mse=32.5, Limit=5.42 k=&gt;4.38 k cases </t>
  </si>
  <si>
    <t>NSW Limit 5.42 k</t>
  </si>
  <si>
    <t>COVID19 NSW P(t) = b / {d+[( b/Po - d ) ]* exp(-b*t)}
b=0.198, d=4.52E-05, P0=.009, mse=32.5, Limit=5.42 k=&gt;4.38 k cases 
 (Fit: Sat 25-Jan - Tue 31-Mar), Cases per 10 M population</t>
  </si>
  <si>
    <t>6.19 k</t>
  </si>
  <si>
    <t>2.44 k</t>
  </si>
  <si>
    <t xml:space="preserve">b=0.253, d=4.09E-05, P0=.001, mse=34.8, Limit=2.44 k=&gt;6.19 k cases </t>
  </si>
  <si>
    <t>Australia Limit 2.44 k</t>
  </si>
  <si>
    <t>COVID19 Australia P(t) = b / {d+[( b/Po - d ) ]* exp(-b*t)}
b=0.253, d=4.09E-05, P0=.001, mse=34.8, Limit=2.44 k=&gt;6.19 k cases 
 (Fit: Sat 25-Jan - Sat 21-Nov), Cases per 10 M population</t>
  </si>
  <si>
    <t>At Wed 01-Apr NSW 2700 cases per 10M was 19 days behind Italy, 5 days behind USA &amp; -10 days behind China, -4 days behind South Korea, 3 days behind UK</t>
  </si>
  <si>
    <t>3.05 k</t>
  </si>
  <si>
    <t>3.78 k</t>
  </si>
  <si>
    <t xml:space="preserve">b=0.238, d=7.78E-05, P0=.001, mse=22.1, Limit=3.78 k=&gt;3.05 k cases </t>
  </si>
  <si>
    <t>NSW Limit 3.78 k</t>
  </si>
  <si>
    <t>COVID19 NSW P(t) = b / {d+[( b/Po - d ) ]* exp(-b*t)}
b=0.238, d=7.78E-05, P0=.001, mse=22.1, Limit=3.78 k=&gt;3.05 k cases 
 (Fit: Sat 25-Jan - Wed 01-Apr), Cases per 10 M population</t>
  </si>
  <si>
    <t>91.6 k</t>
  </si>
  <si>
    <t xml:space="preserve">b=0.257, d=2.81E-06, P0=.443, mse=5471.1, Limit=15.1 k=&gt;91.6 k cases </t>
  </si>
  <si>
    <t>COVID19 Italy P(t) = b / {d+[( b/Po - d ) ]* exp(-b*t)}
b=0.257, d=2.81E-06, P0=.443, mse=5471.1, Limit=15.1 k=&gt;91.6 k cases 
 (Fit: Thu 30-Jan - Tue 31-Mar), Cases per 10 M population</t>
  </si>
  <si>
    <t xml:space="preserve">b=0.284, d=4.48E-07, P0=.001, mse=5220.2, Limit=19.2 k=&gt;633 k cases </t>
  </si>
  <si>
    <t>COVID19 USA P(t) = b / {d+[( b/Po - d ) ]* exp(-b*t)}
b=0.284, d=4.48E-07, P0=.001, mse=5220.2, Limit=19.2 k=&gt;633 k cases 
 (Fit: Wed 22-Jan - Tue 31-Mar), Cases per 10 M population</t>
  </si>
  <si>
    <t xml:space="preserve">b=0.221, d=2.72E-06, P0=1564.332, mse=1946.9, Limit=564  =&gt;81.2 k cases </t>
  </si>
  <si>
    <t>COVID19 China P(t) = b / {d+[( b/Po - d ) ]* exp(-b*t)}
b=0.221, d=2.72E-06, P0=1564.332, mse=1946.9, Limit=564  =&gt;81.2 k cases 
 (Fit: Wed 22-Jan - Tue 31-Mar), Cases per 10 M population</t>
  </si>
  <si>
    <t>74.6 k</t>
  </si>
  <si>
    <t xml:space="preserve">b=0.214, d=2.87E-06, P0=.088, mse=212.7, Limit=11.2 k=&gt;74.6 k cases </t>
  </si>
  <si>
    <t>UK Limit 11.2 k</t>
  </si>
  <si>
    <t>COVID19 UK P(t) = b / {d+[( b/Po - d ) ]* exp(-b*t)}
b=0.214, d=2.87E-06, P0=.088, mse=212.7, Limit=11.2 k=&gt;74.6 k cases 
 (Fit: Thu 30-Jan - Tue 31-Mar), Cases per 10 M population</t>
  </si>
  <si>
    <t>134 k</t>
  </si>
  <si>
    <t>230 k</t>
  </si>
  <si>
    <t xml:space="preserve">b=0.08, d=5.99E-07, P0=4.099, mse=27.1, Limit=230 k=&gt;134 k cases </t>
  </si>
  <si>
    <t>Singapore Limit 230 k</t>
  </si>
  <si>
    <t>COVID19 Singapore P(t) = b / {d+[( b/Po - d ) ]* exp(-b*t)}
b=0.08, d=5.99E-07, P0=4.099, mse=27.1, Limit=230 k=&gt;134 k cases 
 (Fit: Thu 23-Jan - Tue 31-Mar), Cases per 10 M population</t>
  </si>
  <si>
    <t xml:space="preserve">b=0.176, d=1.39E-06, P0=4294.861, mse=1515.9, Limit=157 k=&gt;103 k cases </t>
  </si>
  <si>
    <t>COVID19  NSW TestsP(t) = b / {d+[( b/Po - d ) ]* exp(-b*t)}
b=0.176, d=1.39E-06, P0=4294.861, mse=1515.9, Limit=157 k=&gt;103 k cases 
 (Fit: Fri 06-Mar - Wed 01-Apr)</t>
  </si>
  <si>
    <t>7.20 k</t>
  </si>
  <si>
    <t xml:space="preserve">b=0.197, d=5.22E-05, P0=.001, mse=29.7, Limit=7.20 k=&gt;3.77 k cases </t>
  </si>
  <si>
    <t>New Zealand Limit 7.20 k</t>
  </si>
  <si>
    <t>COVID19 New Zealand  P(t) = b / {d+[( b/Po - d ) ]* exp(-b*t)}
b=0.197, d=5.22E-05, P0=.001, mse=29.7, Limit=7.20 k=&gt;3.77 k cases 
  (Fit: Wed 22-Jan - Wed 01-Apr), Cases per 10 M population</t>
  </si>
  <si>
    <t xml:space="preserve">b=0.08, d=5.99E-07, P0=4.099, mse=26.8, Limit=230 k=&gt;134 k cases </t>
  </si>
  <si>
    <t>COVID19 Singapore P(t) = b / {d+[( b/Po - d ) ]* exp(-b*t)}
b=0.08, d=5.99E-07, P0=4.099, mse=26.8, Limit=230 k=&gt;134 k cases 
 (Fit: Sat 22-Feb - Tue 31-Mar), Cases per 10 M population</t>
  </si>
  <si>
    <t xml:space="preserve">b=0.08, d=5.99E-07, P0=4.099, mse=28.6, Limit=230 k=&gt;134 k cases </t>
  </si>
  <si>
    <t>COVID19 Singapore P(t) = b / {d+[( b/Po - d ) ]* exp(-b*t)}
b=0.08, d=5.99E-07, P0=4.099, mse=28.6, Limit=230 k=&gt;134 k cases 
 (Fit: Sun 08-Mar - Tue 31-Mar), Cases per 10 M population</t>
  </si>
  <si>
    <t>79.6 G</t>
  </si>
  <si>
    <t xml:space="preserve">b=0.08, d=1.00E-12, P0=4.294, mse=30.7, Limit=136 G=&gt;49.0 G cases </t>
  </si>
  <si>
    <t>COVID19 Singapore P(t) = b / {d+[( b/Po - d ) ]* exp(-b*t)}
b=0.08, d=1.00E-12, P0=4.294, mse=30.7, Limit=136 G=&gt;49.0 G cases 
 (Fit: Mon 10-Feb - Tue 31-Mar), Cases per 10 M population</t>
  </si>
  <si>
    <t>At Thu 02-Apr NSW 2844 cases per 10M was 20 days behind Italy, 6 days behind USA &amp; -11 days behind China, -5 days behind South Korea, 4 days behind UK</t>
  </si>
  <si>
    <t>3.00 k</t>
  </si>
  <si>
    <t xml:space="preserve">b=0.238, d=7.93E-05, P0=.001, mse=22.6, Limit=3.71 k=&gt;3.00 k cases </t>
  </si>
  <si>
    <t>NSW Limit 3.71 k</t>
  </si>
  <si>
    <t>COVID19 NSW P(t) = b / {d+[( b/Po - d ) ]* exp(-b*t)}
b=0.238, d=7.93E-05, P0=.001, mse=22.6, Limit=3.71 k=&gt;3.00 k cases 
 (Fit: Sat 25-Jan - Thu 02-Apr), Cases per 10 M population</t>
  </si>
  <si>
    <t xml:space="preserve">b=0.176, d=1.38E-06, P0=4294.861, mse=1594., Limit=157 k=&gt;108 k cases </t>
  </si>
  <si>
    <t>COVID19  NSW TestsP(t) = b / {d+[( b/Po - d ) ]* exp(-b*t)}
b=0.176, d=1.38E-06, P0=4294.861, mse=1594., Limit=157 k=&gt;108 k cases 
 (Fit: Fri 06-Mar - Thu 02-Apr)</t>
  </si>
  <si>
    <t>Mean Dev Sq</t>
  </si>
  <si>
    <t>NSW Mean Devn Sq</t>
  </si>
  <si>
    <t>R2</t>
  </si>
  <si>
    <t>AU Mean Devn Sq</t>
  </si>
  <si>
    <t>Italy Mean Devn Sq</t>
  </si>
  <si>
    <t>US Mean Devn Sq</t>
  </si>
  <si>
    <t>=SUM(tblData[NSW Mean Devn Sq])</t>
  </si>
  <si>
    <t>China Mean Devn Sq</t>
  </si>
  <si>
    <t>UK Mean Devn Sq</t>
  </si>
  <si>
    <t>Skorea Mean Devn Sq</t>
  </si>
  <si>
    <t>Generic Mean Devn Sq</t>
  </si>
  <si>
    <t>NSW Tests Mean Devn Sq</t>
  </si>
  <si>
    <t>Singapore Mean Devn Sq</t>
  </si>
  <si>
    <t xml:space="preserve">b=0.176, d=1.38E-06, P0=4294.861, r2=997.6E-3, Limit=157 k=&gt;108 k cases </t>
  </si>
  <si>
    <t>6.18 k</t>
  </si>
  <si>
    <t xml:space="preserve">b=0.253, d=4.10E-05, P0=.001, r2=999.4E-3, Limit=2.44 k=&gt;6.18 k cases </t>
  </si>
  <si>
    <t>COVID19 Australia P(t) = b / {d+[( b/Po - d ) ]* exp(-b*t)}
b=0.253, d=4.10E-05, P0=.001, r2=999.4E-3, Limit=2.44 k=&gt;6.18 k cases 
 (Fit: Sat 25-Jan - Sat 21-Nov), Cases per 10 M population</t>
  </si>
  <si>
    <t xml:space="preserve">b=0.238, d=7.93E-05, P0=.001, r2=998.6E-3, Limit=3.71 k=&gt;3.00 k cases </t>
  </si>
  <si>
    <t>COVID19 NSW P(t) = b / {d+[( b/Po - d ) ]* exp(-b*t)}
b=0.238, d=7.93E-05, P0=.001, r2=998.6E-3, Limit=3.71 k=&gt;3.00 k cases 
 (Fit: Sat 25-Jan - Thu 02-Apr), Cases per 10 M population</t>
  </si>
  <si>
    <t>97.3 k</t>
  </si>
  <si>
    <t>16.1 k</t>
  </si>
  <si>
    <t xml:space="preserve">b=0.257, d=2.64E-06, P0=.443, r2=968.E-3, Limit=16.1 k=&gt;97.3 k cases </t>
  </si>
  <si>
    <t>Italy Limit 16.1 k</t>
  </si>
  <si>
    <t>COVID19 Italy P(t) = b / {d+[( b/Po - d ) ]* exp(-b*t)}
b=0.257, d=2.64E-06, P0=.443, r2=968.E-3, Limit=16.1 k=&gt;97.3 k cases 
 (Fit: Thu 30-Jan - Wed 01-Apr), Cases per 10 M population</t>
  </si>
  <si>
    <t xml:space="preserve">b=0.284, d=4.48E-07, P0=.001, r2=976.1E-3, Limit=19.2 k=&gt;633 k cases </t>
  </si>
  <si>
    <t>COVID19 USA P(t) = b / {d+[( b/Po - d ) ]* exp(-b*t)}
b=0.284, d=4.48E-07, P0=.001, r2=976.1E-3, Limit=19.2 k=&gt;633 k cases 
 (Fit: Wed 22-Jan - Wed 01-Apr), Cases per 10 M population</t>
  </si>
  <si>
    <t xml:space="preserve">b=0.221, d=2.72E-06, P0=1564.332, r2=995.4E-3, Limit=564  =&gt;81.2 k cases </t>
  </si>
  <si>
    <t>COVID19 China P(t) = b / {d+[( b/Po - d ) ]* exp(-b*t)}
b=0.221, d=2.72E-06, P0=1564.332, r2=995.4E-3, Limit=564  =&gt;81.2 k cases 
 (Fit: Wed 22-Jan - Wed 01-Apr), Cases per 10 M population</t>
  </si>
  <si>
    <t>9.04 k</t>
  </si>
  <si>
    <t>1.76 k</t>
  </si>
  <si>
    <t xml:space="preserve">b=0.261, d=2.89E-05, P0=315.481, r2=991.7E-3, Limit=1.76 k=&gt;9.04 k cases , log fit from 19th Feb </t>
  </si>
  <si>
    <t>Skorea Limit 1.76 k</t>
  </si>
  <si>
    <t>COVID19 Skorea P(t) = b / {d+[( b/Po - d ) ]* exp(-b*t)}
b=0.261, d=2.89E-05, P0=315.481, r2=991.7E-3, Limit=1.76 k=&gt;9.04 k cases , log fit from 19th Feb 
 (Fit: Wed 19-Feb - Wed 01-Apr), Cases per 10 M population</t>
  </si>
  <si>
    <t xml:space="preserve">b=0.214, d=2.87E-06, P0=.088, r2=999.E-3, Limit=11.2 k=&gt;74.6 k cases </t>
  </si>
  <si>
    <t>COVID19 UK P(t) = b / {d+[( b/Po - d ) ]* exp(-b*t)}
b=0.214, d=2.87E-06, P0=.088, r2=999.E-3, Limit=11.2 k=&gt;74.6 k cases 
 (Fit: Thu 30-Jan - Wed 01-Apr), Cases per 10 M population</t>
  </si>
  <si>
    <t>141 k</t>
  </si>
  <si>
    <t xml:space="preserve">b=0.08, d=5.66E-07, P0=4.294, r2=987.2E-3, Limit=241 k=&gt;141 k cases </t>
  </si>
  <si>
    <t>Singapore Limit 241 k</t>
  </si>
  <si>
    <t>COVID19 Singapore P(t) = b / {d+[( b/Po - d ) ]* exp(-b*t)}
b=0.08, d=5.66E-07, P0=4.294, r2=987.2E-3, Limit=241 k=&gt;141 k cases 
 (Fit: Mon 10-Feb - Wed 01-Apr), Cases per 10 M population</t>
  </si>
  <si>
    <t>COVID19  NSW TestsP(t) = b / {d+[( b/Po - d ) ]* exp(-b*t)}
b=0.176, d=1.38E-06, P0=4294.861, r2=997.6E-3, Limit=157 k=&gt;108 k cases 
 (Fit: Fri 06-Mar - Thu 02-Apr)</t>
  </si>
  <si>
    <t>3.55 k</t>
  </si>
  <si>
    <t>6.78 k</t>
  </si>
  <si>
    <t xml:space="preserve">b=0.197, d=5.55E-05, P0=.001, r2=979.4E-3, Limit=6.78 k=&gt;3.55 k cases </t>
  </si>
  <si>
    <t>New Zealand Limit 6.78 k</t>
  </si>
  <si>
    <t>COVID19 New Zealand  P(t) = b / {d+[( b/Po - d ) ]* exp(-b*t)}
b=0.197, d=5.55E-05, P0=.001, r2=979.4E-3, Limit=6.78 k=&gt;3.55 k cases 
  (Fit: Wed 22-Jan - Wed 01-Apr), Cases per 10 M population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</si>
</sst>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
    <numFmt numFmtId="165" formatCode="0.000"/>
    <numFmt numFmtId="166" formatCode="0.000E+00"/>
    <numFmt numFmtId="167" formatCode="0.0"/>
    <numFmt numFmtId="168" formatCode="0.000000"/>
    <numFmt numFmtId="169" formatCode="0.00000E+00"/>
    <numFmt numFmtId="170" formatCode="ddd\ dd/mm/yyyy"/>
    <numFmt numFmtId="171" formatCode="dd/mm/yyyy\ hh:mm"/>
    <numFmt numFmtId="172" formatCode="d/mm/yy;@"/>
    <numFmt numFmtId="173" formatCode="##0.00E+0"/>
    <numFmt numFmtId="174" formatCode="##0.000E+0"/>
    <numFmt numFmtId="175" formatCode="##0.0E+00"/>
    <numFmt numFmtId="176" formatCode="0.0%"/>
    <numFmt numFmtId="177" formatCode="##0.00E+00"/>
    <numFmt numFmtId="183" formatCode="ddd\ dd/mm/yy\ hh:mm"/>
    <numFmt numFmtId="185" formatCode="dd/mm/yy"/>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Symbol"/>
      <family val="1"/>
      <charset val="2"/>
    </font>
    <font>
      <sz val="10"/>
      <name val="Times New Roman"/>
      <family val="1"/>
    </font>
    <font>
      <u/>
      <sz val="11"/>
      <color theme="10"/>
      <name val="Calibri"/>
      <family val="2"/>
      <scheme val="minor"/>
    </font>
    <font>
      <sz val="14"/>
      <color theme="1"/>
      <name val="Calibri"/>
      <family val="2"/>
      <scheme val="minor"/>
    </font>
    <font>
      <sz val="11"/>
      <color theme="7" tint="0.39997558519241921"/>
      <name val="Calibri"/>
      <family val="2"/>
      <scheme val="minor"/>
    </font>
    <font>
      <b/>
      <sz val="11"/>
      <color rgb="FF171717"/>
      <name val="Segoe UI"/>
      <family val="2"/>
    </font>
    <font>
      <sz val="11"/>
      <color rgb="FF171717"/>
      <name val="Segoe UI"/>
      <family val="2"/>
    </font>
    <font>
      <sz val="9"/>
      <color indexed="81"/>
      <name val="Tahoma"/>
      <family val="2"/>
    </font>
    <font>
      <b/>
      <sz val="9"/>
      <color indexed="81"/>
      <name val="Tahoma"/>
      <family val="2"/>
    </font>
    <font>
      <sz val="11"/>
      <color theme="4" tint="-0.499984740745262"/>
      <name val="Calibri"/>
      <family val="2"/>
      <scheme val="minor"/>
    </font>
    <font>
      <i/>
      <sz val="11"/>
      <color theme="1"/>
      <name val="Calibri"/>
      <family val="2"/>
      <scheme val="minor"/>
    </font>
    <font>
      <b/>
      <sz val="10"/>
      <name val="Symbol"/>
      <family val="1"/>
      <charset val="2"/>
    </font>
    <font>
      <sz val="11"/>
      <color theme="8" tint="-0.499984740745262"/>
      <name val="Calibri"/>
      <family val="2"/>
      <scheme val="minor"/>
    </font>
    <font>
      <sz val="9"/>
      <color rgb="FF000000"/>
      <name val="Arial"/>
      <family val="2"/>
    </font>
    <font>
      <b/>
      <sz val="11"/>
      <color theme="1"/>
      <name val="Calibri"/>
      <family val="2"/>
      <charset val="238"/>
      <scheme val="minor"/>
    </font>
    <font>
      <sz val="14"/>
      <color rgb="FF000000"/>
      <name val="Calibri"/>
      <family val="2"/>
    </font>
    <font>
      <b/>
      <sz val="11"/>
      <color rgb="FFFFFF00"/>
      <name val="Calibri"/>
      <family val="2"/>
      <scheme val="minor"/>
    </font>
    <font>
      <b/>
      <sz val="11"/>
      <color theme="0" tint="-0.14999847407452621"/>
      <name val="Calibri"/>
      <family val="2"/>
      <scheme val="minor"/>
    </font>
    <font>
      <b/>
      <sz val="11"/>
      <color rgb="FF080808"/>
      <name val="Calibri"/>
      <family val="2"/>
      <scheme val="minor"/>
    </font>
    <font>
      <sz val="11"/>
      <color rgb="FF080808"/>
      <name val="Calibri"/>
      <family val="2"/>
      <scheme val="minor"/>
    </font>
    <font>
      <sz val="12"/>
      <color indexed="81"/>
      <name val="Tahoma"/>
      <family val="2"/>
    </font>
    <font>
      <sz val="14"/>
      <color indexed="81"/>
      <name val="Tahoma"/>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FFFFFF"/>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theme="9" tint="0.79998168889431442"/>
      </patternFill>
    </fill>
    <fill>
      <patternFill patternType="solid">
        <fgColor theme="9" tint="-0.249977111117893"/>
        <bgColor indexed="64"/>
      </patternFill>
    </fill>
    <fill>
      <patternFill patternType="solid">
        <fgColor rgb="FFCC0099"/>
        <bgColor indexed="64"/>
      </patternFill>
    </fill>
    <fill>
      <patternFill patternType="solid">
        <fgColor rgb="FFFF0000"/>
        <bgColor indexed="64"/>
      </patternFill>
    </fill>
    <fill>
      <patternFill patternType="solid">
        <fgColor theme="2" tint="-0.499984740745262"/>
        <bgColor indexed="64"/>
      </patternFill>
    </fill>
    <fill>
      <patternFill patternType="solid">
        <fgColor rgb="FFF8F8F8"/>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medium">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theme="9"/>
      </left>
      <right style="thin">
        <color theme="9"/>
      </right>
      <top style="thin">
        <color theme="9"/>
      </top>
      <bottom style="thin">
        <color theme="9"/>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174">
    <xf numFmtId="0" fontId="0" fillId="0" borderId="0" xfId="0"/>
    <xf numFmtId="14" fontId="0" fillId="0" borderId="0" xfId="0" applyNumberFormat="1"/>
    <xf numFmtId="164" fontId="18" fillId="33" borderId="10" xfId="0" applyNumberFormat="1" applyFont="1" applyFill="1" applyBorder="1" applyAlignment="1">
      <alignment horizontal="center" wrapText="1"/>
    </xf>
    <xf numFmtId="0" fontId="18" fillId="33" borderId="11" xfId="0" applyFont="1" applyFill="1" applyBorder="1" applyAlignment="1">
      <alignment horizontal="center"/>
    </xf>
    <xf numFmtId="0" fontId="0" fillId="33" borderId="11" xfId="0" applyFill="1" applyBorder="1"/>
    <xf numFmtId="0" fontId="19" fillId="33" borderId="12" xfId="0" applyFont="1" applyFill="1" applyBorder="1" applyAlignment="1">
      <alignment horizontal="center" wrapText="1"/>
    </xf>
    <xf numFmtId="0" fontId="0" fillId="33" borderId="11" xfId="0" applyFill="1" applyBorder="1" applyAlignment="1">
      <alignment wrapText="1"/>
    </xf>
    <xf numFmtId="0" fontId="0" fillId="33" borderId="10" xfId="0" applyFill="1" applyBorder="1" applyAlignment="1">
      <alignment wrapText="1"/>
    </xf>
    <xf numFmtId="0" fontId="0" fillId="33" borderId="13" xfId="0" applyFill="1" applyBorder="1"/>
    <xf numFmtId="164" fontId="0" fillId="0" borderId="14" xfId="0" quotePrefix="1" applyNumberFormat="1" applyBorder="1"/>
    <xf numFmtId="0" fontId="0" fillId="0" borderId="16" xfId="0" applyBorder="1"/>
    <xf numFmtId="1" fontId="0" fillId="0" borderId="0" xfId="0" applyNumberFormat="1"/>
    <xf numFmtId="165" fontId="0" fillId="0" borderId="0" xfId="0" applyNumberFormat="1"/>
    <xf numFmtId="14" fontId="0" fillId="34" borderId="17" xfId="0" applyNumberFormat="1" applyFont="1" applyFill="1" applyBorder="1"/>
    <xf numFmtId="0" fontId="0" fillId="0" borderId="0" xfId="0" applyAlignment="1">
      <alignment wrapText="1"/>
    </xf>
    <xf numFmtId="0" fontId="20" fillId="0" borderId="0" xfId="42"/>
    <xf numFmtId="0" fontId="20" fillId="34" borderId="18" xfId="42" applyFont="1" applyFill="1" applyBorder="1"/>
    <xf numFmtId="14" fontId="21" fillId="0" borderId="0" xfId="0" quotePrefix="1" applyNumberFormat="1" applyFont="1"/>
    <xf numFmtId="0" fontId="0" fillId="0" borderId="0" xfId="0" applyAlignment="1"/>
    <xf numFmtId="2" fontId="0" fillId="0" borderId="0" xfId="0" applyNumberFormat="1"/>
    <xf numFmtId="167" fontId="0" fillId="0" borderId="0" xfId="0" applyNumberFormat="1"/>
    <xf numFmtId="2" fontId="0" fillId="0" borderId="0" xfId="0" applyNumberFormat="1" applyBorder="1"/>
    <xf numFmtId="164" fontId="0" fillId="0" borderId="0" xfId="0" applyNumberFormat="1" applyBorder="1"/>
    <xf numFmtId="0" fontId="0" fillId="0" borderId="0" xfId="0" applyBorder="1"/>
    <xf numFmtId="166" fontId="0" fillId="0" borderId="0" xfId="0" applyNumberFormat="1" applyBorder="1"/>
    <xf numFmtId="0" fontId="0" fillId="0" borderId="0" xfId="0"/>
    <xf numFmtId="14" fontId="0" fillId="0" borderId="0" xfId="0" applyNumberFormat="1"/>
    <xf numFmtId="0" fontId="0" fillId="0" borderId="0" xfId="0" applyAlignment="1">
      <alignment horizontal="right"/>
    </xf>
    <xf numFmtId="0" fontId="14" fillId="0" borderId="0" xfId="0" applyFont="1"/>
    <xf numFmtId="0" fontId="16" fillId="0" borderId="0" xfId="0" applyFont="1"/>
    <xf numFmtId="0" fontId="0" fillId="0" borderId="0" xfId="0" quotePrefix="1"/>
    <xf numFmtId="9" fontId="0" fillId="0" borderId="0" xfId="0" applyNumberFormat="1"/>
    <xf numFmtId="3" fontId="0" fillId="0" borderId="0" xfId="0" applyNumberFormat="1"/>
    <xf numFmtId="0" fontId="0" fillId="0" borderId="18" xfId="0" applyFont="1" applyBorder="1"/>
    <xf numFmtId="165" fontId="0" fillId="0" borderId="0" xfId="0" applyNumberFormat="1" applyBorder="1"/>
    <xf numFmtId="166" fontId="0" fillId="0" borderId="14" xfId="0" quotePrefix="1" applyNumberFormat="1" applyBorder="1"/>
    <xf numFmtId="0" fontId="23" fillId="36" borderId="0" xfId="0" applyFont="1" applyFill="1" applyAlignment="1">
      <alignment horizontal="left" wrapText="1"/>
    </xf>
    <xf numFmtId="0" fontId="24" fillId="36" borderId="19" xfId="0" applyFont="1" applyFill="1" applyBorder="1" applyAlignment="1">
      <alignment horizontal="left" vertical="top" wrapText="1"/>
    </xf>
    <xf numFmtId="168" fontId="0" fillId="0" borderId="15" xfId="0" applyNumberFormat="1" applyBorder="1"/>
    <xf numFmtId="11" fontId="0" fillId="0" borderId="0" xfId="0" applyNumberFormat="1"/>
    <xf numFmtId="0" fontId="0" fillId="37" borderId="0" xfId="0" applyFill="1"/>
    <xf numFmtId="11" fontId="0" fillId="37" borderId="0" xfId="0" applyNumberFormat="1" applyFill="1"/>
    <xf numFmtId="0" fontId="16" fillId="37" borderId="0" xfId="0" applyFont="1" applyFill="1"/>
    <xf numFmtId="0" fontId="0" fillId="38" borderId="0" xfId="0" applyFill="1" applyAlignment="1">
      <alignment wrapText="1"/>
    </xf>
    <xf numFmtId="164" fontId="0" fillId="0" borderId="0" xfId="0" applyNumberFormat="1"/>
    <xf numFmtId="0" fontId="0" fillId="0" borderId="0" xfId="0" quotePrefix="1" applyAlignment="1">
      <alignment horizontal="right"/>
    </xf>
    <xf numFmtId="0" fontId="0" fillId="39" borderId="0" xfId="0" applyFill="1" applyAlignment="1">
      <alignment wrapText="1"/>
    </xf>
    <xf numFmtId="14" fontId="0" fillId="40" borderId="0" xfId="0" applyNumberFormat="1" applyFill="1"/>
    <xf numFmtId="0" fontId="0" fillId="40" borderId="0" xfId="0" applyFill="1"/>
    <xf numFmtId="165" fontId="0" fillId="40" borderId="0" xfId="0" applyNumberFormat="1" applyFill="1"/>
    <xf numFmtId="2" fontId="0" fillId="40" borderId="0" xfId="0" applyNumberFormat="1" applyFill="1"/>
    <xf numFmtId="1" fontId="0" fillId="40" borderId="0" xfId="0" applyNumberFormat="1" applyFill="1"/>
    <xf numFmtId="11" fontId="0" fillId="40" borderId="0" xfId="0" applyNumberFormat="1" applyFill="1"/>
    <xf numFmtId="167" fontId="0" fillId="40" borderId="0" xfId="0" applyNumberFormat="1" applyFill="1"/>
    <xf numFmtId="0" fontId="0" fillId="41" borderId="0" xfId="0" applyFill="1"/>
    <xf numFmtId="14" fontId="0" fillId="41" borderId="0" xfId="0" applyNumberFormat="1" applyFill="1"/>
    <xf numFmtId="165" fontId="0" fillId="41" borderId="0" xfId="0" applyNumberFormat="1" applyFill="1"/>
    <xf numFmtId="2" fontId="0" fillId="41" borderId="0" xfId="0" applyNumberFormat="1" applyFill="1"/>
    <xf numFmtId="0" fontId="0" fillId="41" borderId="0" xfId="0" applyFill="1" applyAlignment="1"/>
    <xf numFmtId="11" fontId="0" fillId="41" borderId="0" xfId="0" applyNumberFormat="1" applyFill="1"/>
    <xf numFmtId="0" fontId="27" fillId="35" borderId="0" xfId="0" applyFont="1" applyFill="1" applyAlignment="1">
      <alignment wrapText="1"/>
    </xf>
    <xf numFmtId="1" fontId="0" fillId="0" borderId="0" xfId="0" applyNumberFormat="1" applyFill="1"/>
    <xf numFmtId="165" fontId="0" fillId="0" borderId="0" xfId="0" applyNumberFormat="1" applyFill="1"/>
    <xf numFmtId="11" fontId="0" fillId="0" borderId="0" xfId="0" applyNumberFormat="1" applyFill="1"/>
    <xf numFmtId="0" fontId="22" fillId="39" borderId="0" xfId="0" applyFont="1" applyFill="1" applyAlignment="1">
      <alignment wrapText="1"/>
    </xf>
    <xf numFmtId="0" fontId="28" fillId="0" borderId="0" xfId="0" applyFont="1"/>
    <xf numFmtId="0" fontId="28" fillId="0" borderId="0" xfId="0" applyFont="1" applyAlignment="1">
      <alignment horizontal="right"/>
    </xf>
    <xf numFmtId="0" fontId="28" fillId="0" borderId="0" xfId="0" quotePrefix="1" applyFont="1"/>
    <xf numFmtId="0" fontId="28" fillId="0" borderId="0" xfId="0" quotePrefix="1" applyFont="1" applyAlignment="1">
      <alignment horizontal="right"/>
    </xf>
    <xf numFmtId="171" fontId="0" fillId="0" borderId="0" xfId="0" applyNumberFormat="1"/>
    <xf numFmtId="22" fontId="0" fillId="0" borderId="0" xfId="0" applyNumberFormat="1"/>
    <xf numFmtId="166" fontId="0" fillId="0" borderId="0" xfId="0" applyNumberFormat="1"/>
    <xf numFmtId="172" fontId="0" fillId="0" borderId="0" xfId="0" applyNumberFormat="1"/>
    <xf numFmtId="14" fontId="0" fillId="46" borderId="0" xfId="0" applyNumberFormat="1" applyFill="1"/>
    <xf numFmtId="0" fontId="0" fillId="46" borderId="0" xfId="0" applyFill="1"/>
    <xf numFmtId="11" fontId="0" fillId="46" borderId="0" xfId="0" applyNumberFormat="1" applyFill="1"/>
    <xf numFmtId="169" fontId="0" fillId="46" borderId="0" xfId="0" applyNumberFormat="1" applyFill="1"/>
    <xf numFmtId="14" fontId="17" fillId="45" borderId="0" xfId="0" applyNumberFormat="1" applyFont="1" applyFill="1"/>
    <xf numFmtId="0" fontId="17" fillId="45" borderId="0" xfId="0" applyFont="1" applyFill="1"/>
    <xf numFmtId="164" fontId="17" fillId="45" borderId="0" xfId="0" applyNumberFormat="1" applyFont="1" applyFill="1" applyBorder="1"/>
    <xf numFmtId="166" fontId="17" fillId="45" borderId="0" xfId="0" applyNumberFormat="1" applyFont="1" applyFill="1" applyBorder="1"/>
    <xf numFmtId="48" fontId="0" fillId="0" borderId="0" xfId="0" applyNumberFormat="1"/>
    <xf numFmtId="48" fontId="0" fillId="0" borderId="0" xfId="0" applyNumberFormat="1" applyBorder="1"/>
    <xf numFmtId="173" fontId="0" fillId="0" borderId="0" xfId="0" applyNumberFormat="1"/>
    <xf numFmtId="173" fontId="0" fillId="0" borderId="0" xfId="0" applyNumberFormat="1" applyBorder="1"/>
    <xf numFmtId="174" fontId="0" fillId="0" borderId="0" xfId="0" applyNumberFormat="1" applyBorder="1"/>
    <xf numFmtId="173" fontId="19" fillId="44" borderId="13" xfId="0" applyNumberFormat="1" applyFont="1" applyFill="1" applyBorder="1" applyAlignment="1">
      <alignment horizontal="center" wrapText="1"/>
    </xf>
    <xf numFmtId="164" fontId="29" fillId="47" borderId="13" xfId="0" applyNumberFormat="1" applyFont="1" applyFill="1" applyBorder="1" applyAlignment="1">
      <alignment horizontal="center" wrapText="1"/>
    </xf>
    <xf numFmtId="0" fontId="29" fillId="47" borderId="13" xfId="0" applyFont="1" applyFill="1" applyBorder="1" applyAlignment="1">
      <alignment horizontal="center"/>
    </xf>
    <xf numFmtId="0" fontId="16" fillId="47" borderId="13" xfId="0" applyFont="1" applyFill="1" applyBorder="1"/>
    <xf numFmtId="0" fontId="0" fillId="48" borderId="0" xfId="0" applyFill="1"/>
    <xf numFmtId="164" fontId="18" fillId="48" borderId="10" xfId="0" applyNumberFormat="1" applyFont="1" applyFill="1" applyBorder="1" applyAlignment="1">
      <alignment horizontal="center" wrapText="1"/>
    </xf>
    <xf numFmtId="0" fontId="18" fillId="48" borderId="11" xfId="0" applyFont="1" applyFill="1" applyBorder="1" applyAlignment="1">
      <alignment horizontal="center"/>
    </xf>
    <xf numFmtId="0" fontId="0" fillId="48" borderId="11" xfId="0" applyFill="1" applyBorder="1"/>
    <xf numFmtId="0" fontId="19" fillId="48" borderId="12" xfId="0" applyFont="1" applyFill="1" applyBorder="1" applyAlignment="1">
      <alignment horizontal="center" wrapText="1"/>
    </xf>
    <xf numFmtId="0" fontId="0" fillId="48" borderId="11" xfId="0" applyFill="1" applyBorder="1" applyAlignment="1">
      <alignment wrapText="1"/>
    </xf>
    <xf numFmtId="0" fontId="0" fillId="48" borderId="10" xfId="0" applyFill="1" applyBorder="1" applyAlignment="1">
      <alignment wrapText="1"/>
    </xf>
    <xf numFmtId="0" fontId="0" fillId="48" borderId="13" xfId="0" applyFill="1" applyBorder="1"/>
    <xf numFmtId="0" fontId="0" fillId="48" borderId="0" xfId="0" applyFill="1" applyBorder="1"/>
    <xf numFmtId="0" fontId="0" fillId="48" borderId="0" xfId="0" applyFill="1" applyBorder="1" applyAlignment="1">
      <alignment wrapText="1"/>
    </xf>
    <xf numFmtId="0" fontId="0" fillId="48" borderId="0" xfId="0" applyFill="1" applyAlignment="1">
      <alignment wrapText="1"/>
    </xf>
    <xf numFmtId="1" fontId="0" fillId="41" borderId="0" xfId="0" applyNumberFormat="1" applyFill="1"/>
    <xf numFmtId="173" fontId="0" fillId="41" borderId="0" xfId="0" applyNumberFormat="1" applyFill="1"/>
    <xf numFmtId="174" fontId="0" fillId="0" borderId="0" xfId="0" applyNumberFormat="1"/>
    <xf numFmtId="1" fontId="0" fillId="0" borderId="0" xfId="0" quotePrefix="1" applyNumberFormat="1"/>
    <xf numFmtId="0" fontId="30" fillId="43" borderId="0" xfId="0" applyFont="1" applyFill="1" applyAlignment="1">
      <alignment wrapText="1"/>
    </xf>
    <xf numFmtId="175" fontId="0" fillId="0" borderId="0" xfId="0" applyNumberFormat="1"/>
    <xf numFmtId="175" fontId="0" fillId="37" borderId="0" xfId="0" applyNumberFormat="1" applyFill="1"/>
    <xf numFmtId="175" fontId="0" fillId="40" borderId="0" xfId="0" applyNumberFormat="1" applyFill="1"/>
    <xf numFmtId="176" fontId="0" fillId="0" borderId="0" xfId="43" applyNumberFormat="1" applyFont="1"/>
    <xf numFmtId="0" fontId="0" fillId="0" borderId="0" xfId="0" applyFill="1"/>
    <xf numFmtId="14" fontId="0" fillId="0" borderId="0" xfId="0" applyNumberFormat="1" applyFill="1"/>
    <xf numFmtId="166" fontId="0" fillId="0" borderId="0" xfId="0" applyNumberFormat="1" applyFill="1" applyBorder="1"/>
    <xf numFmtId="0" fontId="0" fillId="0" borderId="0" xfId="0" applyFill="1" applyBorder="1"/>
    <xf numFmtId="164" fontId="18" fillId="0" borderId="0" xfId="0" applyNumberFormat="1" applyFont="1" applyFill="1" applyBorder="1" applyAlignment="1">
      <alignment horizontal="center" wrapText="1"/>
    </xf>
    <xf numFmtId="0" fontId="18" fillId="0" borderId="0" xfId="0" applyFont="1" applyFill="1" applyBorder="1" applyAlignment="1">
      <alignment horizontal="center"/>
    </xf>
    <xf numFmtId="0" fontId="19" fillId="0" borderId="0" xfId="0" applyFont="1" applyFill="1" applyBorder="1" applyAlignment="1">
      <alignment horizontal="center" wrapText="1"/>
    </xf>
    <xf numFmtId="0" fontId="0" fillId="0" borderId="0" xfId="0" applyFill="1" applyBorder="1" applyAlignment="1">
      <alignment wrapText="1"/>
    </xf>
    <xf numFmtId="164" fontId="0" fillId="0" borderId="0" xfId="0" quotePrefix="1" applyNumberFormat="1" applyFill="1" applyBorder="1"/>
    <xf numFmtId="166" fontId="0" fillId="0" borderId="0" xfId="0" quotePrefix="1" applyNumberFormat="1" applyFill="1" applyBorder="1"/>
    <xf numFmtId="0" fontId="0" fillId="37" borderId="23" xfId="0" applyFill="1" applyBorder="1"/>
    <xf numFmtId="0" fontId="0" fillId="37" borderId="26" xfId="0" applyFill="1" applyBorder="1"/>
    <xf numFmtId="0" fontId="0" fillId="37" borderId="24" xfId="0" applyFill="1" applyBorder="1"/>
    <xf numFmtId="0" fontId="0" fillId="37" borderId="27" xfId="0" applyFill="1" applyBorder="1"/>
    <xf numFmtId="0" fontId="0" fillId="37" borderId="20" xfId="0" applyFill="1" applyBorder="1"/>
    <xf numFmtId="0" fontId="0" fillId="37" borderId="28" xfId="0" applyFill="1" applyBorder="1"/>
    <xf numFmtId="0" fontId="0" fillId="49" borderId="20" xfId="0" applyFill="1" applyBorder="1"/>
    <xf numFmtId="165" fontId="0" fillId="49" borderId="13" xfId="0" applyNumberFormat="1" applyFill="1" applyBorder="1"/>
    <xf numFmtId="164" fontId="0" fillId="49" borderId="13" xfId="0" applyNumberFormat="1" applyFill="1" applyBorder="1"/>
    <xf numFmtId="2" fontId="0" fillId="49" borderId="13" xfId="0" applyNumberFormat="1" applyFill="1" applyBorder="1"/>
    <xf numFmtId="0" fontId="0" fillId="49" borderId="13" xfId="0" applyFill="1" applyBorder="1"/>
    <xf numFmtId="165" fontId="16" fillId="49" borderId="13" xfId="0" applyNumberFormat="1" applyFont="1" applyFill="1" applyBorder="1" applyAlignment="1">
      <alignment wrapText="1"/>
    </xf>
    <xf numFmtId="0" fontId="16" fillId="49" borderId="20" xfId="0" applyFont="1" applyFill="1" applyBorder="1"/>
    <xf numFmtId="0" fontId="16" fillId="37" borderId="22" xfId="0" applyFont="1" applyFill="1" applyBorder="1"/>
    <xf numFmtId="0" fontId="16" fillId="37" borderId="12" xfId="0" applyFont="1" applyFill="1" applyBorder="1"/>
    <xf numFmtId="0" fontId="16" fillId="37" borderId="25" xfId="0" applyFont="1" applyFill="1" applyBorder="1"/>
    <xf numFmtId="0" fontId="0" fillId="48" borderId="0" xfId="0" applyFill="1" applyBorder="1" applyAlignment="1">
      <alignment horizontal="right"/>
    </xf>
    <xf numFmtId="177" fontId="0" fillId="0" borderId="0" xfId="0" applyNumberFormat="1"/>
    <xf numFmtId="177" fontId="0" fillId="37" borderId="0" xfId="0" applyNumberFormat="1" applyFill="1"/>
    <xf numFmtId="0" fontId="0" fillId="0" borderId="0" xfId="0" applyAlignment="1">
      <alignment horizontal="center"/>
    </xf>
    <xf numFmtId="170" fontId="0" fillId="0" borderId="0" xfId="0" applyNumberFormat="1"/>
    <xf numFmtId="3" fontId="31" fillId="0" borderId="0" xfId="0" applyNumberFormat="1" applyFont="1"/>
    <xf numFmtId="14" fontId="0" fillId="0" borderId="17" xfId="0" applyNumberFormat="1" applyFont="1" applyBorder="1"/>
    <xf numFmtId="0" fontId="32" fillId="0" borderId="0" xfId="0" applyFont="1" applyAlignment="1">
      <alignment horizontal="center" wrapText="1"/>
    </xf>
    <xf numFmtId="14" fontId="0" fillId="50" borderId="29" xfId="0" applyNumberFormat="1" applyFont="1" applyFill="1" applyBorder="1"/>
    <xf numFmtId="1" fontId="0" fillId="50" borderId="29" xfId="0" applyNumberFormat="1" applyFont="1" applyFill="1" applyBorder="1"/>
    <xf numFmtId="14" fontId="0" fillId="0" borderId="29" xfId="0" applyNumberFormat="1" applyFont="1" applyFill="1" applyBorder="1"/>
    <xf numFmtId="2" fontId="0" fillId="0" borderId="29" xfId="0" applyNumberFormat="1" applyFont="1" applyFill="1" applyBorder="1"/>
    <xf numFmtId="14" fontId="0" fillId="0" borderId="0" xfId="0" applyNumberFormat="1" applyFont="1" applyBorder="1"/>
    <xf numFmtId="0" fontId="0" fillId="0" borderId="17" xfId="0" applyBorder="1"/>
    <xf numFmtId="0" fontId="14" fillId="47" borderId="0" xfId="0" applyFont="1" applyFill="1" applyAlignment="1">
      <alignment horizontal="left" wrapText="1"/>
    </xf>
    <xf numFmtId="0" fontId="34" fillId="0" borderId="0" xfId="0" applyFont="1" applyAlignment="1">
      <alignment wrapText="1"/>
    </xf>
    <xf numFmtId="0" fontId="17" fillId="51" borderId="0" xfId="0" applyFont="1" applyFill="1" applyAlignment="1">
      <alignment wrapText="1"/>
    </xf>
    <xf numFmtId="175" fontId="17" fillId="51" borderId="0" xfId="0" applyNumberFormat="1" applyFont="1" applyFill="1"/>
    <xf numFmtId="0" fontId="34" fillId="42" borderId="0" xfId="0" applyFont="1" applyFill="1" applyAlignment="1">
      <alignment wrapText="1"/>
    </xf>
    <xf numFmtId="0" fontId="27" fillId="40" borderId="0" xfId="0" applyFont="1" applyFill="1" applyAlignment="1">
      <alignment wrapText="1"/>
    </xf>
    <xf numFmtId="0" fontId="35" fillId="52" borderId="0" xfId="0" applyFont="1" applyFill="1" applyAlignment="1">
      <alignment wrapText="1"/>
    </xf>
    <xf numFmtId="0" fontId="0" fillId="53" borderId="0" xfId="0" applyFill="1" applyAlignment="1">
      <alignment wrapText="1"/>
    </xf>
    <xf numFmtId="0" fontId="17" fillId="54" borderId="0" xfId="0" applyFont="1" applyFill="1" applyAlignment="1">
      <alignment wrapText="1"/>
    </xf>
    <xf numFmtId="0" fontId="36" fillId="44" borderId="0" xfId="0" applyFont="1" applyFill="1"/>
    <xf numFmtId="0" fontId="36" fillId="44" borderId="21" xfId="0" applyFont="1" applyFill="1" applyBorder="1" applyAlignment="1">
      <alignment wrapText="1"/>
    </xf>
    <xf numFmtId="0" fontId="37" fillId="44" borderId="21" xfId="0" applyFont="1" applyFill="1" applyBorder="1" applyAlignment="1">
      <alignment wrapText="1"/>
    </xf>
    <xf numFmtId="14" fontId="37" fillId="49" borderId="0" xfId="0" applyNumberFormat="1" applyFont="1" applyFill="1"/>
    <xf numFmtId="0" fontId="37" fillId="44" borderId="0" xfId="0" applyFont="1" applyFill="1" applyBorder="1"/>
    <xf numFmtId="0" fontId="37" fillId="44" borderId="0" xfId="0" applyFont="1" applyFill="1" applyAlignment="1">
      <alignment wrapText="1"/>
    </xf>
    <xf numFmtId="172" fontId="37" fillId="44" borderId="0" xfId="0" applyNumberFormat="1" applyFont="1" applyFill="1"/>
    <xf numFmtId="172" fontId="37" fillId="44" borderId="0" xfId="0" applyNumberFormat="1" applyFont="1" applyFill="1" applyAlignment="1">
      <alignment wrapText="1"/>
    </xf>
    <xf numFmtId="3" fontId="31" fillId="55" borderId="0" xfId="0" applyNumberFormat="1" applyFont="1" applyFill="1" applyAlignment="1">
      <alignment vertical="center" wrapText="1"/>
    </xf>
    <xf numFmtId="183" fontId="0" fillId="0" borderId="0" xfId="0" applyNumberFormat="1"/>
    <xf numFmtId="183" fontId="0" fillId="41" borderId="0" xfId="0" applyNumberFormat="1" applyFill="1"/>
    <xf numFmtId="185" fontId="0" fillId="0" borderId="0" xfId="0" applyNumberFormat="1"/>
    <xf numFmtId="185" fontId="0" fillId="41" borderId="0" xfId="0" applyNumberFormat="1" applyFill="1"/>
    <xf numFmtId="48" fontId="0" fillId="41" borderId="0" xfId="0" quotePrefix="1" applyNumberFormat="1" applyFill="1"/>
    <xf numFmtId="48" fontId="0" fillId="0" borderId="0" xfId="0" quotePrefix="1" applyNumberFormat="1" applyBorder="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158">
    <dxf>
      <numFmt numFmtId="2" formatCode="0.00"/>
    </dxf>
    <dxf>
      <numFmt numFmtId="1" formatCode="0"/>
    </dxf>
    <dxf>
      <numFmt numFmtId="1" formatCode="0"/>
    </dxf>
    <dxf>
      <numFmt numFmtId="19" formatCode="d/mm/yyyy"/>
    </dxf>
    <dxf>
      <numFmt numFmtId="1" formatCode="0"/>
    </dxf>
    <dxf>
      <numFmt numFmtId="19" formatCode="d/mm/yyyy"/>
    </dxf>
    <dxf>
      <numFmt numFmtId="167" formatCode="0.0"/>
    </dxf>
    <dxf>
      <alignment horizontal="general" vertical="bottom" textRotation="0" wrapText="0" indent="0" justifyLastLine="0" shrinkToFit="0" readingOrder="0"/>
    </dxf>
    <dxf>
      <numFmt numFmtId="19" formatCode="d/mm/yyyy"/>
    </dxf>
    <dxf>
      <numFmt numFmtId="1" formatCode="0"/>
    </dxf>
    <dxf>
      <numFmt numFmtId="19" formatCode="d/mm/yyyy"/>
    </dxf>
    <dxf>
      <numFmt numFmtId="175" formatCode="##0.0E+00"/>
    </dxf>
    <dxf>
      <numFmt numFmtId="19" formatCode="d/mm/yyyy"/>
    </dxf>
    <dxf>
      <numFmt numFmtId="19" formatCode="d/mm/yyyy"/>
    </dxf>
    <dxf>
      <numFmt numFmtId="173" formatCode="##0.00E+0"/>
    </dxf>
    <dxf>
      <numFmt numFmtId="173" formatCode="##0.00E+0"/>
    </dxf>
    <dxf>
      <numFmt numFmtId="165" formatCode="0.000"/>
    </dxf>
    <dxf>
      <numFmt numFmtId="165" formatCode="0.000"/>
    </dxf>
    <dxf>
      <numFmt numFmtId="165" formatCode="0.000"/>
    </dxf>
    <dxf>
      <numFmt numFmtId="173" formatCode="##0.00E+0"/>
    </dxf>
    <dxf>
      <numFmt numFmtId="166" formatCode="0.000E+00"/>
    </dxf>
    <dxf>
      <numFmt numFmtId="164" formatCode="0.0000"/>
    </dxf>
    <dxf>
      <numFmt numFmtId="19" formatCode="d/mm/yyyy"/>
    </dxf>
    <dxf>
      <numFmt numFmtId="19" formatCode="d/mm/yyyy"/>
    </dxf>
    <dxf>
      <numFmt numFmtId="27" formatCode="d/mm/yyyy\ h:mm"/>
    </dxf>
    <dxf>
      <numFmt numFmtId="175" formatCode="##0.0E+00"/>
    </dxf>
    <dxf>
      <numFmt numFmtId="175" formatCode="##0.0E+00"/>
    </dxf>
    <dxf>
      <numFmt numFmtId="1" formatCode="0"/>
    </dxf>
    <dxf>
      <numFmt numFmtId="1" formatCode="0"/>
    </dxf>
    <dxf>
      <numFmt numFmtId="1" formatCode="0"/>
    </dxf>
    <dxf>
      <numFmt numFmtId="1" formatCode="0"/>
    </dxf>
    <dxf>
      <numFmt numFmtId="177" formatCode="##0.00E+00"/>
    </dxf>
    <dxf>
      <numFmt numFmtId="1" formatCode="0"/>
    </dxf>
    <dxf>
      <numFmt numFmtId="16" formatCode="##0.0E+0"/>
    </dxf>
    <dxf>
      <numFmt numFmtId="1" formatCode="0"/>
    </dxf>
    <dxf>
      <numFmt numFmtId="173" formatCode="##0.00E+0"/>
    </dxf>
    <dxf>
      <numFmt numFmtId="165" formatCode="0.000"/>
    </dxf>
    <dxf>
      <numFmt numFmtId="1" formatCode="0"/>
    </dxf>
    <dxf>
      <numFmt numFmtId="185" formatCode="dd/mm/yy"/>
    </dxf>
    <dxf>
      <numFmt numFmtId="172" formatCode="d/mm/yy;@"/>
    </dxf>
    <dxf>
      <numFmt numFmtId="172" formatCode="d/mm/yy;@"/>
    </dxf>
    <dxf>
      <numFmt numFmtId="183" formatCode="ddd\ dd/mm/yy\ hh:mm"/>
    </dxf>
    <dxf>
      <numFmt numFmtId="19" formatCode="d/mm/yyyy"/>
    </dxf>
    <dxf>
      <numFmt numFmtId="19" formatCode="d/mm/yyyy"/>
    </dxf>
    <dxf>
      <numFmt numFmtId="19" formatCode="d/mm/yyyy"/>
    </dxf>
    <dxf>
      <numFmt numFmtId="1" formatCode="0"/>
    </dxf>
    <dxf>
      <numFmt numFmtId="1" formatCode="0"/>
    </dxf>
    <dxf>
      <numFmt numFmtId="174" formatCode="##0.000E+0"/>
    </dxf>
    <dxf>
      <numFmt numFmtId="172" formatCode="d/mm/yy;@"/>
    </dxf>
    <dxf>
      <numFmt numFmtId="2" formatCode="0.00"/>
    </dxf>
    <dxf>
      <numFmt numFmtId="172" formatCode="d/mm/yy;@"/>
    </dxf>
    <dxf>
      <numFmt numFmtId="19" formatCode="d/mm/yyyy"/>
    </dxf>
    <dxf>
      <numFmt numFmtId="173" formatCode="##0.00E+0"/>
    </dxf>
    <dxf>
      <numFmt numFmtId="173" formatCode="##0.00E+0"/>
    </dxf>
    <dxf>
      <numFmt numFmtId="19" formatCode="d/mm/yyyy"/>
    </dxf>
    <dxf>
      <numFmt numFmtId="173" formatCode="##0.00E+0"/>
    </dxf>
    <dxf>
      <numFmt numFmtId="16" formatCode="##0.0E+0"/>
    </dxf>
    <dxf>
      <numFmt numFmtId="16" formatCode="##0.0E+0"/>
    </dxf>
    <dxf>
      <numFmt numFmtId="19" formatCode="d/mm/yyyy"/>
    </dxf>
    <dxf>
      <numFmt numFmtId="173" formatCode="##0.00E+0"/>
    </dxf>
    <dxf>
      <numFmt numFmtId="19" formatCode="d/mm/yyyy"/>
    </dxf>
    <dxf>
      <numFmt numFmtId="19" formatCode="d/mm/yyyy"/>
    </dxf>
    <dxf>
      <numFmt numFmtId="171" formatCode="dd/mm/yyyy\ hh:mm"/>
    </dxf>
    <dxf>
      <fill>
        <patternFill patternType="solid">
          <fgColor indexed="64"/>
          <bgColor theme="7"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solid">
          <fgColor theme="9" tint="0.79998168889431442"/>
          <bgColor theme="9" tint="0.79998168889431442"/>
        </patternFill>
      </fill>
      <border diagonalUp="0" diagonalDown="0">
        <left style="thin">
          <color theme="9"/>
        </left>
        <right style="thin">
          <color theme="9"/>
        </right>
        <top style="thin">
          <color theme="9"/>
        </top>
        <bottom style="thin">
          <color theme="9"/>
        </bottom>
        <vertical/>
        <horizontal/>
      </border>
    </dxf>
    <dxf>
      <numFmt numFmtId="19" formatCode="d/mm/yyyy"/>
    </dxf>
    <dxf>
      <numFmt numFmtId="2" formatCode="0.00"/>
    </dxf>
    <dxf>
      <numFmt numFmtId="1" formatCode="0"/>
    </dxf>
    <dxf>
      <numFmt numFmtId="1" formatCode="0"/>
    </dxf>
    <dxf>
      <numFmt numFmtId="19" formatCode="d/mm/yyyy"/>
    </dxf>
    <dxf>
      <numFmt numFmtId="1" formatCode="0"/>
    </dxf>
    <dxf>
      <numFmt numFmtId="167" formatCode="0.0"/>
    </dxf>
    <dxf>
      <alignment horizontal="general" vertical="bottom" textRotation="0" wrapText="0" indent="0" justifyLastLine="0" shrinkToFit="0" readingOrder="0"/>
    </dxf>
    <dxf>
      <numFmt numFmtId="19" formatCode="d/mm/yyyy"/>
    </dxf>
    <dxf>
      <numFmt numFmtId="1" formatCode="0"/>
    </dxf>
    <dxf>
      <numFmt numFmtId="19" formatCode="d/mm/yyyy"/>
    </dxf>
    <dxf>
      <numFmt numFmtId="175" formatCode="##0.0E+00"/>
    </dxf>
    <dxf>
      <numFmt numFmtId="19" formatCode="d/mm/yyyy"/>
    </dxf>
    <dxf>
      <numFmt numFmtId="19" formatCode="d/mm/yyyy"/>
    </dxf>
    <dxf>
      <numFmt numFmtId="173" formatCode="##0.00E+0"/>
    </dxf>
    <dxf>
      <numFmt numFmtId="165" formatCode="0.000"/>
    </dxf>
    <dxf>
      <numFmt numFmtId="173" formatCode="##0.00E+0"/>
    </dxf>
    <dxf>
      <numFmt numFmtId="166" formatCode="0.000E+00"/>
    </dxf>
    <dxf>
      <numFmt numFmtId="164" formatCode="0.0000"/>
    </dxf>
    <dxf>
      <fill>
        <patternFill patternType="solid">
          <fgColor indexed="64"/>
          <bgColor theme="3" tint="0.79998168889431442"/>
        </patternFill>
      </fill>
      <alignment horizontal="general" vertical="bottom" textRotation="0" wrapText="1" indent="0" justifyLastLine="0" shrinkToFit="0" readingOrder="0"/>
    </dxf>
    <dxf>
      <numFmt numFmtId="15" formatCode="0.00E+00"/>
    </dxf>
    <dxf>
      <numFmt numFmtId="15" formatCode="0.00E+00"/>
    </dxf>
    <dxf>
      <numFmt numFmtId="1" formatCode="0"/>
    </dxf>
    <dxf>
      <numFmt numFmtId="175" formatCode="##0.0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5" formatCode="##0.0E+00"/>
    </dxf>
    <dxf>
      <numFmt numFmtId="1" formatCode="0"/>
    </dxf>
    <dxf>
      <numFmt numFmtId="1" formatCode="0"/>
    </dxf>
    <dxf>
      <numFmt numFmtId="175" formatCode="##0.0E+00"/>
    </dxf>
    <dxf>
      <numFmt numFmtId="1" formatCode="0"/>
    </dxf>
    <dxf>
      <numFmt numFmtId="175" formatCode="##0.0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7" formatCode="##0.00E+00"/>
    </dxf>
    <dxf>
      <numFmt numFmtId="167" formatCode="0.0"/>
    </dxf>
    <dxf>
      <numFmt numFmtId="167" formatCode="0.0"/>
    </dxf>
    <dxf>
      <numFmt numFmtId="167" formatCode="0.0"/>
    </dxf>
    <dxf>
      <numFmt numFmtId="1" formatCode="0"/>
    </dxf>
    <dxf>
      <numFmt numFmtId="1" formatCode="0"/>
    </dxf>
    <dxf>
      <numFmt numFmtId="177" formatCode="##0.00E+00"/>
    </dxf>
    <dxf>
      <numFmt numFmtId="1" formatCode="0"/>
    </dxf>
    <dxf>
      <numFmt numFmtId="1" formatCode="0"/>
    </dxf>
    <dxf>
      <numFmt numFmtId="1" formatCode="0"/>
    </dxf>
    <dxf>
      <numFmt numFmtId="1" formatCode="0"/>
    </dxf>
    <dxf>
      <numFmt numFmtId="1" formatCode="0"/>
    </dxf>
    <dxf>
      <numFmt numFmtId="15" formatCode="0.00E+00"/>
    </dxf>
    <dxf>
      <numFmt numFmtId="1" formatCode="0"/>
    </dxf>
    <dxf>
      <numFmt numFmtId="165" formatCode="0.000"/>
    </dxf>
    <dxf>
      <numFmt numFmtId="165" formatCode="0.000"/>
    </dxf>
    <dxf>
      <numFmt numFmtId="1" formatCode="0"/>
    </dxf>
    <dxf>
      <numFmt numFmtId="0" formatCode="General"/>
    </dxf>
    <dxf>
      <numFmt numFmtId="0" formatCode="General"/>
    </dxf>
    <dxf>
      <numFmt numFmtId="1" formatCode="0"/>
    </dxf>
    <dxf>
      <numFmt numFmtId="1" formatCode="0"/>
    </dxf>
    <dxf>
      <numFmt numFmtId="1" formatCode="0"/>
      <fill>
        <patternFill patternType="none">
          <fgColor indexed="64"/>
          <bgColor auto="1"/>
        </patternFill>
      </fil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0.0"/>
    </dxf>
    <dxf>
      <numFmt numFmtId="167" formatCode="0.0"/>
    </dxf>
    <dxf>
      <numFmt numFmtId="167" formatCode="0.0"/>
    </dxf>
    <dxf>
      <numFmt numFmtId="167" formatCode="0.0"/>
    </dxf>
    <dxf>
      <numFmt numFmtId="167" formatCode="0.0"/>
    </dxf>
    <dxf>
      <numFmt numFmtId="0" formatCode="General"/>
    </dxf>
    <dxf>
      <numFmt numFmtId="164" formatCode="0.0000"/>
    </dxf>
    <dxf>
      <numFmt numFmtId="2" formatCode="0.00"/>
    </dxf>
    <dxf>
      <numFmt numFmtId="164" formatCode="0.0000"/>
    </dxf>
    <dxf>
      <numFmt numFmtId="175" formatCode="##0.0E+00"/>
    </dxf>
    <dxf>
      <numFmt numFmtId="0" formatCode="General"/>
    </dxf>
    <dxf>
      <numFmt numFmtId="0" formatCode="General"/>
    </dxf>
    <dxf>
      <numFmt numFmtId="19" formatCode="d/mm/yyyy"/>
    </dxf>
    <dxf>
      <alignment horizontal="general" vertical="bottom" textRotation="0" wrapText="1" indent="0" justifyLastLine="0" shrinkToFit="0" readingOrder="0"/>
    </dxf>
  </dxfs>
  <tableStyles count="0" defaultTableStyle="TableStyleMedium2" defaultPivotStyle="PivotStyleLight16"/>
  <colors>
    <mruColors>
      <color rgb="FF080808"/>
      <color rgb="FFCC0099"/>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5.xml"/><Relationship Id="rId13" Type="http://schemas.openxmlformats.org/officeDocument/2006/relationships/chartsheet" Target="chartsheets/sheet8.xml"/><Relationship Id="rId18" Type="http://schemas.openxmlformats.org/officeDocument/2006/relationships/chartsheet" Target="chartsheets/sheet13.xml"/><Relationship Id="rId26" Type="http://schemas.openxmlformats.org/officeDocument/2006/relationships/chartsheet" Target="chartsheets/sheet20.xml"/><Relationship Id="rId3" Type="http://schemas.openxmlformats.org/officeDocument/2006/relationships/chartsheet" Target="chartsheets/sheet2.xml"/><Relationship Id="rId21" Type="http://schemas.openxmlformats.org/officeDocument/2006/relationships/chartsheet" Target="chartsheets/sheet16.xml"/><Relationship Id="rId34" Type="http://schemas.openxmlformats.org/officeDocument/2006/relationships/theme" Target="theme/theme1.xml"/><Relationship Id="rId7" Type="http://schemas.openxmlformats.org/officeDocument/2006/relationships/worksheet" Target="worksheets/sheet3.xml"/><Relationship Id="rId12" Type="http://schemas.openxmlformats.org/officeDocument/2006/relationships/chartsheet" Target="chartsheets/sheet7.xml"/><Relationship Id="rId17" Type="http://schemas.openxmlformats.org/officeDocument/2006/relationships/chartsheet" Target="chartsheets/sheet12.xml"/><Relationship Id="rId25" Type="http://schemas.openxmlformats.org/officeDocument/2006/relationships/chartsheet" Target="chartsheets/sheet19.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chartsheet" Target="chartsheets/sheet1.xml"/><Relationship Id="rId16" Type="http://schemas.openxmlformats.org/officeDocument/2006/relationships/chartsheet" Target="chartsheets/sheet11.xml"/><Relationship Id="rId20" Type="http://schemas.openxmlformats.org/officeDocument/2006/relationships/chartsheet" Target="chartsheets/sheet15.xml"/><Relationship Id="rId29" Type="http://schemas.openxmlformats.org/officeDocument/2006/relationships/chartsheet" Target="chartsheets/sheet23.xml"/><Relationship Id="rId1" Type="http://schemas.openxmlformats.org/officeDocument/2006/relationships/worksheet" Target="worksheets/sheet1.xml"/><Relationship Id="rId6" Type="http://schemas.openxmlformats.org/officeDocument/2006/relationships/chartsheet" Target="chartsheets/sheet4.xml"/><Relationship Id="rId11" Type="http://schemas.openxmlformats.org/officeDocument/2006/relationships/worksheet" Target="worksheets/sheet5.xml"/><Relationship Id="rId24" Type="http://schemas.openxmlformats.org/officeDocument/2006/relationships/chartsheet" Target="chartsheets/sheet18.xml"/><Relationship Id="rId32" Type="http://schemas.openxmlformats.org/officeDocument/2006/relationships/worksheet" Target="worksheets/sheet7.xml"/><Relationship Id="rId37" Type="http://schemas.openxmlformats.org/officeDocument/2006/relationships/calcChain" Target="calcChain.xml"/><Relationship Id="rId5" Type="http://schemas.openxmlformats.org/officeDocument/2006/relationships/chartsheet" Target="chartsheets/sheet3.xml"/><Relationship Id="rId15" Type="http://schemas.openxmlformats.org/officeDocument/2006/relationships/chartsheet" Target="chartsheets/sheet10.xml"/><Relationship Id="rId23" Type="http://schemas.openxmlformats.org/officeDocument/2006/relationships/worksheet" Target="worksheets/sheet6.xml"/><Relationship Id="rId28" Type="http://schemas.openxmlformats.org/officeDocument/2006/relationships/chartsheet" Target="chartsheets/sheet22.xml"/><Relationship Id="rId36" Type="http://schemas.openxmlformats.org/officeDocument/2006/relationships/sharedStrings" Target="sharedStrings.xml"/><Relationship Id="rId10" Type="http://schemas.openxmlformats.org/officeDocument/2006/relationships/worksheet" Target="worksheets/sheet4.xml"/><Relationship Id="rId19" Type="http://schemas.openxmlformats.org/officeDocument/2006/relationships/chartsheet" Target="chartsheets/sheet14.xml"/><Relationship Id="rId31" Type="http://schemas.openxmlformats.org/officeDocument/2006/relationships/chartsheet" Target="chartsheets/sheet25.xml"/><Relationship Id="rId4" Type="http://schemas.openxmlformats.org/officeDocument/2006/relationships/worksheet" Target="worksheets/sheet2.xml"/><Relationship Id="rId9" Type="http://schemas.openxmlformats.org/officeDocument/2006/relationships/chartsheet" Target="chartsheets/sheet6.xml"/><Relationship Id="rId14" Type="http://schemas.openxmlformats.org/officeDocument/2006/relationships/chartsheet" Target="chartsheets/sheet9.xml"/><Relationship Id="rId22" Type="http://schemas.openxmlformats.org/officeDocument/2006/relationships/chartsheet" Target="chartsheets/sheet17.xml"/><Relationship Id="rId27" Type="http://schemas.openxmlformats.org/officeDocument/2006/relationships/chartsheet" Target="chartsheets/sheet21.xml"/><Relationship Id="rId30" Type="http://schemas.openxmlformats.org/officeDocument/2006/relationships/chartsheet" Target="chartsheets/sheet24.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24.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30.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3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35.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39.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43.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48.xml"/><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COVID19</a:t>
            </a:r>
            <a:r>
              <a:rPr lang="en-AU" baseline="0"/>
              <a:t> NSW Cases</a:t>
            </a:r>
            <a:endParaRPr lang="en-AU"/>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770781879081094E-2"/>
          <c:y val="9.5692523094125223E-2"/>
          <c:w val="0.85045843624183781"/>
          <c:h val="0.66675733941375714"/>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47625" cap="rnd">
                <a:solidFill>
                  <a:srgbClr val="FF0000">
                    <a:alpha val="63000"/>
                  </a:srgbClr>
                </a:solidFill>
                <a:prstDash val="solid"/>
              </a:ln>
              <a:effectLst/>
            </c:spPr>
            <c:trendlineType val="exp"/>
            <c:forward val="14"/>
            <c:dispRSqr val="1"/>
            <c:dispEq val="1"/>
            <c:trendlineLbl>
              <c:layout>
                <c:manualLayout>
                  <c:x val="-0.12645660793149946"/>
                  <c:y val="2.14038146408110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0"/>
          <c:order val="1"/>
          <c:tx>
            <c:v>Logistic Prediction</c:v>
          </c:tx>
          <c:spPr>
            <a:ln w="19050" cap="rnd">
              <a:solidFill>
                <a:schemeClr val="accent1"/>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dLbls>
          <c:showLegendKey val="0"/>
          <c:showVal val="0"/>
          <c:showCatName val="0"/>
          <c:showSerName val="0"/>
          <c:showPercent val="0"/>
          <c:showBubbleSize val="0"/>
        </c:dLbls>
        <c:axId val="751216096"/>
        <c:axId val="751219232"/>
      </c:scatterChart>
      <c:valAx>
        <c:axId val="751216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9232"/>
        <c:crosses val="autoZero"/>
        <c:crossBetween val="midCat"/>
      </c:valAx>
      <c:valAx>
        <c:axId val="751219232"/>
        <c:scaling>
          <c:logBase val="10"/>
          <c:orientation val="minMax"/>
          <c:max val="100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6096"/>
        <c:crosses val="autoZero"/>
        <c:crossBetween val="midCat"/>
      </c:valAx>
      <c:spPr>
        <a:noFill/>
        <a:ln>
          <a:noFill/>
        </a:ln>
        <a:effectLst/>
      </c:spPr>
    </c:plotArea>
    <c:legend>
      <c:legendPos val="b"/>
      <c:layout>
        <c:manualLayout>
          <c:xMode val="edge"/>
          <c:yMode val="edge"/>
          <c:x val="0.21542621438983967"/>
          <c:y val="0.21857955690483466"/>
          <c:w val="0.18750031493421657"/>
          <c:h val="0.167378369857047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r2=998.6E-3, Limit=3.71 k=&gt;3.00 k cases 
 (Fit: Sat 25-Jan - Thu 02-Apr), Cases per 10 M population</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NSW Confirmed Cases</c:v>
          </c:tx>
          <c:spPr>
            <a:ln w="22225" cap="rnd">
              <a:solidFill>
                <a:schemeClr val="accent6"/>
              </a:solidFill>
              <a:round/>
            </a:ln>
            <a:effectLst/>
          </c:spPr>
          <c:marker>
            <c:symbol val="x"/>
            <c:size val="5"/>
            <c:spPr>
              <a:noFill/>
              <a:ln w="9525">
                <a:solidFill>
                  <a:schemeClr val="accent6">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0"/>
          <c:order val="1"/>
          <c:tx>
            <c:strRef>
              <c:f>myData!NSWSeries</c:f>
              <c:strCache>
                <c:ptCount val="1"/>
                <c:pt idx="0">
                  <c:v>NSW Limit 3.71 k</c:v>
                </c:pt>
              </c:strCache>
            </c:strRef>
          </c:tx>
          <c:spPr>
            <a:ln w="12700" cap="rnd">
              <a:solidFill>
                <a:schemeClr val="accent6">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3"/>
          <c:order val="2"/>
          <c:tx>
            <c:v>Au Confirmed Cases</c:v>
          </c:tx>
          <c:spPr>
            <a:ln w="19050" cap="rnd">
              <a:solidFill>
                <a:srgbClr val="FF0000"/>
              </a:solidFill>
              <a:round/>
            </a:ln>
            <a:effectLst/>
          </c:spPr>
          <c:marker>
            <c:symbol val="x"/>
            <c:size val="5"/>
            <c:spPr>
              <a:noFill/>
              <a:ln w="9525">
                <a:solidFill>
                  <a:srgbClr val="FF0000"/>
                </a:solidFill>
              </a:ln>
              <a:effectLst/>
            </c:spPr>
          </c:marker>
          <c:xVal>
            <c:numRef>
              <c:f>myData!AuDates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myData!AuCases</c:f>
              <c:numCache>
                <c:formatCode>0.000</c:formatCode>
                <c:ptCount val="68"/>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2013.8779372338747</c:v>
                </c:pt>
              </c:numCache>
            </c:numRef>
          </c:yVal>
          <c:smooth val="0"/>
        </c:ser>
        <c:ser>
          <c:idx val="4"/>
          <c:order val="3"/>
          <c:tx>
            <c:strRef>
              <c:f>myData!AuSeries</c:f>
              <c:strCache>
                <c:ptCount val="1"/>
                <c:pt idx="0">
                  <c:v>Australia Limit 2.44 k</c:v>
                </c:pt>
              </c:strCache>
            </c:strRef>
          </c:tx>
          <c:spPr>
            <a:ln w="12700" cap="rnd">
              <a:solidFill>
                <a:srgbClr val="FF0000"/>
              </a:solidFill>
              <a:prstDash val="sysDash"/>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5.0780158348501107E-4</c:v>
                </c:pt>
                <c:pt idx="1">
                  <c:v>6.5404230481095292E-4</c:v>
                </c:pt>
                <c:pt idx="2">
                  <c:v>8.4239857259244824E-4</c:v>
                </c:pt>
                <c:pt idx="3">
                  <c:v>1.0849991416250304E-3</c:v>
                </c:pt>
                <c:pt idx="4">
                  <c:v>1.3974656912655325E-3</c:v>
                </c:pt>
                <c:pt idx="5">
                  <c:v>1.7999187383778831E-3</c:v>
                </c:pt>
                <c:pt idx="6">
                  <c:v>2.3182732362566857E-3</c:v>
                </c:pt>
                <c:pt idx="7">
                  <c:v>2.9859072824000464E-3</c:v>
                </c:pt>
                <c:pt idx="8">
                  <c:v>3.8458113806717582E-3</c:v>
                </c:pt>
                <c:pt idx="9">
                  <c:v>4.9533566429069307E-3</c:v>
                </c:pt>
                <c:pt idx="10">
                  <c:v>6.379860162423789E-3</c:v>
                </c:pt>
                <c:pt idx="11">
                  <c:v>8.2171771110498126E-3</c:v>
                </c:pt>
                <c:pt idx="12">
                  <c:v>1.0583615203345937E-2</c:v>
                </c:pt>
                <c:pt idx="13">
                  <c:v>1.3631552286949062E-2</c:v>
                </c:pt>
                <c:pt idx="14">
                  <c:v>1.7557247427833086E-2</c:v>
                </c:pt>
                <c:pt idx="15">
                  <c:v>2.2613477006429773E-2</c:v>
                </c:pt>
                <c:pt idx="16">
                  <c:v>2.9125809088155249E-2</c:v>
                </c:pt>
                <c:pt idx="17">
                  <c:v>3.7513563340633591E-2</c:v>
                </c:pt>
                <c:pt idx="18">
                  <c:v>4.8316805037684707E-2</c:v>
                </c:pt>
                <c:pt idx="19">
                  <c:v>6.2231109499340589E-2</c:v>
                </c:pt>
                <c:pt idx="20">
                  <c:v>8.0152332445696792E-2</c:v>
                </c:pt>
                <c:pt idx="21">
                  <c:v>0.10323426400850313</c:v>
                </c:pt>
                <c:pt idx="22">
                  <c:v>0.13296287037121177</c:v>
                </c:pt>
                <c:pt idx="23">
                  <c:v>0.17125188951301457</c:v>
                </c:pt>
                <c:pt idx="24">
                  <c:v>0.22056591326410149</c:v>
                </c:pt>
                <c:pt idx="25">
                  <c:v>0.28407884234612357</c:v>
                </c:pt>
                <c:pt idx="26">
                  <c:v>0.36587785321200644</c:v>
                </c:pt>
                <c:pt idx="27">
                  <c:v>0.47122590364440897</c:v>
                </c:pt>
                <c:pt idx="28">
                  <c:v>0.60689950311346952</c:v>
                </c:pt>
                <c:pt idx="29">
                  <c:v>0.7816232036645312</c:v>
                </c:pt>
                <c:pt idx="30">
                  <c:v>1.0066283017744495</c:v>
                </c:pt>
                <c:pt idx="31">
                  <c:v>1.2963709194815802</c:v>
                </c:pt>
                <c:pt idx="32">
                  <c:v>1.6694543654176943</c:v>
                </c:pt>
                <c:pt idx="33">
                  <c:v>2.1498129525199996</c:v>
                </c:pt>
                <c:pt idx="34">
                  <c:v>2.7682298331535495</c:v>
                </c:pt>
                <c:pt idx="35">
                  <c:v>3.5642805217006082</c:v>
                </c:pt>
                <c:pt idx="36">
                  <c:v>4.5888172268410514</c:v>
                </c:pt>
                <c:pt idx="37">
                  <c:v>5.9071374162777035</c:v>
                </c:pt>
                <c:pt idx="38">
                  <c:v>7.6030133674683569</c:v>
                </c:pt>
                <c:pt idx="39">
                  <c:v>9.7837972992689277</c:v>
                </c:pt>
                <c:pt idx="40">
                  <c:v>12.586857161961168</c:v>
                </c:pt>
                <c:pt idx="41">
                  <c:v>16.187636995451786</c:v>
                </c:pt>
                <c:pt idx="42">
                  <c:v>20.809664516482755</c:v>
                </c:pt>
                <c:pt idx="43">
                  <c:v>26.736832045718604</c:v>
                </c:pt>
                <c:pt idx="44">
                  <c:v>34.328229126351808</c:v>
                </c:pt>
                <c:pt idx="45">
                  <c:v>44.03566425113214</c:v>
                </c:pt>
                <c:pt idx="46">
                  <c:v>56.423714355462373</c:v>
                </c:pt>
                <c:pt idx="47">
                  <c:v>72.191590317657884</c:v>
                </c:pt>
                <c:pt idx="48">
                  <c:v>92.195179179570601</c:v>
                </c:pt>
                <c:pt idx="49">
                  <c:v>117.46617251868628</c:v>
                </c:pt>
                <c:pt idx="50">
                  <c:v>149.22308751631024</c:v>
                </c:pt>
                <c:pt idx="51">
                  <c:v>188.86621970870678</c:v>
                </c:pt>
                <c:pt idx="52">
                  <c:v>237.94541939955033</c:v>
                </c:pt>
                <c:pt idx="53">
                  <c:v>298.08692497497566</c:v>
                </c:pt>
                <c:pt idx="54">
                  <c:v>370.86508683149322</c:v>
                </c:pt>
                <c:pt idx="55">
                  <c:v>457.60946513200952</c:v>
                </c:pt>
                <c:pt idx="56">
                  <c:v>559.15070131983191</c:v>
                </c:pt>
                <c:pt idx="57">
                  <c:v>675.53146881117766</c:v>
                </c:pt>
                <c:pt idx="58">
                  <c:v>805.73857376856859</c:v>
                </c:pt>
                <c:pt idx="59">
                  <c:v>947.53778679735046</c:v>
                </c:pt>
                <c:pt idx="60">
                  <c:v>1097.4962153921856</c:v>
                </c:pt>
                <c:pt idx="61">
                  <c:v>1251.2422517287348</c:v>
                </c:pt>
                <c:pt idx="62">
                  <c:v>1403.9419710971692</c:v>
                </c:pt>
                <c:pt idx="63">
                  <c:v>1550.8908420790906</c:v>
                </c:pt>
                <c:pt idx="64">
                  <c:v>1688.0726128690712</c:v>
                </c:pt>
                <c:pt idx="65">
                  <c:v>1812.5508892753742</c:v>
                </c:pt>
                <c:pt idx="66">
                  <c:v>1922.6250070724</c:v>
                </c:pt>
                <c:pt idx="67">
                  <c:v>2017.7628524309123</c:v>
                </c:pt>
                <c:pt idx="68">
                  <c:v>2098.3806987716216</c:v>
                </c:pt>
                <c:pt idx="69" formatCode="0.00E+00">
                  <c:v>2165.5574447218241</c:v>
                </c:pt>
                <c:pt idx="70" formatCode="0.00E+00">
                  <c:v>2385.6529412551895</c:v>
                </c:pt>
                <c:pt idx="71" formatCode="0.00E+00">
                  <c:v>2427.6132070388553</c:v>
                </c:pt>
                <c:pt idx="72" formatCode="0.00E+00">
                  <c:v>2434.8965165482655</c:v>
                </c:pt>
                <c:pt idx="73" formatCode="0.00E+00">
                  <c:v>2436.1395096568326</c:v>
                </c:pt>
                <c:pt idx="74" formatCode="0.00E+00">
                  <c:v>2436.3510266989711</c:v>
                </c:pt>
                <c:pt idx="75" formatCode="0.00E+00">
                  <c:v>2436.38700219365</c:v>
                </c:pt>
                <c:pt idx="76" formatCode="0.00E+00">
                  <c:v>2436.3931205049316</c:v>
                </c:pt>
                <c:pt idx="77" formatCode="0.00E+00">
                  <c:v>2436.3941610242223</c:v>
                </c:pt>
                <c:pt idx="78" formatCode="0.00E+00">
                  <c:v>2436.3943379811799</c:v>
                </c:pt>
                <c:pt idx="79" formatCode="0.00E+00">
                  <c:v>2436.3943680755301</c:v>
                </c:pt>
                <c:pt idx="80" formatCode="0.00E+00">
                  <c:v>2436.3943731935537</c:v>
                </c:pt>
                <c:pt idx="81" formatCode="0.00E+00">
                  <c:v>2436.3943740639552</c:v>
                </c:pt>
                <c:pt idx="82" formatCode="0.00E+00">
                  <c:v>2436.3943742119809</c:v>
                </c:pt>
                <c:pt idx="83" formatCode="0.00E+00">
                  <c:v>2436.3943742371548</c:v>
                </c:pt>
                <c:pt idx="84" formatCode="0.00E+00">
                  <c:v>2436.3943742414363</c:v>
                </c:pt>
                <c:pt idx="85" formatCode="0.00E+00">
                  <c:v>2436.3943742421643</c:v>
                </c:pt>
                <c:pt idx="86" formatCode="0.00E+00">
                  <c:v>2436.394374242288</c:v>
                </c:pt>
                <c:pt idx="87" formatCode="0.00E+00">
                  <c:v>2436.3943742423089</c:v>
                </c:pt>
                <c:pt idx="88" formatCode="0.00E+00">
                  <c:v>2436.3943742423126</c:v>
                </c:pt>
                <c:pt idx="89" formatCode="0.00E+00">
                  <c:v>2436.3943742423135</c:v>
                </c:pt>
                <c:pt idx="90" formatCode="0.00E+00">
                  <c:v>2436.3943742423135</c:v>
                </c:pt>
                <c:pt idx="91" formatCode="0.00E+00">
                  <c:v>2436.3943742423135</c:v>
                </c:pt>
                <c:pt idx="92" formatCode="0.00E+00">
                  <c:v>2436.3943742423135</c:v>
                </c:pt>
                <c:pt idx="93" formatCode="0.00E+00">
                  <c:v>2436.3943742423135</c:v>
                </c:pt>
                <c:pt idx="94" formatCode="0.00E+00">
                  <c:v>2436.3943742423135</c:v>
                </c:pt>
                <c:pt idx="95" formatCode="0.00E+00">
                  <c:v>2436.3943742423135</c:v>
                </c:pt>
                <c:pt idx="96" formatCode="0.00E+00">
                  <c:v>2436.3943742423135</c:v>
                </c:pt>
                <c:pt idx="97" formatCode="0.00E+00">
                  <c:v>2436.3943742423135</c:v>
                </c:pt>
                <c:pt idx="98" formatCode="0.00E+00">
                  <c:v>2436.3943742423135</c:v>
                </c:pt>
                <c:pt idx="99" formatCode="0.00E+00">
                  <c:v>2436.3943742423135</c:v>
                </c:pt>
                <c:pt idx="100" formatCode="0.00E+00">
                  <c:v>2436.3943742423135</c:v>
                </c:pt>
                <c:pt idx="101" formatCode="0.00E+00">
                  <c:v>2436.3943742423135</c:v>
                </c:pt>
                <c:pt idx="102" formatCode="0.00E+00">
                  <c:v>2436.3943742423135</c:v>
                </c:pt>
              </c:numCache>
            </c:numRef>
          </c:yVal>
          <c:smooth val="0"/>
        </c:ser>
        <c:ser>
          <c:idx val="5"/>
          <c:order val="4"/>
          <c:tx>
            <c:v>Singapore Cases</c:v>
          </c:tx>
          <c:spPr>
            <a:ln w="19050" cap="rnd">
              <a:solidFill>
                <a:schemeClr val="bg2">
                  <a:lumMod val="10000"/>
                </a:schemeClr>
              </a:solidFill>
              <a:round/>
            </a:ln>
            <a:effectLst/>
          </c:spPr>
          <c:marker>
            <c:symbol val="x"/>
            <c:size val="3"/>
            <c:spPr>
              <a:solidFill>
                <a:schemeClr val="tx1">
                  <a:lumMod val="95000"/>
                  <a:lumOff val="5000"/>
                </a:schemeClr>
              </a:solidFill>
              <a:ln w="9525">
                <a:solidFill>
                  <a:schemeClr val="tx1">
                    <a:lumMod val="95000"/>
                    <a:lumOff val="5000"/>
                  </a:schemeClr>
                </a:solidFill>
              </a:ln>
              <a:effectLst/>
            </c:spPr>
          </c:marker>
          <c:xVal>
            <c:numRef>
              <c:f>myData!SingaporeDates</c:f>
              <c:numCache>
                <c:formatCode>m/d/yyyy</c:formatCode>
                <c:ptCount val="70"/>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numCache>
            </c:numRef>
          </c:xVal>
          <c:yVal>
            <c:numRef>
              <c:f>myData!SingaporeCases</c:f>
              <c:numCache>
                <c:formatCode>0.0</c:formatCode>
                <c:ptCount val="106"/>
                <c:pt idx="0">
                  <c:v>1.7094017094017095</c:v>
                </c:pt>
                <c:pt idx="1">
                  <c:v>5.1282051282051286</c:v>
                </c:pt>
                <c:pt idx="2">
                  <c:v>5.1282051282051286</c:v>
                </c:pt>
                <c:pt idx="3">
                  <c:v>6.8376068376068382</c:v>
                </c:pt>
                <c:pt idx="4">
                  <c:v>8.5470085470085468</c:v>
                </c:pt>
                <c:pt idx="5">
                  <c:v>11.965811965811966</c:v>
                </c:pt>
                <c:pt idx="6">
                  <c:v>11.965811965811966</c:v>
                </c:pt>
                <c:pt idx="7">
                  <c:v>17.094017094017094</c:v>
                </c:pt>
                <c:pt idx="8">
                  <c:v>22.222222222222225</c:v>
                </c:pt>
                <c:pt idx="9">
                  <c:v>27.350427350427353</c:v>
                </c:pt>
                <c:pt idx="10">
                  <c:v>30.76923076923077</c:v>
                </c:pt>
                <c:pt idx="11">
                  <c:v>30.76923076923077</c:v>
                </c:pt>
                <c:pt idx="12">
                  <c:v>41.025641025641029</c:v>
                </c:pt>
                <c:pt idx="13">
                  <c:v>47.863247863247864</c:v>
                </c:pt>
                <c:pt idx="14">
                  <c:v>47.863247863247864</c:v>
                </c:pt>
                <c:pt idx="15">
                  <c:v>51.282051282051285</c:v>
                </c:pt>
                <c:pt idx="16">
                  <c:v>56.410256410256416</c:v>
                </c:pt>
                <c:pt idx="17">
                  <c:v>68.376068376068375</c:v>
                </c:pt>
                <c:pt idx="18">
                  <c:v>76.923076923076934</c:v>
                </c:pt>
                <c:pt idx="19">
                  <c:v>80.341880341880341</c:v>
                </c:pt>
                <c:pt idx="20">
                  <c:v>85.470085470085479</c:v>
                </c:pt>
                <c:pt idx="21">
                  <c:v>99.145299145299148</c:v>
                </c:pt>
                <c:pt idx="22" formatCode="##0.0E+00">
                  <c:v>114.52991452991454</c:v>
                </c:pt>
                <c:pt idx="23" formatCode="##0.0E+00">
                  <c:v>123.07692307692308</c:v>
                </c:pt>
                <c:pt idx="24" formatCode="##0.0E+00">
                  <c:v>128.2051282051282</c:v>
                </c:pt>
                <c:pt idx="25" formatCode="##0.0E+00">
                  <c:v>131.62393162393164</c:v>
                </c:pt>
                <c:pt idx="26" formatCode="##0.0E+00">
                  <c:v>138.46153846153848</c:v>
                </c:pt>
                <c:pt idx="27" formatCode="##0.0E+00">
                  <c:v>143.58974358974359</c:v>
                </c:pt>
                <c:pt idx="28" formatCode="##0.0E+00">
                  <c:v>143.58974358974359</c:v>
                </c:pt>
                <c:pt idx="29" formatCode="##0.0E+00">
                  <c:v>145.29914529914529</c:v>
                </c:pt>
                <c:pt idx="30" formatCode="##0.0E+00">
                  <c:v>145.29914529914529</c:v>
                </c:pt>
                <c:pt idx="31" formatCode="##0.0E+00">
                  <c:v>152.13675213675214</c:v>
                </c:pt>
                <c:pt idx="32" formatCode="##0.0E+00">
                  <c:v>152.13675213675214</c:v>
                </c:pt>
                <c:pt idx="33" formatCode="##0.0E+00">
                  <c:v>155.55555555555557</c:v>
                </c:pt>
                <c:pt idx="34" formatCode="##0.0E+00">
                  <c:v>158.97435897435898</c:v>
                </c:pt>
                <c:pt idx="35" formatCode="##0.0E+00">
                  <c:v>158.97435897435898</c:v>
                </c:pt>
                <c:pt idx="36" formatCode="##0.0E+00">
                  <c:v>158.97435897435898</c:v>
                </c:pt>
                <c:pt idx="37" formatCode="##0.0E+00">
                  <c:v>174.35897435897436</c:v>
                </c:pt>
                <c:pt idx="38" formatCode="##0.0E+00">
                  <c:v>181.19658119658121</c:v>
                </c:pt>
                <c:pt idx="39" formatCode="##0.0E+00">
                  <c:v>184.61538461538461</c:v>
                </c:pt>
                <c:pt idx="40" formatCode="##0.0E+00">
                  <c:v>188.03418803418805</c:v>
                </c:pt>
                <c:pt idx="41" formatCode="##0.0E+00">
                  <c:v>188.03418803418805</c:v>
                </c:pt>
                <c:pt idx="42" formatCode="##0.0E+00">
                  <c:v>200</c:v>
                </c:pt>
                <c:pt idx="43" formatCode="##0.0E+00">
                  <c:v>222.22222222222223</c:v>
                </c:pt>
                <c:pt idx="44" formatCode="##0.0E+00">
                  <c:v>235.89743589743591</c:v>
                </c:pt>
                <c:pt idx="45" formatCode="##0.0E+00">
                  <c:v>256.41025641025641</c:v>
                </c:pt>
                <c:pt idx="46" formatCode="##0.0E+00">
                  <c:v>256.41025641025641</c:v>
                </c:pt>
                <c:pt idx="47" formatCode="##0.0E+00">
                  <c:v>273.5042735042735</c:v>
                </c:pt>
                <c:pt idx="48" formatCode="##0.0E+00">
                  <c:v>304.27350427350427</c:v>
                </c:pt>
                <c:pt idx="49" formatCode="##0.0E+00">
                  <c:v>304.27350427350427</c:v>
                </c:pt>
                <c:pt idx="50" formatCode="##0.0E+00">
                  <c:v>341.88034188034192</c:v>
                </c:pt>
                <c:pt idx="51" formatCode="##0.0E+00">
                  <c:v>362.39316239316241</c:v>
                </c:pt>
                <c:pt idx="52" formatCode="##0.0E+00">
                  <c:v>386.32478632478637</c:v>
                </c:pt>
                <c:pt idx="53" formatCode="##0.0E+00">
                  <c:v>415.38461538461542</c:v>
                </c:pt>
                <c:pt idx="54" formatCode="##0.0E+00">
                  <c:v>454.70085470085473</c:v>
                </c:pt>
                <c:pt idx="55" formatCode="##0.0E+00">
                  <c:v>535.0427350427351</c:v>
                </c:pt>
                <c:pt idx="56" formatCode="##0.0E+00">
                  <c:v>589.74358974358972</c:v>
                </c:pt>
                <c:pt idx="57" formatCode="##0.0E+00">
                  <c:v>658.1196581196582</c:v>
                </c:pt>
                <c:pt idx="58" formatCode="##0.0E+00">
                  <c:v>738.46153846153845</c:v>
                </c:pt>
                <c:pt idx="59" formatCode="##0.0E+00">
                  <c:v>777.77777777777783</c:v>
                </c:pt>
                <c:pt idx="60" formatCode="##0.0E+00">
                  <c:v>870.08547008547009</c:v>
                </c:pt>
                <c:pt idx="61" formatCode="##0.0E+00">
                  <c:v>953.84615384615392</c:v>
                </c:pt>
                <c:pt idx="62">
                  <c:v>1078.6324786324788</c:v>
                </c:pt>
                <c:pt idx="63">
                  <c:v>1167.5213675213677</c:v>
                </c:pt>
                <c:pt idx="64">
                  <c:v>1251.2820512820513</c:v>
                </c:pt>
                <c:pt idx="65">
                  <c:v>1370.9401709401711</c:v>
                </c:pt>
                <c:pt idx="66">
                  <c:v>1442.7350427350427</c:v>
                </c:pt>
                <c:pt idx="67">
                  <c:v>1502.5641025641028</c:v>
                </c:pt>
                <c:pt idx="68">
                  <c:v>1582.9059829059829</c:v>
                </c:pt>
                <c:pt idx="69">
                  <c:v>1709.4017094017095</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numCache>
            </c:numRef>
          </c:yVal>
          <c:smooth val="0"/>
        </c:ser>
        <c:ser>
          <c:idx val="2"/>
          <c:order val="5"/>
          <c:tx>
            <c:strRef>
              <c:f>myData!SingaporeSeries</c:f>
              <c:strCache>
                <c:ptCount val="1"/>
                <c:pt idx="0">
                  <c:v>Singapore Limit 241 k</c:v>
                </c:pt>
              </c:strCache>
            </c:strRef>
          </c:tx>
          <c:spPr>
            <a:ln w="19050" cap="rnd">
              <a:solidFill>
                <a:schemeClr val="tx1">
                  <a:lumMod val="95000"/>
                  <a:lumOff val="5000"/>
                </a:schemeClr>
              </a:solidFill>
              <a:prstDash val="sysDot"/>
              <a:round/>
            </a:ln>
            <a:effectLst/>
          </c:spPr>
          <c:marker>
            <c:symbol val="none"/>
          </c:marker>
          <c:xVal>
            <c:numRef>
              <c:f>myData!SingaporeLogiDates</c:f>
              <c:numCache>
                <c:formatCode>m/d/yyyy</c:formatCode>
                <c:ptCount val="88"/>
                <c:pt idx="0">
                  <c:v>43871</c:v>
                </c:pt>
                <c:pt idx="1">
                  <c:v>43872</c:v>
                </c:pt>
                <c:pt idx="2">
                  <c:v>43873</c:v>
                </c:pt>
                <c:pt idx="3">
                  <c:v>43874</c:v>
                </c:pt>
                <c:pt idx="4">
                  <c:v>43875</c:v>
                </c:pt>
                <c:pt idx="5">
                  <c:v>43876</c:v>
                </c:pt>
                <c:pt idx="6">
                  <c:v>43877</c:v>
                </c:pt>
                <c:pt idx="7">
                  <c:v>43878</c:v>
                </c:pt>
                <c:pt idx="8">
                  <c:v>43879</c:v>
                </c:pt>
                <c:pt idx="9">
                  <c:v>43880</c:v>
                </c:pt>
                <c:pt idx="10">
                  <c:v>43881</c:v>
                </c:pt>
                <c:pt idx="11">
                  <c:v>43882</c:v>
                </c:pt>
                <c:pt idx="12">
                  <c:v>43883</c:v>
                </c:pt>
                <c:pt idx="13">
                  <c:v>43884</c:v>
                </c:pt>
                <c:pt idx="14">
                  <c:v>43885</c:v>
                </c:pt>
                <c:pt idx="15">
                  <c:v>43886</c:v>
                </c:pt>
                <c:pt idx="16">
                  <c:v>43887</c:v>
                </c:pt>
                <c:pt idx="17">
                  <c:v>43888</c:v>
                </c:pt>
                <c:pt idx="18">
                  <c:v>43889</c:v>
                </c:pt>
                <c:pt idx="19">
                  <c:v>43890</c:v>
                </c:pt>
                <c:pt idx="20">
                  <c:v>43891</c:v>
                </c:pt>
                <c:pt idx="21">
                  <c:v>43892</c:v>
                </c:pt>
                <c:pt idx="22">
                  <c:v>43893</c:v>
                </c:pt>
                <c:pt idx="23">
                  <c:v>43894</c:v>
                </c:pt>
                <c:pt idx="24">
                  <c:v>43895</c:v>
                </c:pt>
                <c:pt idx="25">
                  <c:v>43896</c:v>
                </c:pt>
                <c:pt idx="26">
                  <c:v>43897</c:v>
                </c:pt>
                <c:pt idx="27">
                  <c:v>43898</c:v>
                </c:pt>
                <c:pt idx="28">
                  <c:v>43899</c:v>
                </c:pt>
                <c:pt idx="29">
                  <c:v>43900</c:v>
                </c:pt>
                <c:pt idx="30">
                  <c:v>43901</c:v>
                </c:pt>
                <c:pt idx="31">
                  <c:v>43902</c:v>
                </c:pt>
                <c:pt idx="32">
                  <c:v>43903</c:v>
                </c:pt>
                <c:pt idx="33">
                  <c:v>43904</c:v>
                </c:pt>
                <c:pt idx="34">
                  <c:v>43905</c:v>
                </c:pt>
                <c:pt idx="35">
                  <c:v>43906</c:v>
                </c:pt>
                <c:pt idx="36">
                  <c:v>43907</c:v>
                </c:pt>
                <c:pt idx="37">
                  <c:v>43908</c:v>
                </c:pt>
                <c:pt idx="38">
                  <c:v>43909</c:v>
                </c:pt>
                <c:pt idx="39">
                  <c:v>43910</c:v>
                </c:pt>
                <c:pt idx="40">
                  <c:v>43911</c:v>
                </c:pt>
                <c:pt idx="41">
                  <c:v>43912</c:v>
                </c:pt>
                <c:pt idx="42">
                  <c:v>43913</c:v>
                </c:pt>
                <c:pt idx="43">
                  <c:v>43914</c:v>
                </c:pt>
                <c:pt idx="44">
                  <c:v>43915</c:v>
                </c:pt>
                <c:pt idx="45">
                  <c:v>43916</c:v>
                </c:pt>
                <c:pt idx="46">
                  <c:v>43917</c:v>
                </c:pt>
                <c:pt idx="47">
                  <c:v>43918</c:v>
                </c:pt>
                <c:pt idx="48">
                  <c:v>43919</c:v>
                </c:pt>
                <c:pt idx="49">
                  <c:v>43920</c:v>
                </c:pt>
                <c:pt idx="50">
                  <c:v>43921</c:v>
                </c:pt>
                <c:pt idx="51">
                  <c:v>43922</c:v>
                </c:pt>
                <c:pt idx="52">
                  <c:v>43923</c:v>
                </c:pt>
                <c:pt idx="53">
                  <c:v>43924</c:v>
                </c:pt>
                <c:pt idx="54">
                  <c:v>43925</c:v>
                </c:pt>
                <c:pt idx="55">
                  <c:v>43932</c:v>
                </c:pt>
                <c:pt idx="56">
                  <c:v>43939</c:v>
                </c:pt>
                <c:pt idx="57">
                  <c:v>43946</c:v>
                </c:pt>
                <c:pt idx="58">
                  <c:v>43953</c:v>
                </c:pt>
                <c:pt idx="59">
                  <c:v>43960</c:v>
                </c:pt>
                <c:pt idx="60">
                  <c:v>43967</c:v>
                </c:pt>
                <c:pt idx="61">
                  <c:v>43974</c:v>
                </c:pt>
                <c:pt idx="62">
                  <c:v>43981</c:v>
                </c:pt>
                <c:pt idx="63">
                  <c:v>43988</c:v>
                </c:pt>
                <c:pt idx="64">
                  <c:v>43995</c:v>
                </c:pt>
                <c:pt idx="65">
                  <c:v>44002</c:v>
                </c:pt>
                <c:pt idx="66">
                  <c:v>44009</c:v>
                </c:pt>
                <c:pt idx="67">
                  <c:v>44016</c:v>
                </c:pt>
                <c:pt idx="68">
                  <c:v>44023</c:v>
                </c:pt>
                <c:pt idx="69">
                  <c:v>44030</c:v>
                </c:pt>
                <c:pt idx="70">
                  <c:v>44037</c:v>
                </c:pt>
                <c:pt idx="71">
                  <c:v>44044</c:v>
                </c:pt>
                <c:pt idx="72">
                  <c:v>44051</c:v>
                </c:pt>
                <c:pt idx="73">
                  <c:v>44058</c:v>
                </c:pt>
                <c:pt idx="74">
                  <c:v>44065</c:v>
                </c:pt>
                <c:pt idx="75">
                  <c:v>44072</c:v>
                </c:pt>
                <c:pt idx="76">
                  <c:v>44079</c:v>
                </c:pt>
                <c:pt idx="77">
                  <c:v>44086</c:v>
                </c:pt>
                <c:pt idx="78">
                  <c:v>44093</c:v>
                </c:pt>
                <c:pt idx="79">
                  <c:v>44100</c:v>
                </c:pt>
                <c:pt idx="80">
                  <c:v>44107</c:v>
                </c:pt>
                <c:pt idx="81">
                  <c:v>44114</c:v>
                </c:pt>
                <c:pt idx="82">
                  <c:v>44121</c:v>
                </c:pt>
                <c:pt idx="83">
                  <c:v>44128</c:v>
                </c:pt>
                <c:pt idx="84">
                  <c:v>44135</c:v>
                </c:pt>
                <c:pt idx="85">
                  <c:v>44142</c:v>
                </c:pt>
                <c:pt idx="86">
                  <c:v>44149</c:v>
                </c:pt>
                <c:pt idx="87">
                  <c:v>44156</c:v>
                </c:pt>
              </c:numCache>
            </c:numRef>
          </c:xVal>
          <c:yVal>
            <c:numRef>
              <c:f>myData!SingaporeLogi</c:f>
              <c:numCache>
                <c:formatCode>##0.0E+00</c:formatCode>
                <c:ptCount val="88"/>
                <c:pt idx="0">
                  <c:v>30.750201085284264</c:v>
                </c:pt>
                <c:pt idx="1">
                  <c:v>33.297260348351017</c:v>
                </c:pt>
                <c:pt idx="2">
                  <c:v>36.055262568370829</c:v>
                </c:pt>
                <c:pt idx="3">
                  <c:v>39.041672212835316</c:v>
                </c:pt>
                <c:pt idx="4">
                  <c:v>42.27539873263121</c:v>
                </c:pt>
                <c:pt idx="5">
                  <c:v>45.776915955374562</c:v>
                </c:pt>
                <c:pt idx="6">
                  <c:v>49.568391315728576</c:v>
                </c:pt>
                <c:pt idx="7">
                  <c:v>53.673825728349541</c:v>
                </c:pt>
                <c:pt idx="8">
                  <c:v>58.11920497424974</c:v>
                </c:pt>
                <c:pt idx="9">
                  <c:v>62.932663541633787</c:v>
                </c:pt>
                <c:pt idx="10">
                  <c:v>68.144661938030865</c:v>
                </c:pt>
                <c:pt idx="11">
                  <c:v>73.788178572212189</c:v>
                </c:pt>
                <c:pt idx="12">
                  <c:v>79.898917392373235</c:v>
                </c:pt>
                <c:pt idx="13">
                  <c:v>86.515532561822681</c:v>
                </c:pt>
                <c:pt idx="14">
                  <c:v>93.679871555427823</c:v>
                </c:pt>
                <c:pt idx="15">
                  <c:v>101.4372381698148</c:v>
                </c:pt>
                <c:pt idx="16">
                  <c:v>109.8366770583315</c:v>
                </c:pt>
                <c:pt idx="17">
                  <c:v>118.93128152859438</c:v>
                </c:pt>
                <c:pt idx="18">
                  <c:v>128.77852647662155</c:v>
                </c:pt>
                <c:pt idx="19">
                  <c:v>139.44062847768237</c:v>
                </c:pt>
                <c:pt idx="20">
                  <c:v>150.984935210668</c:v>
                </c:pt>
                <c:pt idx="21">
                  <c:v>163.4843465606148</c:v>
                </c:pt>
                <c:pt idx="22">
                  <c:v>177.01776992360772</c:v>
                </c:pt>
                <c:pt idx="23">
                  <c:v>191.67061243025944</c:v>
                </c:pt>
                <c:pt idx="24">
                  <c:v>207.53531300891652</c:v>
                </c:pt>
                <c:pt idx="25">
                  <c:v>224.71191742825275</c:v>
                </c:pt>
                <c:pt idx="26">
                  <c:v>243.30869969152332</c:v>
                </c:pt>
                <c:pt idx="27">
                  <c:v>263.44283340196722</c:v>
                </c:pt>
                <c:pt idx="28">
                  <c:v>285.24111698107242</c:v>
                </c:pt>
                <c:pt idx="29">
                  <c:v>308.84075689899316</c:v>
                </c:pt>
                <c:pt idx="30">
                  <c:v>334.39021336951981</c:v>
                </c:pt>
                <c:pt idx="31">
                  <c:v>362.05011327070133</c:v>
                </c:pt>
                <c:pt idx="32">
                  <c:v>391.99423537633459</c:v>
                </c:pt>
                <c:pt idx="33">
                  <c:v>424.41057332264654</c:v>
                </c:pt>
                <c:pt idx="34">
                  <c:v>459.50248208789719</c:v>
                </c:pt>
                <c:pt idx="35">
                  <c:v>497.4899141291927</c:v>
                </c:pt>
                <c:pt idx="36">
                  <c:v>538.6107516989656</c:v>
                </c:pt>
                <c:pt idx="37">
                  <c:v>583.1222422512401</c:v>
                </c:pt>
                <c:pt idx="38">
                  <c:v>631.3025442421424</c:v>
                </c:pt>
                <c:pt idx="39">
                  <c:v>683.45239102655626</c:v>
                </c:pt>
                <c:pt idx="40">
                  <c:v>739.89688094886151</c:v>
                </c:pt>
                <c:pt idx="41">
                  <c:v>800.98740211461438</c:v>
                </c:pt>
                <c:pt idx="42">
                  <c:v>867.10370070489216</c:v>
                </c:pt>
                <c:pt idx="43">
                  <c:v>938.65610204732661</c:v>
                </c:pt>
                <c:pt idx="44">
                  <c:v>1016.0878939771579</c:v>
                </c:pt>
                <c:pt idx="45">
                  <c:v>1099.8778822956162</c:v>
                </c:pt>
                <c:pt idx="46">
                  <c:v>1190.5431283465623</c:v>
                </c:pt>
                <c:pt idx="47">
                  <c:v>1288.6418788678932</c:v>
                </c:pt>
                <c:pt idx="48">
                  <c:v>1394.7766983107483</c:v>
                </c:pt>
                <c:pt idx="49">
                  <c:v>1509.5978137322097</c:v>
                </c:pt>
                <c:pt idx="50">
                  <c:v>1633.8066821269788</c:v>
                </c:pt>
                <c:pt idx="51">
                  <c:v>1768.1597896365961</c:v>
                </c:pt>
                <c:pt idx="52">
                  <c:v>1913.4726914216521</c:v>
                </c:pt>
                <c:pt idx="53">
                  <c:v>2070.6243000577024</c:v>
                </c:pt>
                <c:pt idx="54">
                  <c:v>2240.5614290669037</c:v>
                </c:pt>
                <c:pt idx="55">
                  <c:v>3884.247750793721</c:v>
                </c:pt>
                <c:pt idx="56">
                  <c:v>6699.848600364041</c:v>
                </c:pt>
                <c:pt idx="57">
                  <c:v>11457.601655092049</c:v>
                </c:pt>
                <c:pt idx="58">
                  <c:v>19314.904303790332</c:v>
                </c:pt>
                <c:pt idx="59">
                  <c:v>31812.267965661311</c:v>
                </c:pt>
                <c:pt idx="60">
                  <c:v>50548.217320968921</c:v>
                </c:pt>
                <c:pt idx="61">
                  <c:v>76285.892571335949</c:v>
                </c:pt>
                <c:pt idx="62">
                  <c:v>107699.84319807704</c:v>
                </c:pt>
                <c:pt idx="63">
                  <c:v>140949.37079767772</c:v>
                </c:pt>
                <c:pt idx="64">
                  <c:v>171232.48893013716</c:v>
                </c:pt>
                <c:pt idx="65">
                  <c:v>195265.42386617564</c:v>
                </c:pt>
                <c:pt idx="66">
                  <c:v>212337.71438909144</c:v>
                </c:pt>
                <c:pt idx="67">
                  <c:v>223533.45934103423</c:v>
                </c:pt>
                <c:pt idx="68">
                  <c:v>230495.43002541468</c:v>
                </c:pt>
                <c:pt idx="69">
                  <c:v>234682.54074828126</c:v>
                </c:pt>
                <c:pt idx="70">
                  <c:v>237150.3977812973</c:v>
                </c:pt>
                <c:pt idx="71">
                  <c:v>238587.64400745486</c:v>
                </c:pt>
                <c:pt idx="72">
                  <c:v>239418.85193474582</c:v>
                </c:pt>
                <c:pt idx="73">
                  <c:v>239897.62718641444</c:v>
                </c:pt>
                <c:pt idx="74">
                  <c:v>240172.75918930696</c:v>
                </c:pt>
                <c:pt idx="75">
                  <c:v>240330.65417525126</c:v>
                </c:pt>
                <c:pt idx="76">
                  <c:v>240421.19852670512</c:v>
                </c:pt>
                <c:pt idx="77">
                  <c:v>240473.09797068519</c:v>
                </c:pt>
                <c:pt idx="78">
                  <c:v>240502.83887483962</c:v>
                </c:pt>
                <c:pt idx="79">
                  <c:v>240519.87938762337</c:v>
                </c:pt>
                <c:pt idx="80">
                  <c:v>240529.64220286676</c:v>
                </c:pt>
                <c:pt idx="81">
                  <c:v>240535.2352285028</c:v>
                </c:pt>
                <c:pt idx="82">
                  <c:v>240538.4393332584</c:v>
                </c:pt>
                <c:pt idx="83">
                  <c:v>240540.27485620719</c:v>
                </c:pt>
                <c:pt idx="84">
                  <c:v>240541.32635564351</c:v>
                </c:pt>
                <c:pt idx="85">
                  <c:v>240541.92871553064</c:v>
                </c:pt>
                <c:pt idx="86">
                  <c:v>240542.27378121065</c:v>
                </c:pt>
                <c:pt idx="87">
                  <c:v>240542.47145394038</c:v>
                </c:pt>
              </c:numCache>
            </c:numRef>
          </c:yVal>
          <c:smooth val="0"/>
        </c:ser>
        <c:dLbls>
          <c:showLegendKey val="0"/>
          <c:showVal val="0"/>
          <c:showCatName val="0"/>
          <c:showSerName val="0"/>
          <c:showPercent val="0"/>
          <c:showBubbleSize val="0"/>
        </c:dLbls>
        <c:axId val="751216488"/>
        <c:axId val="751215704"/>
      </c:scatterChart>
      <c:valAx>
        <c:axId val="751216488"/>
        <c:scaling>
          <c:orientation val="minMax"/>
          <c:max val="43954"/>
          <c:min val="4384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5704"/>
        <c:crossesAt val="0.1"/>
        <c:crossBetween val="midCat"/>
        <c:majorUnit val="14"/>
        <c:minorUnit val="7"/>
      </c:valAx>
      <c:valAx>
        <c:axId val="751215704"/>
        <c:scaling>
          <c:logBase val="10"/>
          <c:orientation val="minMax"/>
          <c:max val="1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Australian Cases per 10M pop</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6488"/>
        <c:crosses val="autoZero"/>
        <c:crossBetween val="midCat"/>
      </c:valAx>
      <c:spPr>
        <a:noFill/>
        <a:ln>
          <a:noFill/>
        </a:ln>
        <a:effectLst/>
      </c:spPr>
    </c:plotArea>
    <c:legend>
      <c:legendPos val="b"/>
      <c:layout>
        <c:manualLayout>
          <c:xMode val="edge"/>
          <c:yMode val="edge"/>
          <c:x val="0.39020130324971147"/>
          <c:y val="0.61970002368488475"/>
          <c:w val="0.20059568366228589"/>
          <c:h val="0.21716274415974246"/>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r2=998.6E-3, Limit=3.71 k=&gt;3.00 k cases 
 (Fit: Sat 25-Jan - Thu 02-Apr), Cases per 10 M population</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9.1142658878072991E-2"/>
          <c:y val="0.17791892379594115"/>
          <c:w val="0.63923479000659555"/>
          <c:h val="0.68992130218377157"/>
        </c:manualLayout>
      </c:layout>
      <c:scatterChart>
        <c:scatterStyle val="lineMarker"/>
        <c:varyColors val="0"/>
        <c:ser>
          <c:idx val="11"/>
          <c:order val="0"/>
          <c:tx>
            <c:strRef>
              <c:f>myData!SingaporeLabel</c:f>
              <c:strCache>
                <c:ptCount val="1"/>
                <c:pt idx="0">
                  <c:v>Singapore from 11-Feb</c:v>
                </c:pt>
              </c:strCache>
            </c:strRef>
          </c:tx>
          <c:spPr>
            <a:ln w="19050" cap="rnd">
              <a:solidFill>
                <a:schemeClr val="bg1">
                  <a:lumMod val="50000"/>
                </a:schemeClr>
              </a:solidFill>
              <a:round/>
            </a:ln>
            <a:effectLst/>
          </c:spPr>
          <c:marker>
            <c:symbol val="x"/>
            <c:size val="3"/>
            <c:spPr>
              <a:noFill/>
              <a:ln w="9525">
                <a:solidFill>
                  <a:schemeClr val="bg1">
                    <a:lumMod val="50000"/>
                  </a:schemeClr>
                </a:solidFill>
              </a:ln>
              <a:effectLst/>
            </c:spPr>
          </c:marker>
          <c:dLbls>
            <c:dLbl>
              <c:idx val="19"/>
              <c:layout>
                <c:manualLayout>
                  <c:x val="4.8835685451385384E-2"/>
                  <c:y val="1.5672927399390475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Singapore</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myData!Singapore100Dates</c:f>
              <c:numCache>
                <c:formatCode>0</c:formatCode>
                <c:ptCount val="8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61</c:v>
                </c:pt>
                <c:pt idx="55">
                  <c:v>68</c:v>
                </c:pt>
                <c:pt idx="56">
                  <c:v>75</c:v>
                </c:pt>
                <c:pt idx="57">
                  <c:v>82</c:v>
                </c:pt>
                <c:pt idx="58">
                  <c:v>89</c:v>
                </c:pt>
                <c:pt idx="59">
                  <c:v>96</c:v>
                </c:pt>
                <c:pt idx="60">
                  <c:v>103</c:v>
                </c:pt>
                <c:pt idx="61">
                  <c:v>110</c:v>
                </c:pt>
                <c:pt idx="62">
                  <c:v>117</c:v>
                </c:pt>
                <c:pt idx="63">
                  <c:v>124</c:v>
                </c:pt>
                <c:pt idx="64">
                  <c:v>131</c:v>
                </c:pt>
                <c:pt idx="65">
                  <c:v>138</c:v>
                </c:pt>
                <c:pt idx="66">
                  <c:v>145</c:v>
                </c:pt>
                <c:pt idx="67">
                  <c:v>152</c:v>
                </c:pt>
                <c:pt idx="68">
                  <c:v>159</c:v>
                </c:pt>
                <c:pt idx="69">
                  <c:v>166</c:v>
                </c:pt>
                <c:pt idx="70">
                  <c:v>173</c:v>
                </c:pt>
                <c:pt idx="71">
                  <c:v>180</c:v>
                </c:pt>
                <c:pt idx="72">
                  <c:v>187</c:v>
                </c:pt>
                <c:pt idx="73">
                  <c:v>194</c:v>
                </c:pt>
                <c:pt idx="74">
                  <c:v>201</c:v>
                </c:pt>
                <c:pt idx="75">
                  <c:v>208</c:v>
                </c:pt>
                <c:pt idx="76">
                  <c:v>215</c:v>
                </c:pt>
                <c:pt idx="77">
                  <c:v>222</c:v>
                </c:pt>
                <c:pt idx="78">
                  <c:v>229</c:v>
                </c:pt>
                <c:pt idx="79">
                  <c:v>236</c:v>
                </c:pt>
                <c:pt idx="80">
                  <c:v>243</c:v>
                </c:pt>
                <c:pt idx="81">
                  <c:v>250</c:v>
                </c:pt>
                <c:pt idx="82">
                  <c:v>257</c:v>
                </c:pt>
                <c:pt idx="83">
                  <c:v>264</c:v>
                </c:pt>
                <c:pt idx="84">
                  <c:v>271</c:v>
                </c:pt>
                <c:pt idx="85">
                  <c:v>278</c:v>
                </c:pt>
                <c:pt idx="86">
                  <c:v>285</c:v>
                </c:pt>
              </c:numCache>
            </c:numRef>
          </c:xVal>
          <c:yVal>
            <c:numRef>
              <c:f>myData!Singapore100Cases</c:f>
              <c:numCache>
                <c:formatCode>0.0</c:formatCode>
                <c:ptCount val="71"/>
                <c:pt idx="0">
                  <c:v>80.341880341880341</c:v>
                </c:pt>
                <c:pt idx="1">
                  <c:v>85.470085470085479</c:v>
                </c:pt>
                <c:pt idx="2">
                  <c:v>99.145299145299148</c:v>
                </c:pt>
                <c:pt idx="3" formatCode="##0.0E+00">
                  <c:v>114.52991452991454</c:v>
                </c:pt>
                <c:pt idx="4" formatCode="##0.0E+00">
                  <c:v>123.07692307692308</c:v>
                </c:pt>
                <c:pt idx="5" formatCode="##0.0E+00">
                  <c:v>128.2051282051282</c:v>
                </c:pt>
                <c:pt idx="6" formatCode="##0.0E+00">
                  <c:v>131.62393162393164</c:v>
                </c:pt>
                <c:pt idx="7" formatCode="##0.0E+00">
                  <c:v>138.46153846153848</c:v>
                </c:pt>
                <c:pt idx="8" formatCode="##0.0E+00">
                  <c:v>143.58974358974359</c:v>
                </c:pt>
                <c:pt idx="9" formatCode="##0.0E+00">
                  <c:v>143.58974358974359</c:v>
                </c:pt>
                <c:pt idx="10" formatCode="##0.0E+00">
                  <c:v>145.29914529914529</c:v>
                </c:pt>
                <c:pt idx="11" formatCode="##0.0E+00">
                  <c:v>145.29914529914529</c:v>
                </c:pt>
                <c:pt idx="12" formatCode="##0.0E+00">
                  <c:v>152.13675213675214</c:v>
                </c:pt>
                <c:pt idx="13" formatCode="##0.0E+00">
                  <c:v>152.13675213675214</c:v>
                </c:pt>
                <c:pt idx="14" formatCode="##0.0E+00">
                  <c:v>155.55555555555557</c:v>
                </c:pt>
                <c:pt idx="15" formatCode="##0.0E+00">
                  <c:v>158.97435897435898</c:v>
                </c:pt>
                <c:pt idx="16" formatCode="##0.0E+00">
                  <c:v>158.97435897435898</c:v>
                </c:pt>
                <c:pt idx="17" formatCode="##0.0E+00">
                  <c:v>158.97435897435898</c:v>
                </c:pt>
                <c:pt idx="18" formatCode="##0.0E+00">
                  <c:v>174.35897435897436</c:v>
                </c:pt>
                <c:pt idx="19" formatCode="##0.0E+00">
                  <c:v>181.19658119658121</c:v>
                </c:pt>
                <c:pt idx="20" formatCode="##0.0E+00">
                  <c:v>184.61538461538461</c:v>
                </c:pt>
                <c:pt idx="21" formatCode="##0.0E+00">
                  <c:v>188.03418803418805</c:v>
                </c:pt>
                <c:pt idx="22" formatCode="##0.0E+00">
                  <c:v>188.03418803418805</c:v>
                </c:pt>
                <c:pt idx="23" formatCode="##0.0E+00">
                  <c:v>200</c:v>
                </c:pt>
                <c:pt idx="24" formatCode="##0.0E+00">
                  <c:v>222.22222222222223</c:v>
                </c:pt>
                <c:pt idx="25" formatCode="##0.0E+00">
                  <c:v>235.89743589743591</c:v>
                </c:pt>
                <c:pt idx="26" formatCode="##0.0E+00">
                  <c:v>256.41025641025641</c:v>
                </c:pt>
                <c:pt idx="27" formatCode="##0.0E+00">
                  <c:v>256.41025641025641</c:v>
                </c:pt>
                <c:pt idx="28" formatCode="##0.0E+00">
                  <c:v>273.5042735042735</c:v>
                </c:pt>
                <c:pt idx="29" formatCode="##0.0E+00">
                  <c:v>304.27350427350427</c:v>
                </c:pt>
                <c:pt idx="30" formatCode="##0.0E+00">
                  <c:v>304.27350427350427</c:v>
                </c:pt>
                <c:pt idx="31" formatCode="##0.0E+00">
                  <c:v>341.88034188034192</c:v>
                </c:pt>
                <c:pt idx="32" formatCode="##0.0E+00">
                  <c:v>362.39316239316241</c:v>
                </c:pt>
                <c:pt idx="33" formatCode="##0.0E+00">
                  <c:v>386.32478632478637</c:v>
                </c:pt>
                <c:pt idx="34" formatCode="##0.0E+00">
                  <c:v>415.38461538461542</c:v>
                </c:pt>
                <c:pt idx="35" formatCode="##0.0E+00">
                  <c:v>454.70085470085473</c:v>
                </c:pt>
                <c:pt idx="36" formatCode="##0.0E+00">
                  <c:v>535.0427350427351</c:v>
                </c:pt>
                <c:pt idx="37" formatCode="##0.0E+00">
                  <c:v>589.74358974358972</c:v>
                </c:pt>
                <c:pt idx="38" formatCode="##0.0E+00">
                  <c:v>658.1196581196582</c:v>
                </c:pt>
                <c:pt idx="39" formatCode="##0.0E+00">
                  <c:v>738.46153846153845</c:v>
                </c:pt>
                <c:pt idx="40" formatCode="##0.0E+00">
                  <c:v>777.77777777777783</c:v>
                </c:pt>
                <c:pt idx="41" formatCode="##0.0E+00">
                  <c:v>870.08547008547009</c:v>
                </c:pt>
                <c:pt idx="42" formatCode="##0.0E+00">
                  <c:v>953.84615384615392</c:v>
                </c:pt>
                <c:pt idx="43">
                  <c:v>1078.6324786324788</c:v>
                </c:pt>
                <c:pt idx="44">
                  <c:v>1167.5213675213677</c:v>
                </c:pt>
                <c:pt idx="45">
                  <c:v>1251.2820512820513</c:v>
                </c:pt>
                <c:pt idx="46">
                  <c:v>1370.9401709401711</c:v>
                </c:pt>
                <c:pt idx="47">
                  <c:v>1442.7350427350427</c:v>
                </c:pt>
                <c:pt idx="48">
                  <c:v>1502.5641025641028</c:v>
                </c:pt>
                <c:pt idx="49">
                  <c:v>1582.9059829059829</c:v>
                </c:pt>
                <c:pt idx="50">
                  <c:v>1709.4017094017095</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yVal>
          <c:smooth val="0"/>
        </c:ser>
        <c:ser>
          <c:idx val="8"/>
          <c:order val="1"/>
          <c:tx>
            <c:strRef>
              <c:f>myData!SingaporeSeries</c:f>
              <c:strCache>
                <c:ptCount val="1"/>
                <c:pt idx="0">
                  <c:v>Singapore Limit 241 k</c:v>
                </c:pt>
              </c:strCache>
            </c:strRef>
          </c:tx>
          <c:spPr>
            <a:ln w="12700" cap="rnd">
              <a:solidFill>
                <a:schemeClr val="bg1">
                  <a:lumMod val="50000"/>
                </a:schemeClr>
              </a:solidFill>
              <a:prstDash val="sysDash"/>
              <a:round/>
            </a:ln>
            <a:effectLst/>
          </c:spPr>
          <c:marker>
            <c:symbol val="none"/>
          </c:marker>
          <c:dLbls>
            <c:dLbl>
              <c:idx val="68"/>
              <c:tx>
                <c:rich>
                  <a:bodyPr/>
                  <a:lstStyle/>
                  <a:p>
                    <a:r>
                      <a:rPr lang="en-US"/>
                      <a:t>SKorea</a:t>
                    </a:r>
                  </a:p>
                </c:rich>
              </c:tx>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myData!Singapore100LogiDates</c:f>
              <c:numCache>
                <c:formatCode>0</c:formatCode>
                <c:ptCount val="8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61</c:v>
                </c:pt>
                <c:pt idx="55">
                  <c:v>68</c:v>
                </c:pt>
                <c:pt idx="56">
                  <c:v>75</c:v>
                </c:pt>
                <c:pt idx="57">
                  <c:v>82</c:v>
                </c:pt>
                <c:pt idx="58">
                  <c:v>89</c:v>
                </c:pt>
                <c:pt idx="59">
                  <c:v>96</c:v>
                </c:pt>
                <c:pt idx="60">
                  <c:v>103</c:v>
                </c:pt>
                <c:pt idx="61">
                  <c:v>110</c:v>
                </c:pt>
                <c:pt idx="62">
                  <c:v>117</c:v>
                </c:pt>
                <c:pt idx="63">
                  <c:v>124</c:v>
                </c:pt>
                <c:pt idx="64">
                  <c:v>131</c:v>
                </c:pt>
                <c:pt idx="65">
                  <c:v>138</c:v>
                </c:pt>
                <c:pt idx="66">
                  <c:v>145</c:v>
                </c:pt>
                <c:pt idx="67">
                  <c:v>152</c:v>
                </c:pt>
                <c:pt idx="68">
                  <c:v>159</c:v>
                </c:pt>
                <c:pt idx="69">
                  <c:v>166</c:v>
                </c:pt>
                <c:pt idx="70">
                  <c:v>173</c:v>
                </c:pt>
                <c:pt idx="71">
                  <c:v>180</c:v>
                </c:pt>
                <c:pt idx="72">
                  <c:v>187</c:v>
                </c:pt>
                <c:pt idx="73">
                  <c:v>194</c:v>
                </c:pt>
                <c:pt idx="74">
                  <c:v>201</c:v>
                </c:pt>
                <c:pt idx="75">
                  <c:v>208</c:v>
                </c:pt>
                <c:pt idx="76">
                  <c:v>215</c:v>
                </c:pt>
                <c:pt idx="77">
                  <c:v>222</c:v>
                </c:pt>
                <c:pt idx="78">
                  <c:v>229</c:v>
                </c:pt>
                <c:pt idx="79">
                  <c:v>236</c:v>
                </c:pt>
                <c:pt idx="80">
                  <c:v>243</c:v>
                </c:pt>
                <c:pt idx="81">
                  <c:v>250</c:v>
                </c:pt>
                <c:pt idx="82">
                  <c:v>257</c:v>
                </c:pt>
                <c:pt idx="83">
                  <c:v>264</c:v>
                </c:pt>
                <c:pt idx="84">
                  <c:v>271</c:v>
                </c:pt>
                <c:pt idx="85">
                  <c:v>278</c:v>
                </c:pt>
                <c:pt idx="86">
                  <c:v>285</c:v>
                </c:pt>
              </c:numCache>
            </c:numRef>
          </c:xVal>
          <c:yVal>
            <c:numRef>
              <c:f>myData!Singapore100Logi</c:f>
              <c:numCache>
                <c:formatCode>##0.0E+00</c:formatCode>
                <c:ptCount val="70"/>
                <c:pt idx="0">
                  <c:v>33.297260348351017</c:v>
                </c:pt>
                <c:pt idx="1">
                  <c:v>36.055262568370829</c:v>
                </c:pt>
                <c:pt idx="2">
                  <c:v>39.041672212835316</c:v>
                </c:pt>
                <c:pt idx="3">
                  <c:v>42.27539873263121</c:v>
                </c:pt>
                <c:pt idx="4">
                  <c:v>45.776915955374562</c:v>
                </c:pt>
                <c:pt idx="5">
                  <c:v>49.568391315728576</c:v>
                </c:pt>
                <c:pt idx="6">
                  <c:v>53.673825728349541</c:v>
                </c:pt>
                <c:pt idx="7">
                  <c:v>58.11920497424974</c:v>
                </c:pt>
                <c:pt idx="8">
                  <c:v>62.932663541633787</c:v>
                </c:pt>
                <c:pt idx="9">
                  <c:v>68.144661938030865</c:v>
                </c:pt>
                <c:pt idx="10">
                  <c:v>73.788178572212189</c:v>
                </c:pt>
                <c:pt idx="11">
                  <c:v>79.898917392373235</c:v>
                </c:pt>
                <c:pt idx="12">
                  <c:v>86.515532561822681</c:v>
                </c:pt>
                <c:pt idx="13">
                  <c:v>93.679871555427823</c:v>
                </c:pt>
                <c:pt idx="14">
                  <c:v>101.4372381698148</c:v>
                </c:pt>
                <c:pt idx="15">
                  <c:v>109.8366770583315</c:v>
                </c:pt>
                <c:pt idx="16">
                  <c:v>118.93128152859438</c:v>
                </c:pt>
                <c:pt idx="17">
                  <c:v>128.77852647662155</c:v>
                </c:pt>
                <c:pt idx="18">
                  <c:v>139.44062847768237</c:v>
                </c:pt>
                <c:pt idx="19">
                  <c:v>150.984935210668</c:v>
                </c:pt>
                <c:pt idx="20">
                  <c:v>163.4843465606148</c:v>
                </c:pt>
                <c:pt idx="21">
                  <c:v>177.01776992360772</c:v>
                </c:pt>
                <c:pt idx="22">
                  <c:v>191.67061243025944</c:v>
                </c:pt>
                <c:pt idx="23">
                  <c:v>207.53531300891652</c:v>
                </c:pt>
                <c:pt idx="24">
                  <c:v>224.71191742825275</c:v>
                </c:pt>
                <c:pt idx="25">
                  <c:v>243.30869969152332</c:v>
                </c:pt>
                <c:pt idx="26">
                  <c:v>263.44283340196722</c:v>
                </c:pt>
                <c:pt idx="27">
                  <c:v>285.24111698107242</c:v>
                </c:pt>
                <c:pt idx="28">
                  <c:v>308.84075689899316</c:v>
                </c:pt>
                <c:pt idx="29">
                  <c:v>334.39021336951981</c:v>
                </c:pt>
                <c:pt idx="30">
                  <c:v>362.05011327070133</c:v>
                </c:pt>
                <c:pt idx="31">
                  <c:v>391.99423537633459</c:v>
                </c:pt>
                <c:pt idx="32">
                  <c:v>424.41057332264654</c:v>
                </c:pt>
                <c:pt idx="33">
                  <c:v>459.50248208789719</c:v>
                </c:pt>
                <c:pt idx="34">
                  <c:v>497.4899141291927</c:v>
                </c:pt>
                <c:pt idx="35">
                  <c:v>538.6107516989656</c:v>
                </c:pt>
                <c:pt idx="36">
                  <c:v>583.1222422512401</c:v>
                </c:pt>
                <c:pt idx="37">
                  <c:v>631.3025442421424</c:v>
                </c:pt>
                <c:pt idx="38">
                  <c:v>683.45239102655626</c:v>
                </c:pt>
                <c:pt idx="39">
                  <c:v>739.89688094886151</c:v>
                </c:pt>
                <c:pt idx="40">
                  <c:v>800.98740211461438</c:v>
                </c:pt>
                <c:pt idx="41">
                  <c:v>867.10370070489216</c:v>
                </c:pt>
                <c:pt idx="42">
                  <c:v>938.65610204732661</c:v>
                </c:pt>
                <c:pt idx="43">
                  <c:v>1016.0878939771579</c:v>
                </c:pt>
                <c:pt idx="44">
                  <c:v>1099.8778822956162</c:v>
                </c:pt>
                <c:pt idx="45">
                  <c:v>1190.5431283465623</c:v>
                </c:pt>
                <c:pt idx="46">
                  <c:v>1288.6418788678932</c:v>
                </c:pt>
                <c:pt idx="47">
                  <c:v>1394.7766983107483</c:v>
                </c:pt>
                <c:pt idx="48">
                  <c:v>1509.5978137322097</c:v>
                </c:pt>
                <c:pt idx="49">
                  <c:v>1633.8066821269788</c:v>
                </c:pt>
                <c:pt idx="50">
                  <c:v>1768.1597896365961</c:v>
                </c:pt>
                <c:pt idx="51">
                  <c:v>1913.4726914216521</c:v>
                </c:pt>
                <c:pt idx="52">
                  <c:v>2070.6243000577024</c:v>
                </c:pt>
                <c:pt idx="53">
                  <c:v>2240.5614290669037</c:v>
                </c:pt>
                <c:pt idx="54">
                  <c:v>3884.247750793721</c:v>
                </c:pt>
                <c:pt idx="55">
                  <c:v>6699.848600364041</c:v>
                </c:pt>
                <c:pt idx="56">
                  <c:v>11457.601655092049</c:v>
                </c:pt>
                <c:pt idx="57">
                  <c:v>19314.904303790332</c:v>
                </c:pt>
                <c:pt idx="58">
                  <c:v>31812.267965661311</c:v>
                </c:pt>
                <c:pt idx="59">
                  <c:v>50548.217320968921</c:v>
                </c:pt>
                <c:pt idx="60">
                  <c:v>76285.892571335949</c:v>
                </c:pt>
                <c:pt idx="61">
                  <c:v>107699.84319807704</c:v>
                </c:pt>
                <c:pt idx="62">
                  <c:v>140949.37079767772</c:v>
                </c:pt>
                <c:pt idx="63">
                  <c:v>171232.48893013716</c:v>
                </c:pt>
                <c:pt idx="64">
                  <c:v>195265.42386617564</c:v>
                </c:pt>
                <c:pt idx="65">
                  <c:v>212337.71438909144</c:v>
                </c:pt>
                <c:pt idx="66">
                  <c:v>223533.45934103423</c:v>
                </c:pt>
                <c:pt idx="67">
                  <c:v>230495.43002541468</c:v>
                </c:pt>
                <c:pt idx="68">
                  <c:v>234682.54074828126</c:v>
                </c:pt>
                <c:pt idx="69">
                  <c:v>237150.3977812973</c:v>
                </c:pt>
              </c:numCache>
            </c:numRef>
          </c:yVal>
          <c:smooth val="0"/>
        </c:ser>
        <c:ser>
          <c:idx val="7"/>
          <c:order val="2"/>
          <c:tx>
            <c:strRef>
              <c:f>myData!SKoreaLabel</c:f>
              <c:strCache>
                <c:ptCount val="1"/>
                <c:pt idx="0">
                  <c:v>Skorea from 22-Feb</c:v>
                </c:pt>
              </c:strCache>
            </c:strRef>
          </c:tx>
          <c:spPr>
            <a:ln w="19050" cap="rnd">
              <a:solidFill>
                <a:schemeClr val="accent2">
                  <a:lumMod val="60000"/>
                </a:schemeClr>
              </a:solidFill>
              <a:round/>
            </a:ln>
            <a:effectLst/>
          </c:spPr>
          <c:marker>
            <c:symbol val="x"/>
            <c:size val="4"/>
            <c:spPr>
              <a:noFill/>
              <a:ln w="9525">
                <a:solidFill>
                  <a:schemeClr val="accent4">
                    <a:lumMod val="60000"/>
                  </a:schemeClr>
                </a:solidFill>
              </a:ln>
              <a:effectLst/>
            </c:spPr>
          </c:marker>
          <c:dLbls>
            <c:dLbl>
              <c:idx val="38"/>
              <c:layout>
                <c:manualLayout>
                  <c:x val="-5.3866332092285862E-2"/>
                  <c:y val="4.1752829822698415E-2"/>
                </c:manualLayout>
              </c:layout>
              <c:tx>
                <c:rich>
                  <a:bodyPr/>
                  <a:lstStyle/>
                  <a:p>
                    <a:r>
                      <a:rPr lang="en-US"/>
                      <a:t>SKorea</a:t>
                    </a:r>
                  </a:p>
                </c:rich>
              </c:tx>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myData!SKorea100Dates</c:f>
              <c:numCache>
                <c:formatCode>0</c:formatCode>
                <c:ptCount val="7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50</c:v>
                </c:pt>
                <c:pt idx="44">
                  <c:v>57</c:v>
                </c:pt>
                <c:pt idx="45">
                  <c:v>64</c:v>
                </c:pt>
                <c:pt idx="46">
                  <c:v>71</c:v>
                </c:pt>
                <c:pt idx="47">
                  <c:v>78</c:v>
                </c:pt>
                <c:pt idx="48">
                  <c:v>85</c:v>
                </c:pt>
                <c:pt idx="49">
                  <c:v>92</c:v>
                </c:pt>
                <c:pt idx="50">
                  <c:v>99</c:v>
                </c:pt>
                <c:pt idx="51">
                  <c:v>106</c:v>
                </c:pt>
                <c:pt idx="52">
                  <c:v>113</c:v>
                </c:pt>
                <c:pt idx="53">
                  <c:v>120</c:v>
                </c:pt>
                <c:pt idx="54">
                  <c:v>127</c:v>
                </c:pt>
                <c:pt idx="55">
                  <c:v>134</c:v>
                </c:pt>
                <c:pt idx="56">
                  <c:v>141</c:v>
                </c:pt>
                <c:pt idx="57">
                  <c:v>148</c:v>
                </c:pt>
                <c:pt idx="58">
                  <c:v>155</c:v>
                </c:pt>
                <c:pt idx="59">
                  <c:v>162</c:v>
                </c:pt>
                <c:pt idx="60">
                  <c:v>169</c:v>
                </c:pt>
                <c:pt idx="61">
                  <c:v>176</c:v>
                </c:pt>
                <c:pt idx="62">
                  <c:v>183</c:v>
                </c:pt>
                <c:pt idx="63">
                  <c:v>190</c:v>
                </c:pt>
                <c:pt idx="64">
                  <c:v>197</c:v>
                </c:pt>
                <c:pt idx="65">
                  <c:v>204</c:v>
                </c:pt>
                <c:pt idx="66">
                  <c:v>211</c:v>
                </c:pt>
                <c:pt idx="67">
                  <c:v>218</c:v>
                </c:pt>
                <c:pt idx="68">
                  <c:v>225</c:v>
                </c:pt>
                <c:pt idx="69">
                  <c:v>232</c:v>
                </c:pt>
                <c:pt idx="70">
                  <c:v>239</c:v>
                </c:pt>
                <c:pt idx="71">
                  <c:v>246</c:v>
                </c:pt>
                <c:pt idx="72">
                  <c:v>253</c:v>
                </c:pt>
                <c:pt idx="73">
                  <c:v>260</c:v>
                </c:pt>
                <c:pt idx="74">
                  <c:v>267</c:v>
                </c:pt>
                <c:pt idx="75">
                  <c:v>274</c:v>
                </c:pt>
              </c:numCache>
            </c:numRef>
          </c:xVal>
          <c:yVal>
            <c:numRef>
              <c:f>myData!SKorea100Cases</c:f>
              <c:numCache>
                <c:formatCode>##0.0E+00</c:formatCode>
                <c:ptCount val="40"/>
                <c:pt idx="0" formatCode="0.00">
                  <c:v>84.241245136186777</c:v>
                </c:pt>
                <c:pt idx="1">
                  <c:v>117.1206225680934</c:v>
                </c:pt>
                <c:pt idx="2">
                  <c:v>162.06225680933852</c:v>
                </c:pt>
                <c:pt idx="3">
                  <c:v>190.07782101167317</c:v>
                </c:pt>
                <c:pt idx="4">
                  <c:v>245.33073929961091</c:v>
                </c:pt>
                <c:pt idx="5">
                  <c:v>343.579766536965</c:v>
                </c:pt>
                <c:pt idx="6">
                  <c:v>454.66926070038915</c:v>
                </c:pt>
                <c:pt idx="7">
                  <c:v>612.84046692607012</c:v>
                </c:pt>
                <c:pt idx="8">
                  <c:v>726.84824902723744</c:v>
                </c:pt>
                <c:pt idx="9">
                  <c:v>843.38521400778211</c:v>
                </c:pt>
                <c:pt idx="10">
                  <c:v>1008.9494163424125</c:v>
                </c:pt>
                <c:pt idx="11">
                  <c:v>1093.5797665369651</c:v>
                </c:pt>
                <c:pt idx="12">
                  <c:v>1184.4357976653698</c:v>
                </c:pt>
                <c:pt idx="13">
                  <c:v>1282.6848249027239</c:v>
                </c:pt>
                <c:pt idx="14">
                  <c:v>1369.8443579766538</c:v>
                </c:pt>
                <c:pt idx="15">
                  <c:v>1422.95719844358</c:v>
                </c:pt>
                <c:pt idx="16">
                  <c:v>1454.8638132295721</c:v>
                </c:pt>
                <c:pt idx="17">
                  <c:v>1461.6731517509729</c:v>
                </c:pt>
                <c:pt idx="18">
                  <c:v>1508.7548638132296</c:v>
                </c:pt>
                <c:pt idx="19">
                  <c:v>1530.933852140078</c:v>
                </c:pt>
                <c:pt idx="20">
                  <c:v>1552.3346303501946</c:v>
                </c:pt>
                <c:pt idx="21">
                  <c:v>1573.1517509727628</c:v>
                </c:pt>
                <c:pt idx="22">
                  <c:v>1587.9377431906616</c:v>
                </c:pt>
                <c:pt idx="23">
                  <c:v>1602.3346303501946</c:v>
                </c:pt>
                <c:pt idx="24">
                  <c:v>1618.6770428015566</c:v>
                </c:pt>
                <c:pt idx="25">
                  <c:v>1636.7704280155642</c:v>
                </c:pt>
                <c:pt idx="26">
                  <c:v>1666.342412451362</c:v>
                </c:pt>
                <c:pt idx="27">
                  <c:v>1683.2684824902724</c:v>
                </c:pt>
                <c:pt idx="28">
                  <c:v>1711.8677042801557</c:v>
                </c:pt>
                <c:pt idx="29">
                  <c:v>1743.3852140077822</c:v>
                </c:pt>
                <c:pt idx="30">
                  <c:v>1743.3852140077822</c:v>
                </c:pt>
                <c:pt idx="31">
                  <c:v>1758.1712062256811</c:v>
                </c:pt>
                <c:pt idx="32">
                  <c:v>1777.626459143969</c:v>
                </c:pt>
                <c:pt idx="33" formatCode="0.00">
                  <c:v>1797.8599221789884</c:v>
                </c:pt>
                <c:pt idx="34" formatCode="0.00">
                  <c:v>1815.5642023346304</c:v>
                </c:pt>
                <c:pt idx="35" formatCode="0.00">
                  <c:v>1843.9688715953309</c:v>
                </c:pt>
                <c:pt idx="36" formatCode="0.00">
                  <c:v>1864.3968871595332</c:v>
                </c:pt>
                <c:pt idx="37" formatCode="0.00">
                  <c:v>1879.5719844357977</c:v>
                </c:pt>
                <c:pt idx="38" formatCode="0.00">
                  <c:v>1903.8910505836577</c:v>
                </c:pt>
                <c:pt idx="39" formatCode="0.00">
                  <c:v>1923.5408560311284</c:v>
                </c:pt>
              </c:numCache>
            </c:numRef>
          </c:yVal>
          <c:smooth val="0"/>
        </c:ser>
        <c:ser>
          <c:idx val="9"/>
          <c:order val="3"/>
          <c:tx>
            <c:strRef>
              <c:f>myData!SKoreaSeries</c:f>
              <c:strCache>
                <c:ptCount val="1"/>
                <c:pt idx="0">
                  <c:v>Skorea Limit 1.76 k</c:v>
                </c:pt>
              </c:strCache>
            </c:strRef>
          </c:tx>
          <c:spPr>
            <a:ln w="15875" cap="rnd">
              <a:solidFill>
                <a:schemeClr val="accent4">
                  <a:lumMod val="60000"/>
                </a:schemeClr>
              </a:solidFill>
              <a:prstDash val="sysDot"/>
              <a:round/>
            </a:ln>
            <a:effectLst/>
          </c:spPr>
          <c:marker>
            <c:symbol val="none"/>
          </c:marker>
          <c:xVal>
            <c:numRef>
              <c:f>myData!SKorea100LogiDates</c:f>
              <c:numCache>
                <c:formatCode>0</c:formatCode>
                <c:ptCount val="7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50</c:v>
                </c:pt>
                <c:pt idx="44">
                  <c:v>57</c:v>
                </c:pt>
                <c:pt idx="45">
                  <c:v>64</c:v>
                </c:pt>
                <c:pt idx="46">
                  <c:v>71</c:v>
                </c:pt>
                <c:pt idx="47">
                  <c:v>78</c:v>
                </c:pt>
                <c:pt idx="48">
                  <c:v>85</c:v>
                </c:pt>
                <c:pt idx="49">
                  <c:v>92</c:v>
                </c:pt>
                <c:pt idx="50">
                  <c:v>99</c:v>
                </c:pt>
                <c:pt idx="51">
                  <c:v>106</c:v>
                </c:pt>
                <c:pt idx="52">
                  <c:v>113</c:v>
                </c:pt>
                <c:pt idx="53">
                  <c:v>120</c:v>
                </c:pt>
                <c:pt idx="54">
                  <c:v>127</c:v>
                </c:pt>
                <c:pt idx="55">
                  <c:v>134</c:v>
                </c:pt>
                <c:pt idx="56">
                  <c:v>141</c:v>
                </c:pt>
                <c:pt idx="57">
                  <c:v>148</c:v>
                </c:pt>
                <c:pt idx="58">
                  <c:v>155</c:v>
                </c:pt>
                <c:pt idx="59">
                  <c:v>162</c:v>
                </c:pt>
                <c:pt idx="60">
                  <c:v>169</c:v>
                </c:pt>
                <c:pt idx="61">
                  <c:v>176</c:v>
                </c:pt>
                <c:pt idx="62">
                  <c:v>183</c:v>
                </c:pt>
                <c:pt idx="63">
                  <c:v>190</c:v>
                </c:pt>
                <c:pt idx="64">
                  <c:v>197</c:v>
                </c:pt>
                <c:pt idx="65">
                  <c:v>204</c:v>
                </c:pt>
                <c:pt idx="66">
                  <c:v>211</c:v>
                </c:pt>
                <c:pt idx="67">
                  <c:v>218</c:v>
                </c:pt>
                <c:pt idx="68">
                  <c:v>225</c:v>
                </c:pt>
                <c:pt idx="69">
                  <c:v>232</c:v>
                </c:pt>
                <c:pt idx="70">
                  <c:v>239</c:v>
                </c:pt>
                <c:pt idx="71">
                  <c:v>246</c:v>
                </c:pt>
                <c:pt idx="72">
                  <c:v>253</c:v>
                </c:pt>
                <c:pt idx="73">
                  <c:v>260</c:v>
                </c:pt>
                <c:pt idx="74">
                  <c:v>267</c:v>
                </c:pt>
                <c:pt idx="75">
                  <c:v>274</c:v>
                </c:pt>
              </c:numCache>
            </c:numRef>
          </c:xVal>
          <c:yVal>
            <c:numRef>
              <c:f>myData!SKorea100Logi</c:f>
              <c:numCache>
                <c:formatCode>0.0</c:formatCode>
                <c:ptCount val="70"/>
                <c:pt idx="0">
                  <c:v>129.09161133196611</c:v>
                </c:pt>
                <c:pt idx="1">
                  <c:v>164.05889711778798</c:v>
                </c:pt>
                <c:pt idx="2">
                  <c:v>207.29266189872871</c:v>
                </c:pt>
                <c:pt idx="3">
                  <c:v>260.06104647910689</c:v>
                </c:pt>
                <c:pt idx="4">
                  <c:v>323.46065168903391</c:v>
                </c:pt>
                <c:pt idx="5">
                  <c:v>398.20814060947419</c:v>
                </c:pt>
                <c:pt idx="6">
                  <c:v>484.39716593025872</c:v>
                </c:pt>
                <c:pt idx="7">
                  <c:v>581.26811689536476</c:v>
                </c:pt>
                <c:pt idx="8">
                  <c:v>687.06273900582437</c:v>
                </c:pt>
                <c:pt idx="9">
                  <c:v>799.04029851788516</c:v>
                </c:pt>
                <c:pt idx="10">
                  <c:v>913.70079866897515</c:v>
                </c:pt>
                <c:pt idx="11">
                  <c:v>1027.1948819782444</c:v>
                </c:pt>
                <c:pt idx="12">
                  <c:v>1135.8265529148296</c:v>
                </c:pt>
                <c:pt idx="13">
                  <c:v>1236.5146428246508</c:v>
                </c:pt>
                <c:pt idx="14">
                  <c:v>1327.0970806173489</c:v>
                </c:pt>
                <c:pt idx="15">
                  <c:v>1406.4270287830241</c:v>
                </c:pt>
                <c:pt idx="16">
                  <c:v>1474.2834076829465</c:v>
                </c:pt>
                <c:pt idx="17">
                  <c:v>1531.1648571208375</c:v>
                </c:pt>
                <c:pt idx="18">
                  <c:v>1578.0444837082048</c:v>
                </c:pt>
                <c:pt idx="19">
                  <c:v>1616.1438211092127</c:v>
                </c:pt>
                <c:pt idx="20">
                  <c:v>1646.7566046692691</c:v>
                </c:pt>
                <c:pt idx="21">
                  <c:v>1671.1295582482019</c:v>
                </c:pt>
                <c:pt idx="22">
                  <c:v>1690.3933488257162</c:v>
                </c:pt>
                <c:pt idx="23">
                  <c:v>1705.5312805474639</c:v>
                </c:pt>
                <c:pt idx="24">
                  <c:v>1717.3731058550541</c:v>
                </c:pt>
                <c:pt idx="25">
                  <c:v>1726.603640119703</c:v>
                </c:pt>
                <c:pt idx="26">
                  <c:v>1733.7787919118452</c:v>
                </c:pt>
                <c:pt idx="27">
                  <c:v>1739.3442280912836</c:v>
                </c:pt>
                <c:pt idx="28">
                  <c:v>1743.6538683940144</c:v>
                </c:pt>
                <c:pt idx="29">
                  <c:v>1746.9867533360677</c:v>
                </c:pt>
                <c:pt idx="30">
                  <c:v>1749.5616779969873</c:v>
                </c:pt>
                <c:pt idx="31">
                  <c:v>1751.5494773735138</c:v>
                </c:pt>
                <c:pt idx="32">
                  <c:v>1753.083108885518</c:v>
                </c:pt>
                <c:pt idx="33">
                  <c:v>1754.2657942835224</c:v>
                </c:pt>
                <c:pt idx="34">
                  <c:v>1755.1775174758047</c:v>
                </c:pt>
                <c:pt idx="35">
                  <c:v>1755.8801653000146</c:v>
                </c:pt>
                <c:pt idx="36">
                  <c:v>1756.4215682846466</c:v>
                </c:pt>
                <c:pt idx="37">
                  <c:v>1756.8386612626152</c:v>
                </c:pt>
                <c:pt idx="38">
                  <c:v>1757.1599464015069</c:v>
                </c:pt>
                <c:pt idx="39">
                  <c:v>1757.4074072147366</c:v>
                </c:pt>
                <c:pt idx="40">
                  <c:v>1757.597992740345</c:v>
                </c:pt>
                <c:pt idx="41">
                  <c:v>1757.7447665276741</c:v>
                </c:pt>
                <c:pt idx="42">
                  <c:v>1757.8577950155945</c:v>
                </c:pt>
                <c:pt idx="43">
                  <c:v>1758.1755108883076</c:v>
                </c:pt>
                <c:pt idx="44">
                  <c:v>1758.226497549482</c:v>
                </c:pt>
                <c:pt idx="45">
                  <c:v>1758.234678387015</c:v>
                </c:pt>
                <c:pt idx="46">
                  <c:v>1758.2359909697648</c:v>
                </c:pt>
                <c:pt idx="47">
                  <c:v>1758.2362015674767</c:v>
                </c:pt>
                <c:pt idx="48">
                  <c:v>1758.2362353568619</c:v>
                </c:pt>
                <c:pt idx="49">
                  <c:v>1758.2362407782048</c:v>
                </c:pt>
                <c:pt idx="50">
                  <c:v>1758.236241648033</c:v>
                </c:pt>
                <c:pt idx="51">
                  <c:v>1758.2362417875925</c:v>
                </c:pt>
                <c:pt idx="52">
                  <c:v>1758.2362418099844</c:v>
                </c:pt>
                <c:pt idx="53">
                  <c:v>1758.2362418135767</c:v>
                </c:pt>
                <c:pt idx="54">
                  <c:v>1758.2362418141531</c:v>
                </c:pt>
                <c:pt idx="55">
                  <c:v>1758.2362418142459</c:v>
                </c:pt>
                <c:pt idx="56">
                  <c:v>1758.2362418142604</c:v>
                </c:pt>
                <c:pt idx="57">
                  <c:v>1758.2362418142629</c:v>
                </c:pt>
                <c:pt idx="58">
                  <c:v>1758.2362418142636</c:v>
                </c:pt>
                <c:pt idx="59">
                  <c:v>1758.2362418142636</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numCache>
            </c:numRef>
          </c:yVal>
          <c:smooth val="0"/>
        </c:ser>
        <c:ser>
          <c:idx val="1"/>
          <c:order val="4"/>
          <c:tx>
            <c:strRef>
              <c:f>myData!NSWLabel</c:f>
              <c:strCache>
                <c:ptCount val="1"/>
                <c:pt idx="0">
                  <c:v>NSW from 11-Mar</c:v>
                </c:pt>
              </c:strCache>
            </c:strRef>
          </c:tx>
          <c:spPr>
            <a:ln w="19050" cap="rnd">
              <a:solidFill>
                <a:schemeClr val="accent6">
                  <a:lumMod val="75000"/>
                </a:schemeClr>
              </a:solidFill>
              <a:round/>
            </a:ln>
            <a:effectLst/>
          </c:spPr>
          <c:marker>
            <c:symbol val="x"/>
            <c:size val="5"/>
            <c:spPr>
              <a:noFill/>
              <a:ln w="9525">
                <a:solidFill>
                  <a:schemeClr val="accent6">
                    <a:lumMod val="75000"/>
                    <a:alpha val="90000"/>
                  </a:schemeClr>
                </a:solidFill>
              </a:ln>
              <a:effectLst/>
            </c:spPr>
          </c:marker>
          <c:dLbls>
            <c:dLbl>
              <c:idx val="19"/>
              <c:layout>
                <c:manualLayout>
                  <c:x val="2.4555983560596132E-2"/>
                  <c:y val="-3.9665188331563496E-2"/>
                </c:manualLayout>
              </c:layout>
              <c:tx>
                <c:rich>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US" b="1"/>
                      <a:t>NSW</a:t>
                    </a:r>
                  </a:p>
                </c:rich>
              </c:tx>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myData!NSW100Dates</c:f>
              <c:numCache>
                <c:formatCode>0</c:formatCode>
                <c:ptCount val="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32</c:v>
                </c:pt>
                <c:pt idx="26">
                  <c:v>39</c:v>
                </c:pt>
                <c:pt idx="27">
                  <c:v>46</c:v>
                </c:pt>
                <c:pt idx="28">
                  <c:v>53</c:v>
                </c:pt>
                <c:pt idx="29">
                  <c:v>60</c:v>
                </c:pt>
                <c:pt idx="30">
                  <c:v>67</c:v>
                </c:pt>
                <c:pt idx="31">
                  <c:v>74</c:v>
                </c:pt>
                <c:pt idx="32">
                  <c:v>81</c:v>
                </c:pt>
                <c:pt idx="33">
                  <c:v>88</c:v>
                </c:pt>
                <c:pt idx="34">
                  <c:v>95</c:v>
                </c:pt>
                <c:pt idx="35">
                  <c:v>102</c:v>
                </c:pt>
                <c:pt idx="36">
                  <c:v>109</c:v>
                </c:pt>
                <c:pt idx="37">
                  <c:v>116</c:v>
                </c:pt>
                <c:pt idx="38">
                  <c:v>123</c:v>
                </c:pt>
                <c:pt idx="39">
                  <c:v>130</c:v>
                </c:pt>
                <c:pt idx="40">
                  <c:v>137</c:v>
                </c:pt>
                <c:pt idx="41">
                  <c:v>144</c:v>
                </c:pt>
                <c:pt idx="42">
                  <c:v>151</c:v>
                </c:pt>
                <c:pt idx="43">
                  <c:v>158</c:v>
                </c:pt>
                <c:pt idx="44">
                  <c:v>165</c:v>
                </c:pt>
                <c:pt idx="45">
                  <c:v>172</c:v>
                </c:pt>
                <c:pt idx="46">
                  <c:v>179</c:v>
                </c:pt>
                <c:pt idx="47">
                  <c:v>186</c:v>
                </c:pt>
                <c:pt idx="48">
                  <c:v>193</c:v>
                </c:pt>
                <c:pt idx="49">
                  <c:v>200</c:v>
                </c:pt>
                <c:pt idx="50">
                  <c:v>207</c:v>
                </c:pt>
                <c:pt idx="51">
                  <c:v>214</c:v>
                </c:pt>
                <c:pt idx="52">
                  <c:v>221</c:v>
                </c:pt>
                <c:pt idx="53">
                  <c:v>228</c:v>
                </c:pt>
                <c:pt idx="54">
                  <c:v>235</c:v>
                </c:pt>
                <c:pt idx="55">
                  <c:v>242</c:v>
                </c:pt>
                <c:pt idx="56">
                  <c:v>249</c:v>
                </c:pt>
                <c:pt idx="57">
                  <c:v>256</c:v>
                </c:pt>
              </c:numCache>
            </c:numRef>
          </c:xVal>
          <c:yVal>
            <c:numRef>
              <c:f>myData!NSW100Cases</c:f>
              <c:numCache>
                <c:formatCode>0.000</c:formatCode>
                <c:ptCount val="23"/>
                <c:pt idx="0">
                  <c:v>80.445544554455438</c:v>
                </c:pt>
                <c:pt idx="1">
                  <c:v>94.059405940594047</c:v>
                </c:pt>
                <c:pt idx="2">
                  <c:v>113.86138613861385</c:v>
                </c:pt>
                <c:pt idx="3">
                  <c:v>138.61386138613861</c:v>
                </c:pt>
                <c:pt idx="4">
                  <c:v>165.84158415841583</c:v>
                </c:pt>
                <c:pt idx="5">
                  <c:v>211.63366336633663</c:v>
                </c:pt>
                <c:pt idx="6">
                  <c:v>259.9009900990099</c:v>
                </c:pt>
                <c:pt idx="7">
                  <c:v>330.44554455445541</c:v>
                </c:pt>
                <c:pt idx="8">
                  <c:v>379.95049504950492</c:v>
                </c:pt>
                <c:pt idx="9">
                  <c:v>436.88118811881185</c:v>
                </c:pt>
                <c:pt idx="10">
                  <c:v>539.60396039603961</c:v>
                </c:pt>
                <c:pt idx="11">
                  <c:v>827.97029702970292</c:v>
                </c:pt>
                <c:pt idx="12">
                  <c:v>827.97029702970292</c:v>
                </c:pt>
                <c:pt idx="13">
                  <c:v>1012.3762376237623</c:v>
                </c:pt>
                <c:pt idx="14">
                  <c:v>1273.5148514851485</c:v>
                </c:pt>
                <c:pt idx="15">
                  <c:v>1508.6633663366335</c:v>
                </c:pt>
                <c:pt idx="16">
                  <c:v>1738.8613861386139</c:v>
                </c:pt>
                <c:pt idx="17">
                  <c:v>2001.2376237623762</c:v>
                </c:pt>
                <c:pt idx="18">
                  <c:v>2216.5841584158416</c:v>
                </c:pt>
                <c:pt idx="19">
                  <c:v>2373.7623762376238</c:v>
                </c:pt>
                <c:pt idx="20">
                  <c:v>2514.8514851485147</c:v>
                </c:pt>
                <c:pt idx="21">
                  <c:v>2700.4950495049502</c:v>
                </c:pt>
                <c:pt idx="22">
                  <c:v>2844.0594059405939</c:v>
                </c:pt>
              </c:numCache>
            </c:numRef>
          </c:yVal>
          <c:smooth val="0"/>
        </c:ser>
        <c:ser>
          <c:idx val="0"/>
          <c:order val="5"/>
          <c:tx>
            <c:strRef>
              <c:f>myData!NSWSeries</c:f>
              <c:strCache>
                <c:ptCount val="1"/>
                <c:pt idx="0">
                  <c:v>NSW Limit 3.71 k</c:v>
                </c:pt>
              </c:strCache>
            </c:strRef>
          </c:tx>
          <c:spPr>
            <a:ln w="12700" cap="rnd">
              <a:solidFill>
                <a:schemeClr val="accent6">
                  <a:lumMod val="75000"/>
                </a:schemeClr>
              </a:solidFill>
              <a:prstDash val="sysDash"/>
              <a:round/>
            </a:ln>
            <a:effectLst/>
          </c:spPr>
          <c:marker>
            <c:symbol val="none"/>
          </c:marker>
          <c:xVal>
            <c:numRef>
              <c:f>myData!NSW100LogiDates</c:f>
              <c:numCache>
                <c:formatCode>0</c:formatCode>
                <c:ptCount val="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32</c:v>
                </c:pt>
                <c:pt idx="26">
                  <c:v>39</c:v>
                </c:pt>
                <c:pt idx="27">
                  <c:v>46</c:v>
                </c:pt>
                <c:pt idx="28">
                  <c:v>53</c:v>
                </c:pt>
                <c:pt idx="29">
                  <c:v>60</c:v>
                </c:pt>
                <c:pt idx="30">
                  <c:v>67</c:v>
                </c:pt>
                <c:pt idx="31">
                  <c:v>74</c:v>
                </c:pt>
                <c:pt idx="32">
                  <c:v>81</c:v>
                </c:pt>
                <c:pt idx="33">
                  <c:v>88</c:v>
                </c:pt>
                <c:pt idx="34">
                  <c:v>95</c:v>
                </c:pt>
                <c:pt idx="35">
                  <c:v>102</c:v>
                </c:pt>
                <c:pt idx="36">
                  <c:v>109</c:v>
                </c:pt>
                <c:pt idx="37">
                  <c:v>116</c:v>
                </c:pt>
                <c:pt idx="38">
                  <c:v>123</c:v>
                </c:pt>
                <c:pt idx="39">
                  <c:v>130</c:v>
                </c:pt>
                <c:pt idx="40">
                  <c:v>137</c:v>
                </c:pt>
                <c:pt idx="41">
                  <c:v>144</c:v>
                </c:pt>
                <c:pt idx="42">
                  <c:v>151</c:v>
                </c:pt>
                <c:pt idx="43">
                  <c:v>158</c:v>
                </c:pt>
                <c:pt idx="44">
                  <c:v>165</c:v>
                </c:pt>
                <c:pt idx="45">
                  <c:v>172</c:v>
                </c:pt>
                <c:pt idx="46">
                  <c:v>179</c:v>
                </c:pt>
                <c:pt idx="47">
                  <c:v>186</c:v>
                </c:pt>
                <c:pt idx="48">
                  <c:v>193</c:v>
                </c:pt>
                <c:pt idx="49">
                  <c:v>200</c:v>
                </c:pt>
                <c:pt idx="50">
                  <c:v>207</c:v>
                </c:pt>
                <c:pt idx="51">
                  <c:v>214</c:v>
                </c:pt>
                <c:pt idx="52">
                  <c:v>221</c:v>
                </c:pt>
                <c:pt idx="53">
                  <c:v>228</c:v>
                </c:pt>
                <c:pt idx="54">
                  <c:v>235</c:v>
                </c:pt>
                <c:pt idx="55">
                  <c:v>242</c:v>
                </c:pt>
                <c:pt idx="56">
                  <c:v>249</c:v>
                </c:pt>
                <c:pt idx="57">
                  <c:v>256</c:v>
                </c:pt>
              </c:numCache>
            </c:numRef>
          </c:xVal>
          <c:yVal>
            <c:numRef>
              <c:f>myData!NSW100Logi</c:f>
              <c:numCache>
                <c:formatCode>0.000</c:formatCode>
                <c:ptCount val="58"/>
                <c:pt idx="0">
                  <c:v>68.418493942221474</c:v>
                </c:pt>
                <c:pt idx="1">
                  <c:v>86.358644747102346</c:v>
                </c:pt>
                <c:pt idx="2">
                  <c:v>108.86241543140586</c:v>
                </c:pt>
                <c:pt idx="3">
                  <c:v>137.00880562667018</c:v>
                </c:pt>
                <c:pt idx="4">
                  <c:v>172.08500346295597</c:v>
                </c:pt>
                <c:pt idx="5">
                  <c:v>215.59982198262188</c:v>
                </c:pt>
                <c:pt idx="6">
                  <c:v>269.2813973143592</c:v>
                </c:pt>
                <c:pt idx="7">
                  <c:v>335.04860749033986</c:v>
                </c:pt>
                <c:pt idx="8">
                  <c:v>414.94299071128785</c:v>
                </c:pt>
                <c:pt idx="9">
                  <c:v>511.00681486527998</c:v>
                </c:pt>
                <c:pt idx="10">
                  <c:v>625.09549490105485</c:v>
                </c:pt>
                <c:pt idx="11">
                  <c:v>758.62146372722509</c:v>
                </c:pt>
                <c:pt idx="12">
                  <c:v>912.24408578586895</c:v>
                </c:pt>
                <c:pt idx="13">
                  <c:v>1085.545841970566</c:v>
                </c:pt>
                <c:pt idx="14">
                  <c:v>1276.7630439126124</c:v>
                </c:pt>
                <c:pt idx="15">
                  <c:v>1482.6573484580329</c:v>
                </c:pt>
                <c:pt idx="16">
                  <c:v>1698.6065328149805</c:v>
                </c:pt>
                <c:pt idx="17">
                  <c:v>1918.9494278680702</c:v>
                </c:pt>
                <c:pt idx="18">
                  <c:v>2137.5477557733293</c:v>
                </c:pt>
                <c:pt idx="19">
                  <c:v>2348.4543597872535</c:v>
                </c:pt>
                <c:pt idx="20">
                  <c:v>2546.5383231592164</c:v>
                </c:pt>
                <c:pt idx="21">
                  <c:v>2727.9334930860759</c:v>
                </c:pt>
                <c:pt idx="22">
                  <c:v>2890.2392978419266</c:v>
                </c:pt>
                <c:pt idx="23">
                  <c:v>3032.4796839404457</c:v>
                </c:pt>
                <c:pt idx="24" formatCode="0.00E+00">
                  <c:v>3154.8841562536404</c:v>
                </c:pt>
                <c:pt idx="25" formatCode="0.00E+00">
                  <c:v>3592.8546941598006</c:v>
                </c:pt>
                <c:pt idx="26" formatCode="0.00E+00">
                  <c:v>3689.8024663291067</c:v>
                </c:pt>
                <c:pt idx="27" formatCode="0.00E+00">
                  <c:v>3708.7432606241837</c:v>
                </c:pt>
                <c:pt idx="28" formatCode="0.00E+00">
                  <c:v>3712.3500204610295</c:v>
                </c:pt>
                <c:pt idx="29" formatCode="0.00E+00">
                  <c:v>3713.0334481236378</c:v>
                </c:pt>
                <c:pt idx="30" formatCode="0.00E+00">
                  <c:v>3713.1628262529675</c:v>
                </c:pt>
                <c:pt idx="31" formatCode="0.00E+00">
                  <c:v>3713.1873141844335</c:v>
                </c:pt>
                <c:pt idx="32" formatCode="0.00E+00">
                  <c:v>3713.1919489603806</c:v>
                </c:pt>
                <c:pt idx="33" formatCode="0.00E+00">
                  <c:v>3713.1928261684666</c:v>
                </c:pt>
                <c:pt idx="34" formatCode="0.00E+00">
                  <c:v>3713.1929921944206</c:v>
                </c:pt>
                <c:pt idx="35" formatCode="0.00E+00">
                  <c:v>3713.1930236175363</c:v>
                </c:pt>
                <c:pt idx="36" formatCode="0.00E+00">
                  <c:v>3713.1930295648731</c:v>
                </c:pt>
                <c:pt idx="37" formatCode="0.00E+00">
                  <c:v>3713.1930306905033</c:v>
                </c:pt>
                <c:pt idx="38" formatCode="0.00E+00">
                  <c:v>3713.193030903547</c:v>
                </c:pt>
                <c:pt idx="39" formatCode="0.00E+00">
                  <c:v>3713.193030943869</c:v>
                </c:pt>
                <c:pt idx="40" formatCode="0.00E+00">
                  <c:v>3713.1930309515005</c:v>
                </c:pt>
                <c:pt idx="41" formatCode="0.00E+00">
                  <c:v>3713.1930309529448</c:v>
                </c:pt>
                <c:pt idx="42" formatCode="0.00E+00">
                  <c:v>3713.1930309532177</c:v>
                </c:pt>
                <c:pt idx="43" formatCode="0.00E+00">
                  <c:v>3713.19303095327</c:v>
                </c:pt>
                <c:pt idx="44" formatCode="0.00E+00">
                  <c:v>3713.1930309532795</c:v>
                </c:pt>
                <c:pt idx="45" formatCode="0.00E+00">
                  <c:v>3713.1930309532813</c:v>
                </c:pt>
                <c:pt idx="46" formatCode="0.00E+00">
                  <c:v>3713.1930309532818</c:v>
                </c:pt>
                <c:pt idx="47" formatCode="0.00E+00">
                  <c:v>3713.1930309532818</c:v>
                </c:pt>
                <c:pt idx="48" formatCode="0.00E+00">
                  <c:v>3713.1930309532818</c:v>
                </c:pt>
                <c:pt idx="49" formatCode="0.00E+00">
                  <c:v>3713.1930309532818</c:v>
                </c:pt>
                <c:pt idx="50" formatCode="0.00E+00">
                  <c:v>3713.1930309532818</c:v>
                </c:pt>
                <c:pt idx="51" formatCode="0.00E+00">
                  <c:v>3713.1930309532818</c:v>
                </c:pt>
                <c:pt idx="52" formatCode="0.00E+00">
                  <c:v>3713.1930309532818</c:v>
                </c:pt>
                <c:pt idx="53" formatCode="0.00E+00">
                  <c:v>3713.1930309532818</c:v>
                </c:pt>
                <c:pt idx="54" formatCode="0.00E+00">
                  <c:v>3713.1930309532818</c:v>
                </c:pt>
                <c:pt idx="55" formatCode="0.00E+00">
                  <c:v>3713.1930309532818</c:v>
                </c:pt>
                <c:pt idx="56" formatCode="0.00E+00">
                  <c:v>3713.1930309532818</c:v>
                </c:pt>
                <c:pt idx="57" formatCode="0.00E+00">
                  <c:v>3713.1930309532818</c:v>
                </c:pt>
              </c:numCache>
            </c:numRef>
          </c:yVal>
          <c:smooth val="0"/>
        </c:ser>
        <c:ser>
          <c:idx val="10"/>
          <c:order val="6"/>
          <c:tx>
            <c:strRef>
              <c:f>myData!UKLabel</c:f>
              <c:strCache>
                <c:ptCount val="1"/>
                <c:pt idx="0">
                  <c:v>UK from 12-Mar</c:v>
                </c:pt>
              </c:strCache>
            </c:strRef>
          </c:tx>
          <c:spPr>
            <a:ln w="19050" cap="rnd">
              <a:solidFill>
                <a:schemeClr val="accent4">
                  <a:lumMod val="60000"/>
                  <a:lumOff val="40000"/>
                </a:schemeClr>
              </a:solidFill>
              <a:round/>
            </a:ln>
            <a:effectLst/>
          </c:spPr>
          <c:marker>
            <c:symbol val="circle"/>
            <c:size val="5"/>
            <c:spPr>
              <a:solidFill>
                <a:schemeClr val="accent4">
                  <a:lumMod val="75000"/>
                </a:schemeClr>
              </a:solidFill>
              <a:ln w="9525">
                <a:solidFill>
                  <a:schemeClr val="accent4">
                    <a:lumMod val="75000"/>
                  </a:schemeClr>
                </a:solidFill>
              </a:ln>
              <a:effectLst/>
            </c:spPr>
          </c:marker>
          <c:dLbls>
            <c:dLbl>
              <c:idx val="18"/>
              <c:layout/>
              <c:tx>
                <c:rich>
                  <a:bodyPr/>
                  <a:lstStyle/>
                  <a:p>
                    <a:r>
                      <a:rPr lang="en-US"/>
                      <a:t>UK</a:t>
                    </a:r>
                  </a:p>
                </c:rich>
              </c:tx>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myData!UK100Dates</c:f>
              <c:numCache>
                <c:formatCode>0</c:formatCode>
                <c:ptCount val="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30</c:v>
                </c:pt>
                <c:pt idx="24">
                  <c:v>37</c:v>
                </c:pt>
                <c:pt idx="25">
                  <c:v>44</c:v>
                </c:pt>
                <c:pt idx="26">
                  <c:v>51</c:v>
                </c:pt>
                <c:pt idx="27">
                  <c:v>58</c:v>
                </c:pt>
                <c:pt idx="28">
                  <c:v>65</c:v>
                </c:pt>
                <c:pt idx="29">
                  <c:v>72</c:v>
                </c:pt>
                <c:pt idx="30">
                  <c:v>79</c:v>
                </c:pt>
                <c:pt idx="31">
                  <c:v>86</c:v>
                </c:pt>
                <c:pt idx="32">
                  <c:v>93</c:v>
                </c:pt>
                <c:pt idx="33">
                  <c:v>100</c:v>
                </c:pt>
                <c:pt idx="34">
                  <c:v>107</c:v>
                </c:pt>
                <c:pt idx="35">
                  <c:v>114</c:v>
                </c:pt>
                <c:pt idx="36">
                  <c:v>121</c:v>
                </c:pt>
                <c:pt idx="37">
                  <c:v>128</c:v>
                </c:pt>
                <c:pt idx="38">
                  <c:v>135</c:v>
                </c:pt>
                <c:pt idx="39">
                  <c:v>142</c:v>
                </c:pt>
                <c:pt idx="40">
                  <c:v>149</c:v>
                </c:pt>
                <c:pt idx="41">
                  <c:v>156</c:v>
                </c:pt>
                <c:pt idx="42">
                  <c:v>163</c:v>
                </c:pt>
                <c:pt idx="43">
                  <c:v>170</c:v>
                </c:pt>
                <c:pt idx="44">
                  <c:v>177</c:v>
                </c:pt>
                <c:pt idx="45">
                  <c:v>184</c:v>
                </c:pt>
                <c:pt idx="46">
                  <c:v>191</c:v>
                </c:pt>
                <c:pt idx="47">
                  <c:v>198</c:v>
                </c:pt>
                <c:pt idx="48">
                  <c:v>205</c:v>
                </c:pt>
                <c:pt idx="49">
                  <c:v>212</c:v>
                </c:pt>
                <c:pt idx="50">
                  <c:v>219</c:v>
                </c:pt>
                <c:pt idx="51">
                  <c:v>226</c:v>
                </c:pt>
                <c:pt idx="52">
                  <c:v>233</c:v>
                </c:pt>
                <c:pt idx="53">
                  <c:v>240</c:v>
                </c:pt>
                <c:pt idx="54">
                  <c:v>247</c:v>
                </c:pt>
                <c:pt idx="55">
                  <c:v>254</c:v>
                </c:pt>
              </c:numCache>
            </c:numRef>
          </c:xVal>
          <c:yVal>
            <c:numRef>
              <c:f>myData!UK100Cases</c:f>
              <c:numCache>
                <c:formatCode>##0.0E+00</c:formatCode>
                <c:ptCount val="20"/>
                <c:pt idx="0">
                  <c:v>120.71041541240217</c:v>
                </c:pt>
                <c:pt idx="1">
                  <c:v>172.18543046357615</c:v>
                </c:pt>
                <c:pt idx="2">
                  <c:v>172.33594220349187</c:v>
                </c:pt>
                <c:pt idx="3">
                  <c:v>233.44370860927151</c:v>
                </c:pt>
                <c:pt idx="4">
                  <c:v>295.0030102347983</c:v>
                </c:pt>
                <c:pt idx="5">
                  <c:v>397.65201685731489</c:v>
                </c:pt>
                <c:pt idx="6">
                  <c:v>408.78988561107764</c:v>
                </c:pt>
                <c:pt idx="7">
                  <c:v>604.15412402167362</c:v>
                </c:pt>
                <c:pt idx="8">
                  <c:v>762.64298615291989</c:v>
                </c:pt>
                <c:pt idx="9">
                  <c:v>864.68994581577363</c:v>
                </c:pt>
                <c:pt idx="10">
                  <c:v>1012.3419626730885</c:v>
                </c:pt>
                <c:pt idx="11">
                  <c:v>1228.7778446718844</c:v>
                </c:pt>
                <c:pt idx="12" formatCode="0.000">
                  <c:v>1450.9331727874774</c:v>
                </c:pt>
                <c:pt idx="13" formatCode="0.000">
                  <c:v>1777.844671884407</c:v>
                </c:pt>
                <c:pt idx="14" formatCode="0.000">
                  <c:v>2219.2956050571943</c:v>
                </c:pt>
                <c:pt idx="15" formatCode="0.000">
                  <c:v>2605.6592414208308</c:v>
                </c:pt>
                <c:pt idx="16" formatCode="0.000">
                  <c:v>2977.1222155328114</c:v>
                </c:pt>
                <c:pt idx="17" formatCode="0.000">
                  <c:v>3379.4400963275134</c:v>
                </c:pt>
                <c:pt idx="18" formatCode="0.000">
                  <c:v>3835.1896447922936</c:v>
                </c:pt>
                <c:pt idx="19" formatCode="0.000">
                  <c:v>4495.0331125827815</c:v>
                </c:pt>
              </c:numCache>
            </c:numRef>
          </c:yVal>
          <c:smooth val="0"/>
        </c:ser>
        <c:ser>
          <c:idx val="5"/>
          <c:order val="7"/>
          <c:tx>
            <c:strRef>
              <c:f>myData!UKSeries</c:f>
              <c:strCache>
                <c:ptCount val="1"/>
                <c:pt idx="0">
                  <c:v>UK Limit 11.2 k</c:v>
                </c:pt>
              </c:strCache>
            </c:strRef>
          </c:tx>
          <c:spPr>
            <a:ln w="19050" cap="rnd">
              <a:solidFill>
                <a:schemeClr val="accent4">
                  <a:lumMod val="75000"/>
                </a:schemeClr>
              </a:solidFill>
              <a:prstDash val="sysDot"/>
              <a:round/>
            </a:ln>
            <a:effectLst/>
          </c:spPr>
          <c:marker>
            <c:symbol val="none"/>
          </c:marker>
          <c:xVal>
            <c:numRef>
              <c:f>myData!UK100LogiDates</c:f>
              <c:numCache>
                <c:formatCode>0</c:formatCode>
                <c:ptCount val="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30</c:v>
                </c:pt>
                <c:pt idx="24">
                  <c:v>37</c:v>
                </c:pt>
                <c:pt idx="25">
                  <c:v>44</c:v>
                </c:pt>
                <c:pt idx="26">
                  <c:v>51</c:v>
                </c:pt>
                <c:pt idx="27">
                  <c:v>58</c:v>
                </c:pt>
                <c:pt idx="28">
                  <c:v>65</c:v>
                </c:pt>
                <c:pt idx="29">
                  <c:v>72</c:v>
                </c:pt>
                <c:pt idx="30">
                  <c:v>79</c:v>
                </c:pt>
                <c:pt idx="31">
                  <c:v>86</c:v>
                </c:pt>
                <c:pt idx="32">
                  <c:v>93</c:v>
                </c:pt>
                <c:pt idx="33">
                  <c:v>100</c:v>
                </c:pt>
                <c:pt idx="34">
                  <c:v>107</c:v>
                </c:pt>
                <c:pt idx="35">
                  <c:v>114</c:v>
                </c:pt>
                <c:pt idx="36">
                  <c:v>121</c:v>
                </c:pt>
                <c:pt idx="37">
                  <c:v>128</c:v>
                </c:pt>
                <c:pt idx="38">
                  <c:v>135</c:v>
                </c:pt>
                <c:pt idx="39">
                  <c:v>142</c:v>
                </c:pt>
                <c:pt idx="40">
                  <c:v>149</c:v>
                </c:pt>
                <c:pt idx="41">
                  <c:v>156</c:v>
                </c:pt>
                <c:pt idx="42">
                  <c:v>163</c:v>
                </c:pt>
                <c:pt idx="43">
                  <c:v>170</c:v>
                </c:pt>
                <c:pt idx="44">
                  <c:v>177</c:v>
                </c:pt>
                <c:pt idx="45">
                  <c:v>184</c:v>
                </c:pt>
                <c:pt idx="46">
                  <c:v>191</c:v>
                </c:pt>
                <c:pt idx="47">
                  <c:v>198</c:v>
                </c:pt>
                <c:pt idx="48">
                  <c:v>205</c:v>
                </c:pt>
                <c:pt idx="49">
                  <c:v>212</c:v>
                </c:pt>
                <c:pt idx="50">
                  <c:v>219</c:v>
                </c:pt>
                <c:pt idx="51">
                  <c:v>226</c:v>
                </c:pt>
                <c:pt idx="52">
                  <c:v>233</c:v>
                </c:pt>
                <c:pt idx="53">
                  <c:v>240</c:v>
                </c:pt>
                <c:pt idx="54">
                  <c:v>247</c:v>
                </c:pt>
                <c:pt idx="55">
                  <c:v>254</c:v>
                </c:pt>
              </c:numCache>
            </c:numRef>
          </c:xVal>
          <c:yVal>
            <c:numRef>
              <c:f>myData!UK100Logi</c:f>
              <c:numCache>
                <c:formatCode>0.0</c:formatCode>
                <c:ptCount val="56"/>
                <c:pt idx="0">
                  <c:v>128.01086192695243</c:v>
                </c:pt>
                <c:pt idx="1">
                  <c:v>158.07615809794453</c:v>
                </c:pt>
                <c:pt idx="2">
                  <c:v>195.07856700272814</c:v>
                </c:pt>
                <c:pt idx="3">
                  <c:v>240.55414753897261</c:v>
                </c:pt>
                <c:pt idx="4">
                  <c:v>296.34580376801972</c:v>
                </c:pt>
                <c:pt idx="5">
                  <c:v>364.64748698878128</c:v>
                </c:pt>
                <c:pt idx="6">
                  <c:v>448.0456928986485</c:v>
                </c:pt>
                <c:pt idx="7">
                  <c:v>549.55229375108763</c:v>
                </c:pt>
                <c:pt idx="8">
                  <c:v>672.61980067197101</c:v>
                </c:pt>
                <c:pt idx="9">
                  <c:v>821.1265740074806</c:v>
                </c:pt>
                <c:pt idx="10">
                  <c:v>999.31565197536906</c:v>
                </c:pt>
                <c:pt idx="11">
                  <c:v>1211.6675974265554</c:v>
                </c:pt>
                <c:pt idx="12">
                  <c:v>1462.6866100415684</c:v>
                </c:pt>
                <c:pt idx="13">
                  <c:v>1756.582450245282</c:v>
                </c:pt>
                <c:pt idx="14">
                  <c:v>2096.8413586092297</c:v>
                </c:pt>
                <c:pt idx="15">
                  <c:v>2485.6996810482151</c:v>
                </c:pt>
                <c:pt idx="16">
                  <c:v>2923.5647706382592</c:v>
                </c:pt>
                <c:pt idx="17">
                  <c:v>3408.4648571893217</c:v>
                </c:pt>
                <c:pt idx="18">
                  <c:v>3935.6424668727545</c:v>
                </c:pt>
                <c:pt idx="19">
                  <c:v>4497.4185114322163</c:v>
                </c:pt>
                <c:pt idx="20" formatCode="0.000E+00">
                  <c:v>5083.43010968404</c:v>
                </c:pt>
                <c:pt idx="21" formatCode="0.000E+00">
                  <c:v>5681.278038767231</c:v>
                </c:pt>
                <c:pt idx="22" formatCode="0.000E+00">
                  <c:v>6277.5218466408705</c:v>
                </c:pt>
                <c:pt idx="23" formatCode="0.000E+00">
                  <c:v>9537.8604462936619</c:v>
                </c:pt>
                <c:pt idx="24" formatCode="0.000E+00">
                  <c:v>10794.102894719661</c:v>
                </c:pt>
                <c:pt idx="25" formatCode="0.000E+00">
                  <c:v>11122.373824810282</c:v>
                </c:pt>
                <c:pt idx="26" formatCode="0.000E+00">
                  <c:v>11198.691581068613</c:v>
                </c:pt>
                <c:pt idx="27" formatCode="0.000E+00">
                  <c:v>11215.937093692488</c:v>
                </c:pt>
                <c:pt idx="28" formatCode="0.000E+00">
                  <c:v>11219.808838453426</c:v>
                </c:pt>
                <c:pt idx="29" formatCode="0.000E+00">
                  <c:v>11220.676804317738</c:v>
                </c:pt>
                <c:pt idx="30" formatCode="0.000E+00">
                  <c:v>11220.87132071063</c:v>
                </c:pt>
                <c:pt idx="31" formatCode="0.000E+00">
                  <c:v>11220.914909806481</c:v>
                </c:pt>
                <c:pt idx="32" formatCode="0.000E+00">
                  <c:v>11220.924677507628</c:v>
                </c:pt>
                <c:pt idx="33" formatCode="0.000E+00">
                  <c:v>11220.926866303515</c:v>
                </c:pt>
                <c:pt idx="34" formatCode="0.000E+00">
                  <c:v>11220.927356779563</c:v>
                </c:pt>
                <c:pt idx="35" formatCode="0.000E+00">
                  <c:v>11220.927466687806</c:v>
                </c:pt>
                <c:pt idx="36" formatCode="0.000E+00">
                  <c:v>11220.927491316577</c:v>
                </c:pt>
                <c:pt idx="37" formatCode="0.000E+00">
                  <c:v>11220.927496835509</c:v>
                </c:pt>
                <c:pt idx="38" formatCode="0.000E+00">
                  <c:v>11220.927498072218</c:v>
                </c:pt>
                <c:pt idx="39" formatCode="0.000E+00">
                  <c:v>11220.927498349347</c:v>
                </c:pt>
                <c:pt idx="40" formatCode="0.000E+00">
                  <c:v>11220.927498411445</c:v>
                </c:pt>
                <c:pt idx="41" formatCode="0.000E+00">
                  <c:v>11220.927498425361</c:v>
                </c:pt>
                <c:pt idx="42" formatCode="0.000E+00">
                  <c:v>11220.92749842848</c:v>
                </c:pt>
                <c:pt idx="43" formatCode="0.000E+00">
                  <c:v>11220.927498429179</c:v>
                </c:pt>
                <c:pt idx="44" formatCode="0.000E+00">
                  <c:v>11220.927498429335</c:v>
                </c:pt>
                <c:pt idx="45" formatCode="0.000E+00">
                  <c:v>11220.927498429372</c:v>
                </c:pt>
                <c:pt idx="46" formatCode="0.000E+00">
                  <c:v>11220.927498429379</c:v>
                </c:pt>
                <c:pt idx="47" formatCode="0.000E+00">
                  <c:v>11220.927498429379</c:v>
                </c:pt>
                <c:pt idx="48" formatCode="0.000E+00">
                  <c:v>11220.927498429379</c:v>
                </c:pt>
                <c:pt idx="49" formatCode="0.000E+00">
                  <c:v>11220.927498429379</c:v>
                </c:pt>
                <c:pt idx="50" formatCode="0.000E+00">
                  <c:v>11220.927498429379</c:v>
                </c:pt>
                <c:pt idx="51" formatCode="0.000E+00">
                  <c:v>11220.927498429379</c:v>
                </c:pt>
                <c:pt idx="52" formatCode="0.000E+00">
                  <c:v>11220.927498429379</c:v>
                </c:pt>
                <c:pt idx="53" formatCode="0.000E+00">
                  <c:v>11220.927498429379</c:v>
                </c:pt>
                <c:pt idx="54" formatCode="0.000E+00">
                  <c:v>11220.927498429379</c:v>
                </c:pt>
                <c:pt idx="55" formatCode="0.000E+00">
                  <c:v>11220.927498429379</c:v>
                </c:pt>
              </c:numCache>
            </c:numRef>
          </c:yVal>
          <c:smooth val="0"/>
        </c:ser>
        <c:ser>
          <c:idx val="4"/>
          <c:order val="8"/>
          <c:tx>
            <c:strRef>
              <c:f>myData!ItalyLabel</c:f>
              <c:strCache>
                <c:ptCount val="1"/>
                <c:pt idx="0">
                  <c:v>Italy from 27-Feb</c:v>
                </c:pt>
              </c:strCache>
            </c:strRef>
          </c:tx>
          <c:spPr>
            <a:ln w="19050" cap="rnd">
              <a:solidFill>
                <a:srgbClr val="FF0000"/>
              </a:solidFill>
              <a:round/>
            </a:ln>
            <a:effectLst/>
          </c:spPr>
          <c:marker>
            <c:symbol val="x"/>
            <c:size val="5"/>
            <c:spPr>
              <a:noFill/>
              <a:ln w="9525">
                <a:solidFill>
                  <a:srgbClr val="FF0000"/>
                </a:solidFill>
              </a:ln>
              <a:effectLst/>
            </c:spPr>
          </c:marker>
          <c:dLbls>
            <c:dLbl>
              <c:idx val="31"/>
              <c:layout>
                <c:manualLayout>
                  <c:x val="-3.5971078508250903E-2"/>
                  <c:y val="-4.2781034352387309E-2"/>
                </c:manualLayout>
              </c:layout>
              <c:tx>
                <c:rich>
                  <a:bodyPr/>
                  <a:lstStyle/>
                  <a:p>
                    <a:r>
                      <a:rPr lang="en-US">
                        <a:solidFill>
                          <a:srgbClr val="FF0000"/>
                        </a:solidFill>
                      </a:rPr>
                      <a:t>Italy</a:t>
                    </a:r>
                  </a:p>
                </c:rich>
              </c:tx>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myData!Italy100Dates</c:f>
              <c:numCache>
                <c:formatCode>0</c:formatCode>
                <c:ptCount val="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45</c:v>
                </c:pt>
                <c:pt idx="39">
                  <c:v>52</c:v>
                </c:pt>
                <c:pt idx="40">
                  <c:v>59</c:v>
                </c:pt>
                <c:pt idx="41">
                  <c:v>66</c:v>
                </c:pt>
                <c:pt idx="42">
                  <c:v>73</c:v>
                </c:pt>
                <c:pt idx="43">
                  <c:v>80</c:v>
                </c:pt>
                <c:pt idx="44">
                  <c:v>87</c:v>
                </c:pt>
                <c:pt idx="45">
                  <c:v>94</c:v>
                </c:pt>
                <c:pt idx="46">
                  <c:v>101</c:v>
                </c:pt>
                <c:pt idx="47">
                  <c:v>108</c:v>
                </c:pt>
                <c:pt idx="48">
                  <c:v>115</c:v>
                </c:pt>
                <c:pt idx="49">
                  <c:v>122</c:v>
                </c:pt>
                <c:pt idx="50">
                  <c:v>129</c:v>
                </c:pt>
                <c:pt idx="51">
                  <c:v>136</c:v>
                </c:pt>
                <c:pt idx="52">
                  <c:v>143</c:v>
                </c:pt>
                <c:pt idx="53">
                  <c:v>150</c:v>
                </c:pt>
                <c:pt idx="54">
                  <c:v>157</c:v>
                </c:pt>
                <c:pt idx="55">
                  <c:v>164</c:v>
                </c:pt>
                <c:pt idx="56">
                  <c:v>171</c:v>
                </c:pt>
                <c:pt idx="57">
                  <c:v>178</c:v>
                </c:pt>
                <c:pt idx="58">
                  <c:v>185</c:v>
                </c:pt>
                <c:pt idx="59">
                  <c:v>192</c:v>
                </c:pt>
                <c:pt idx="60">
                  <c:v>199</c:v>
                </c:pt>
                <c:pt idx="61">
                  <c:v>206</c:v>
                </c:pt>
                <c:pt idx="62">
                  <c:v>213</c:v>
                </c:pt>
                <c:pt idx="63">
                  <c:v>220</c:v>
                </c:pt>
                <c:pt idx="64">
                  <c:v>227</c:v>
                </c:pt>
                <c:pt idx="65">
                  <c:v>234</c:v>
                </c:pt>
                <c:pt idx="66">
                  <c:v>241</c:v>
                </c:pt>
                <c:pt idx="67">
                  <c:v>248</c:v>
                </c:pt>
                <c:pt idx="68">
                  <c:v>255</c:v>
                </c:pt>
                <c:pt idx="69">
                  <c:v>262</c:v>
                </c:pt>
                <c:pt idx="70">
                  <c:v>269</c:v>
                </c:pt>
              </c:numCache>
            </c:numRef>
          </c:xVal>
          <c:yVal>
            <c:numRef>
              <c:f>myData!Italy100Cases</c:f>
              <c:numCache>
                <c:formatCode>##0.0E+00</c:formatCode>
                <c:ptCount val="35"/>
                <c:pt idx="0">
                  <c:v>108.29131189551129</c:v>
                </c:pt>
                <c:pt idx="1">
                  <c:v>146.81325948582293</c:v>
                </c:pt>
                <c:pt idx="2">
                  <c:v>186.49251880631562</c:v>
                </c:pt>
                <c:pt idx="3">
                  <c:v>280.06943870381087</c:v>
                </c:pt>
                <c:pt idx="4">
                  <c:v>336.61238323551294</c:v>
                </c:pt>
                <c:pt idx="5">
                  <c:v>413.65627841613627</c:v>
                </c:pt>
                <c:pt idx="6">
                  <c:v>510.70513350417463</c:v>
                </c:pt>
                <c:pt idx="7">
                  <c:v>637.84409357691993</c:v>
                </c:pt>
                <c:pt idx="8">
                  <c:v>766.47102587418374</c:v>
                </c:pt>
                <c:pt idx="9">
                  <c:v>972.63784409357697</c:v>
                </c:pt>
                <c:pt idx="10">
                  <c:v>1219.3105728693065</c:v>
                </c:pt>
                <c:pt idx="11">
                  <c:v>1516.4090270314955</c:v>
                </c:pt>
                <c:pt idx="12">
                  <c:v>1677.9366785153345</c:v>
                </c:pt>
                <c:pt idx="13">
                  <c:v>2060.3455402165828</c:v>
                </c:pt>
                <c:pt idx="14">
                  <c:v>2060.3455402165828</c:v>
                </c:pt>
                <c:pt idx="15">
                  <c:v>2919.732164999587</c:v>
                </c:pt>
                <c:pt idx="16">
                  <c:v>3497.8920393485992</c:v>
                </c:pt>
                <c:pt idx="17">
                  <c:v>4091.4276266843021</c:v>
                </c:pt>
                <c:pt idx="18">
                  <c:v>4625.9403157807719</c:v>
                </c:pt>
                <c:pt idx="19">
                  <c:v>5208.8947672976774</c:v>
                </c:pt>
                <c:pt idx="20">
                  <c:v>5904.4391171364805</c:v>
                </c:pt>
                <c:pt idx="21">
                  <c:v>6784.3266925684056</c:v>
                </c:pt>
                <c:pt idx="22">
                  <c:v>7773.9935521203606</c:v>
                </c:pt>
                <c:pt idx="23">
                  <c:v>8858.0639828056555</c:v>
                </c:pt>
                <c:pt idx="24">
                  <c:v>9777.3001570637352</c:v>
                </c:pt>
                <c:pt idx="25">
                  <c:v>10569.066710754732</c:v>
                </c:pt>
                <c:pt idx="26">
                  <c:v>11436.885178143342</c:v>
                </c:pt>
                <c:pt idx="27">
                  <c:v>12298.255765892371</c:v>
                </c:pt>
                <c:pt idx="28">
                  <c:v>13323.799289079938</c:v>
                </c:pt>
                <c:pt idx="29">
                  <c:v>14300.735719599901</c:v>
                </c:pt>
                <c:pt idx="30">
                  <c:v>15288.418616185832</c:v>
                </c:pt>
                <c:pt idx="31">
                  <c:v>16150.946515665042</c:v>
                </c:pt>
                <c:pt idx="32">
                  <c:v>16820.534016698355</c:v>
                </c:pt>
                <c:pt idx="33">
                  <c:v>17490.617508473177</c:v>
                </c:pt>
                <c:pt idx="34">
                  <c:v>18281.226750433994</c:v>
                </c:pt>
              </c:numCache>
            </c:numRef>
          </c:yVal>
          <c:smooth val="0"/>
        </c:ser>
        <c:ser>
          <c:idx val="3"/>
          <c:order val="9"/>
          <c:tx>
            <c:strRef>
              <c:f>myData!ItalySeries</c:f>
              <c:strCache>
                <c:ptCount val="1"/>
                <c:pt idx="0">
                  <c:v>Italy Limit 16.1 k</c:v>
                </c:pt>
              </c:strCache>
            </c:strRef>
          </c:tx>
          <c:spPr>
            <a:ln w="19050" cap="rnd">
              <a:solidFill>
                <a:srgbClr val="FF0000"/>
              </a:solidFill>
              <a:prstDash val="sysDot"/>
              <a:round/>
            </a:ln>
            <a:effectLst/>
          </c:spPr>
          <c:marker>
            <c:symbol val="none"/>
          </c:marker>
          <c:xVal>
            <c:numRef>
              <c:f>myData!Italy100LogiDates</c:f>
              <c:numCache>
                <c:formatCode>0</c:formatCode>
                <c:ptCount val="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45</c:v>
                </c:pt>
                <c:pt idx="39">
                  <c:v>52</c:v>
                </c:pt>
                <c:pt idx="40">
                  <c:v>59</c:v>
                </c:pt>
                <c:pt idx="41">
                  <c:v>66</c:v>
                </c:pt>
                <c:pt idx="42">
                  <c:v>73</c:v>
                </c:pt>
                <c:pt idx="43">
                  <c:v>80</c:v>
                </c:pt>
                <c:pt idx="44">
                  <c:v>87</c:v>
                </c:pt>
                <c:pt idx="45">
                  <c:v>94</c:v>
                </c:pt>
                <c:pt idx="46">
                  <c:v>101</c:v>
                </c:pt>
                <c:pt idx="47">
                  <c:v>108</c:v>
                </c:pt>
                <c:pt idx="48">
                  <c:v>115</c:v>
                </c:pt>
                <c:pt idx="49">
                  <c:v>122</c:v>
                </c:pt>
                <c:pt idx="50">
                  <c:v>129</c:v>
                </c:pt>
                <c:pt idx="51">
                  <c:v>136</c:v>
                </c:pt>
                <c:pt idx="52">
                  <c:v>143</c:v>
                </c:pt>
                <c:pt idx="53">
                  <c:v>150</c:v>
                </c:pt>
                <c:pt idx="54">
                  <c:v>157</c:v>
                </c:pt>
                <c:pt idx="55">
                  <c:v>164</c:v>
                </c:pt>
                <c:pt idx="56">
                  <c:v>171</c:v>
                </c:pt>
                <c:pt idx="57">
                  <c:v>178</c:v>
                </c:pt>
                <c:pt idx="58">
                  <c:v>185</c:v>
                </c:pt>
                <c:pt idx="59">
                  <c:v>192</c:v>
                </c:pt>
                <c:pt idx="60">
                  <c:v>199</c:v>
                </c:pt>
                <c:pt idx="61">
                  <c:v>206</c:v>
                </c:pt>
                <c:pt idx="62">
                  <c:v>213</c:v>
                </c:pt>
                <c:pt idx="63">
                  <c:v>220</c:v>
                </c:pt>
                <c:pt idx="64">
                  <c:v>227</c:v>
                </c:pt>
                <c:pt idx="65">
                  <c:v>234</c:v>
                </c:pt>
                <c:pt idx="66">
                  <c:v>241</c:v>
                </c:pt>
                <c:pt idx="67">
                  <c:v>248</c:v>
                </c:pt>
                <c:pt idx="68">
                  <c:v>255</c:v>
                </c:pt>
                <c:pt idx="69">
                  <c:v>262</c:v>
                </c:pt>
                <c:pt idx="70">
                  <c:v>269</c:v>
                </c:pt>
              </c:numCache>
            </c:numRef>
          </c:xVal>
          <c:yVal>
            <c:numRef>
              <c:f>myData!Italy100Logi</c:f>
              <c:numCache>
                <c:formatCode>0.00E+00</c:formatCode>
                <c:ptCount val="71"/>
                <c:pt idx="0">
                  <c:v>96.17958247179125</c:v>
                </c:pt>
                <c:pt idx="1">
                  <c:v>124.10199305801184</c:v>
                </c:pt>
                <c:pt idx="2">
                  <c:v>160.04954653776946</c:v>
                </c:pt>
                <c:pt idx="3">
                  <c:v>206.27511890988049</c:v>
                </c:pt>
                <c:pt idx="4">
                  <c:v>265.62883867770449</c:v>
                </c:pt>
                <c:pt idx="5">
                  <c:v>341.69344281069021</c:v>
                </c:pt>
                <c:pt idx="6">
                  <c:v>438.93516169495808</c:v>
                </c:pt>
                <c:pt idx="7">
                  <c:v>562.86105264390915</c:v>
                </c:pt>
                <c:pt idx="8">
                  <c:v>720.16450722314983</c:v>
                </c:pt>
                <c:pt idx="9">
                  <c:v>918.82688256448307</c:v>
                </c:pt>
                <c:pt idx="10">
                  <c:v>1168.1243424393117</c:v>
                </c:pt>
                <c:pt idx="11">
                  <c:v>1478.4662672968843</c:v>
                </c:pt>
                <c:pt idx="12">
                  <c:v>1860.9699320075119</c:v>
                </c:pt>
                <c:pt idx="13">
                  <c:v>2326.666699400379</c:v>
                </c:pt>
                <c:pt idx="14">
                  <c:v>2885.2567593485564</c:v>
                </c:pt>
                <c:pt idx="15">
                  <c:v>3543.4067999961553</c:v>
                </c:pt>
                <c:pt idx="16">
                  <c:v>4302.7358163772924</c:v>
                </c:pt>
                <c:pt idx="17">
                  <c:v>5157.8463380586218</c:v>
                </c:pt>
                <c:pt idx="18">
                  <c:v>6094.9626210705965</c:v>
                </c:pt>
                <c:pt idx="19">
                  <c:v>7091.8056572618543</c:v>
                </c:pt>
                <c:pt idx="20">
                  <c:v>8119.1368191166539</c:v>
                </c:pt>
                <c:pt idx="21">
                  <c:v>9143.9171663282941</c:v>
                </c:pt>
                <c:pt idx="22">
                  <c:v>10133.43211521681</c:v>
                </c:pt>
                <c:pt idx="23">
                  <c:v>11059.331560442512</c:v>
                </c:pt>
                <c:pt idx="24">
                  <c:v>11900.571635215421</c:v>
                </c:pt>
                <c:pt idx="25">
                  <c:v>12644.693836517701</c:v>
                </c:pt>
                <c:pt idx="26">
                  <c:v>13287.475975550067</c:v>
                </c:pt>
                <c:pt idx="27">
                  <c:v>13831.43683196342</c:v>
                </c:pt>
                <c:pt idx="28">
                  <c:v>14283.828559199304</c:v>
                </c:pt>
                <c:pt idx="29">
                  <c:v>14654.652487350791</c:v>
                </c:pt>
                <c:pt idx="30">
                  <c:v>14955.021432864407</c:v>
                </c:pt>
                <c:pt idx="31">
                  <c:v>15195.986041361031</c:v>
                </c:pt>
                <c:pt idx="32">
                  <c:v>15387.803316081347</c:v>
                </c:pt>
                <c:pt idx="33">
                  <c:v>15539.558090583221</c:v>
                </c:pt>
                <c:pt idx="34">
                  <c:v>15659.03267718982</c:v>
                </c:pt>
                <c:pt idx="35">
                  <c:v>15752.732254697597</c:v>
                </c:pt>
                <c:pt idx="36">
                  <c:v>15825.995916358999</c:v>
                </c:pt>
                <c:pt idx="37">
                  <c:v>15883.145637574864</c:v>
                </c:pt>
                <c:pt idx="38">
                  <c:v>16048.366150617348</c:v>
                </c:pt>
                <c:pt idx="39">
                  <c:v>16076.107170520339</c:v>
                </c:pt>
                <c:pt idx="40">
                  <c:v>16080.718340456229</c:v>
                </c:pt>
                <c:pt idx="41">
                  <c:v>16081.483532469018</c:v>
                </c:pt>
                <c:pt idx="42">
                  <c:v>16081.61047542423</c:v>
                </c:pt>
                <c:pt idx="43">
                  <c:v>16081.631533887918</c:v>
                </c:pt>
                <c:pt idx="44">
                  <c:v>16081.635027232529</c:v>
                </c:pt>
                <c:pt idx="45">
                  <c:v>16081.635606735443</c:v>
                </c:pt>
                <c:pt idx="46">
                  <c:v>16081.635702867829</c:v>
                </c:pt>
                <c:pt idx="47">
                  <c:v>16081.635718815009</c:v>
                </c:pt>
                <c:pt idx="48">
                  <c:v>16081.635721460445</c:v>
                </c:pt>
                <c:pt idx="49">
                  <c:v>16081.635721899289</c:v>
                </c:pt>
                <c:pt idx="50">
                  <c:v>16081.635721972089</c:v>
                </c:pt>
                <c:pt idx="51">
                  <c:v>16081.635721984168</c:v>
                </c:pt>
                <c:pt idx="52">
                  <c:v>16081.635721986171</c:v>
                </c:pt>
                <c:pt idx="53">
                  <c:v>16081.635721986502</c:v>
                </c:pt>
                <c:pt idx="54">
                  <c:v>16081.635721986559</c:v>
                </c:pt>
                <c:pt idx="55">
                  <c:v>16081.635721986566</c:v>
                </c:pt>
                <c:pt idx="56">
                  <c:v>16081.635721986569</c:v>
                </c:pt>
                <c:pt idx="57">
                  <c:v>16081.635721986569</c:v>
                </c:pt>
                <c:pt idx="58">
                  <c:v>16081.635721986569</c:v>
                </c:pt>
                <c:pt idx="59">
                  <c:v>16081.635721986569</c:v>
                </c:pt>
                <c:pt idx="60">
                  <c:v>16081.635721986569</c:v>
                </c:pt>
                <c:pt idx="61">
                  <c:v>16081.635721986569</c:v>
                </c:pt>
                <c:pt idx="62">
                  <c:v>16081.635721986569</c:v>
                </c:pt>
                <c:pt idx="63">
                  <c:v>16081.635721986569</c:v>
                </c:pt>
                <c:pt idx="64">
                  <c:v>16081.635721986569</c:v>
                </c:pt>
                <c:pt idx="65">
                  <c:v>16081.635721986569</c:v>
                </c:pt>
                <c:pt idx="66">
                  <c:v>16081.635721986569</c:v>
                </c:pt>
                <c:pt idx="67">
                  <c:v>16081.635721986569</c:v>
                </c:pt>
                <c:pt idx="68">
                  <c:v>16081.635721986569</c:v>
                </c:pt>
                <c:pt idx="69">
                  <c:v>16081.635721986569</c:v>
                </c:pt>
                <c:pt idx="70">
                  <c:v>16081.635721986569</c:v>
                </c:pt>
              </c:numCache>
            </c:numRef>
          </c:yVal>
          <c:smooth val="0"/>
        </c:ser>
        <c:ser>
          <c:idx val="6"/>
          <c:order val="10"/>
          <c:tx>
            <c:strRef>
              <c:f>myData!USLabel</c:f>
              <c:strCache>
                <c:ptCount val="1"/>
                <c:pt idx="0">
                  <c:v>USA from 14-Mar</c:v>
                </c:pt>
              </c:strCache>
            </c:strRef>
          </c:tx>
          <c:spPr>
            <a:ln w="19050" cap="rnd">
              <a:solidFill>
                <a:schemeClr val="accent1">
                  <a:lumMod val="60000"/>
                </a:schemeClr>
              </a:solidFill>
              <a:round/>
            </a:ln>
            <a:effectLst/>
          </c:spPr>
          <c:marker>
            <c:symbol val="star"/>
            <c:size val="5"/>
            <c:spPr>
              <a:noFill/>
              <a:ln w="9525">
                <a:solidFill>
                  <a:schemeClr val="accent1">
                    <a:lumMod val="60000"/>
                  </a:schemeClr>
                </a:solidFill>
              </a:ln>
              <a:effectLst/>
            </c:spPr>
          </c:marker>
          <c:dLbls>
            <c:dLbl>
              <c:idx val="17"/>
              <c:layout/>
              <c:tx>
                <c:rich>
                  <a:bodyPr/>
                  <a:lstStyle/>
                  <a:p>
                    <a:r>
                      <a:rPr lang="en-US"/>
                      <a:t>USA</a:t>
                    </a:r>
                  </a:p>
                </c:rich>
              </c:tx>
              <c:dLblPos val="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myData!US100Dates</c:f>
              <c:numCache>
                <c:formatCode>0</c:formatCode>
                <c:ptCount val="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29</c:v>
                </c:pt>
                <c:pt idx="23">
                  <c:v>36</c:v>
                </c:pt>
                <c:pt idx="24">
                  <c:v>43</c:v>
                </c:pt>
                <c:pt idx="25">
                  <c:v>50</c:v>
                </c:pt>
                <c:pt idx="26">
                  <c:v>57</c:v>
                </c:pt>
                <c:pt idx="27">
                  <c:v>64</c:v>
                </c:pt>
                <c:pt idx="28">
                  <c:v>71</c:v>
                </c:pt>
                <c:pt idx="29">
                  <c:v>78</c:v>
                </c:pt>
                <c:pt idx="30">
                  <c:v>85</c:v>
                </c:pt>
                <c:pt idx="31">
                  <c:v>92</c:v>
                </c:pt>
                <c:pt idx="32">
                  <c:v>99</c:v>
                </c:pt>
                <c:pt idx="33">
                  <c:v>106</c:v>
                </c:pt>
                <c:pt idx="34">
                  <c:v>113</c:v>
                </c:pt>
                <c:pt idx="35">
                  <c:v>120</c:v>
                </c:pt>
                <c:pt idx="36">
                  <c:v>127</c:v>
                </c:pt>
                <c:pt idx="37">
                  <c:v>134</c:v>
                </c:pt>
                <c:pt idx="38">
                  <c:v>141</c:v>
                </c:pt>
                <c:pt idx="39">
                  <c:v>148</c:v>
                </c:pt>
                <c:pt idx="40">
                  <c:v>155</c:v>
                </c:pt>
                <c:pt idx="41">
                  <c:v>162</c:v>
                </c:pt>
                <c:pt idx="42">
                  <c:v>169</c:v>
                </c:pt>
                <c:pt idx="43">
                  <c:v>176</c:v>
                </c:pt>
                <c:pt idx="44">
                  <c:v>183</c:v>
                </c:pt>
                <c:pt idx="45">
                  <c:v>190</c:v>
                </c:pt>
                <c:pt idx="46">
                  <c:v>197</c:v>
                </c:pt>
                <c:pt idx="47">
                  <c:v>204</c:v>
                </c:pt>
                <c:pt idx="48">
                  <c:v>211</c:v>
                </c:pt>
                <c:pt idx="49">
                  <c:v>218</c:v>
                </c:pt>
                <c:pt idx="50">
                  <c:v>225</c:v>
                </c:pt>
                <c:pt idx="51">
                  <c:v>232</c:v>
                </c:pt>
                <c:pt idx="52">
                  <c:v>239</c:v>
                </c:pt>
                <c:pt idx="53">
                  <c:v>246</c:v>
                </c:pt>
                <c:pt idx="54">
                  <c:v>253</c:v>
                </c:pt>
              </c:numCache>
            </c:numRef>
          </c:xVal>
          <c:yVal>
            <c:numRef>
              <c:f>myData!US100Cases</c:f>
              <c:numCache>
                <c:formatCode>##0.0E+00</c:formatCode>
                <c:ptCount val="19"/>
                <c:pt idx="0">
                  <c:v>82.830199858064219</c:v>
                </c:pt>
                <c:pt idx="1">
                  <c:v>106.27901331256571</c:v>
                </c:pt>
                <c:pt idx="2">
                  <c:v>140.69288072700897</c:v>
                </c:pt>
                <c:pt idx="3">
                  <c:v>195.03216475564003</c:v>
                </c:pt>
                <c:pt idx="4">
                  <c:v>236.40170351863358</c:v>
                </c:pt>
                <c:pt idx="5">
                  <c:v>415.42671193940021</c:v>
                </c:pt>
                <c:pt idx="6">
                  <c:v>580.14551422406544</c:v>
                </c:pt>
                <c:pt idx="7">
                  <c:v>774.20570743755002</c:v>
                </c:pt>
                <c:pt idx="8">
                  <c:v>1010.7289073989531</c:v>
                </c:pt>
                <c:pt idx="9">
                  <c:v>1331.8136315278848</c:v>
                </c:pt>
                <c:pt idx="10">
                  <c:v>1632.3047086073968</c:v>
                </c:pt>
                <c:pt idx="11">
                  <c:v>1997.9482531220199</c:v>
                </c:pt>
                <c:pt idx="12">
                  <c:v>2546.4439440046467</c:v>
                </c:pt>
                <c:pt idx="13">
                  <c:v>3087.7409706531844</c:v>
                </c:pt>
                <c:pt idx="14">
                  <c:v>3689.7862186864413</c:v>
                </c:pt>
                <c:pt idx="15">
                  <c:v>4279.2869590037535</c:v>
                </c:pt>
                <c:pt idx="16">
                  <c:v>4914.7437287986058</c:v>
                </c:pt>
                <c:pt idx="17">
                  <c:v>5715.557157202662</c:v>
                </c:pt>
                <c:pt idx="18">
                  <c:v>6480.9847466501205</c:v>
                </c:pt>
              </c:numCache>
            </c:numRef>
          </c:yVal>
          <c:smooth val="0"/>
        </c:ser>
        <c:ser>
          <c:idx val="2"/>
          <c:order val="11"/>
          <c:tx>
            <c:strRef>
              <c:f>myData!USSeries</c:f>
              <c:strCache>
                <c:ptCount val="1"/>
                <c:pt idx="0">
                  <c:v>USA Limit 19.2 k</c:v>
                </c:pt>
              </c:strCache>
            </c:strRef>
          </c:tx>
          <c:spPr>
            <a:ln w="19050" cap="rnd">
              <a:solidFill>
                <a:schemeClr val="accent1">
                  <a:lumMod val="75000"/>
                </a:schemeClr>
              </a:solidFill>
              <a:prstDash val="sysDot"/>
              <a:round/>
            </a:ln>
            <a:effectLst/>
          </c:spPr>
          <c:marker>
            <c:symbol val="none"/>
          </c:marker>
          <c:xVal>
            <c:numRef>
              <c:f>myData!US100LogiDates</c:f>
              <c:numCache>
                <c:formatCode>0</c:formatCode>
                <c:ptCount val="5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29</c:v>
                </c:pt>
                <c:pt idx="23">
                  <c:v>36</c:v>
                </c:pt>
                <c:pt idx="24">
                  <c:v>43</c:v>
                </c:pt>
                <c:pt idx="25">
                  <c:v>50</c:v>
                </c:pt>
                <c:pt idx="26">
                  <c:v>57</c:v>
                </c:pt>
                <c:pt idx="27">
                  <c:v>64</c:v>
                </c:pt>
                <c:pt idx="28">
                  <c:v>71</c:v>
                </c:pt>
                <c:pt idx="29">
                  <c:v>78</c:v>
                </c:pt>
                <c:pt idx="30">
                  <c:v>85</c:v>
                </c:pt>
                <c:pt idx="31">
                  <c:v>92</c:v>
                </c:pt>
                <c:pt idx="32">
                  <c:v>99</c:v>
                </c:pt>
                <c:pt idx="33">
                  <c:v>106</c:v>
                </c:pt>
                <c:pt idx="34">
                  <c:v>113</c:v>
                </c:pt>
                <c:pt idx="35">
                  <c:v>120</c:v>
                </c:pt>
                <c:pt idx="36">
                  <c:v>127</c:v>
                </c:pt>
                <c:pt idx="37">
                  <c:v>134</c:v>
                </c:pt>
                <c:pt idx="38">
                  <c:v>141</c:v>
                </c:pt>
                <c:pt idx="39">
                  <c:v>148</c:v>
                </c:pt>
                <c:pt idx="40">
                  <c:v>155</c:v>
                </c:pt>
                <c:pt idx="41">
                  <c:v>162</c:v>
                </c:pt>
                <c:pt idx="42">
                  <c:v>169</c:v>
                </c:pt>
                <c:pt idx="43">
                  <c:v>176</c:v>
                </c:pt>
                <c:pt idx="44">
                  <c:v>183</c:v>
                </c:pt>
                <c:pt idx="45">
                  <c:v>190</c:v>
                </c:pt>
                <c:pt idx="46">
                  <c:v>197</c:v>
                </c:pt>
                <c:pt idx="47">
                  <c:v>204</c:v>
                </c:pt>
                <c:pt idx="48">
                  <c:v>211</c:v>
                </c:pt>
                <c:pt idx="49">
                  <c:v>218</c:v>
                </c:pt>
                <c:pt idx="50">
                  <c:v>225</c:v>
                </c:pt>
                <c:pt idx="51">
                  <c:v>232</c:v>
                </c:pt>
                <c:pt idx="52">
                  <c:v>239</c:v>
                </c:pt>
                <c:pt idx="53">
                  <c:v>246</c:v>
                </c:pt>
                <c:pt idx="54">
                  <c:v>253</c:v>
                </c:pt>
              </c:numCache>
            </c:numRef>
          </c:xVal>
          <c:yVal>
            <c:numRef>
              <c:f>myData!US100Logi</c:f>
              <c:numCache>
                <c:formatCode>##0.00E+00</c:formatCode>
                <c:ptCount val="55"/>
                <c:pt idx="0">
                  <c:v>77.481442094603864</c:v>
                </c:pt>
                <c:pt idx="1">
                  <c:v>102.7692853268171</c:v>
                </c:pt>
                <c:pt idx="2">
                  <c:v>136.25168800335746</c:v>
                </c:pt>
                <c:pt idx="3">
                  <c:v>180.53975913683729</c:v>
                </c:pt>
                <c:pt idx="4">
                  <c:v>239.04328691648033</c:v>
                </c:pt>
                <c:pt idx="5">
                  <c:v>316.19012408539459</c:v>
                </c:pt>
                <c:pt idx="6">
                  <c:v>417.68715009515614</c:v>
                </c:pt>
                <c:pt idx="7">
                  <c:v>550.8160046356353</c:v>
                </c:pt>
                <c:pt idx="8">
                  <c:v>724.74233819515337</c:v>
                </c:pt>
                <c:pt idx="9">
                  <c:v>950.79273543089312</c:v>
                </c:pt>
                <c:pt idx="10">
                  <c:v>1242.6153853309324</c:v>
                </c:pt>
                <c:pt idx="11">
                  <c:v>1616.0880154202396</c:v>
                </c:pt>
                <c:pt idx="12">
                  <c:v>2088.775983050813</c:v>
                </c:pt>
                <c:pt idx="13">
                  <c:v>2678.6968059916544</c:v>
                </c:pt>
                <c:pt idx="14">
                  <c:v>3402.1616547178478</c:v>
                </c:pt>
                <c:pt idx="15">
                  <c:v>4270.6110644155324</c:v>
                </c:pt>
                <c:pt idx="16">
                  <c:v>5286.7091283127156</c:v>
                </c:pt>
                <c:pt idx="17">
                  <c:v>6440.4958486647802</c:v>
                </c:pt>
                <c:pt idx="18">
                  <c:v>7706.9284268088677</c:v>
                </c:pt>
                <c:pt idx="19">
                  <c:v>9046.2757703239786</c:v>
                </c:pt>
                <c:pt idx="20">
                  <c:v>10408.182702564816</c:v>
                </c:pt>
                <c:pt idx="21">
                  <c:v>11738.830322108066</c:v>
                </c:pt>
                <c:pt idx="22">
                  <c:v>17683.551438642571</c:v>
                </c:pt>
                <c:pt idx="23">
                  <c:v>19003.851645308037</c:v>
                </c:pt>
                <c:pt idx="24">
                  <c:v>19200.522794141212</c:v>
                </c:pt>
                <c:pt idx="25">
                  <c:v>19227.822220469352</c:v>
                </c:pt>
                <c:pt idx="26">
                  <c:v>19231.573502231575</c:v>
                </c:pt>
                <c:pt idx="27">
                  <c:v>19232.088257061798</c:v>
                </c:pt>
                <c:pt idx="28">
                  <c:v>19232.158878742517</c:v>
                </c:pt>
                <c:pt idx="29">
                  <c:v>19232.168567414708</c:v>
                </c:pt>
                <c:pt idx="30">
                  <c:v>19232.169896610358</c:v>
                </c:pt>
                <c:pt idx="31">
                  <c:v>19232.170078963536</c:v>
                </c:pt>
                <c:pt idx="32">
                  <c:v>19232.170103980683</c:v>
                </c:pt>
                <c:pt idx="33">
                  <c:v>19232.1701074128</c:v>
                </c:pt>
                <c:pt idx="34">
                  <c:v>19232.170107883652</c:v>
                </c:pt>
                <c:pt idx="35">
                  <c:v>19232.170107948252</c:v>
                </c:pt>
                <c:pt idx="36">
                  <c:v>19232.170107957114</c:v>
                </c:pt>
                <c:pt idx="37">
                  <c:v>19232.170107958329</c:v>
                </c:pt>
                <c:pt idx="38">
                  <c:v>19232.170107958496</c:v>
                </c:pt>
                <c:pt idx="39">
                  <c:v>19232.170107958518</c:v>
                </c:pt>
                <c:pt idx="40">
                  <c:v>19232.170107958522</c:v>
                </c:pt>
                <c:pt idx="41">
                  <c:v>19232.170107958522</c:v>
                </c:pt>
                <c:pt idx="42">
                  <c:v>19232.170107958522</c:v>
                </c:pt>
                <c:pt idx="43">
                  <c:v>19232.170107958522</c:v>
                </c:pt>
                <c:pt idx="44">
                  <c:v>19232.170107958522</c:v>
                </c:pt>
                <c:pt idx="45">
                  <c:v>19232.170107958522</c:v>
                </c:pt>
                <c:pt idx="46">
                  <c:v>19232.170107958522</c:v>
                </c:pt>
                <c:pt idx="47">
                  <c:v>19232.170107958522</c:v>
                </c:pt>
                <c:pt idx="48">
                  <c:v>19232.170107958522</c:v>
                </c:pt>
                <c:pt idx="49">
                  <c:v>19232.170107958522</c:v>
                </c:pt>
                <c:pt idx="50">
                  <c:v>19232.170107958522</c:v>
                </c:pt>
                <c:pt idx="51">
                  <c:v>19232.170107958522</c:v>
                </c:pt>
                <c:pt idx="52">
                  <c:v>19232.170107958522</c:v>
                </c:pt>
                <c:pt idx="53">
                  <c:v>19232.170107958522</c:v>
                </c:pt>
                <c:pt idx="54">
                  <c:v>19232.170107958522</c:v>
                </c:pt>
              </c:numCache>
            </c:numRef>
          </c:yVal>
          <c:smooth val="0"/>
        </c:ser>
        <c:ser>
          <c:idx val="12"/>
          <c:order val="12"/>
          <c:tx>
            <c:strRef>
              <c:f>myData!GenericLabel</c:f>
              <c:strCache>
                <c:ptCount val="1"/>
                <c:pt idx="0">
                  <c:v>New Zealand from 14-Mar</c:v>
                </c:pt>
              </c:strCache>
            </c:strRef>
          </c:tx>
          <c:spPr>
            <a:ln w="19050" cap="rnd">
              <a:solidFill>
                <a:schemeClr val="tx2">
                  <a:lumMod val="5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dLbl>
              <c:idx val="5"/>
              <c:layout>
                <c:manualLayout>
                  <c:x val="-5.1175378705686975E-2"/>
                  <c:y val="-1.981697794990325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r>
                      <a:rPr lang="en-US" sz="900" b="1"/>
                      <a:t>NZ</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myData!Generic100Dates</c:f>
              <c:numCache>
                <c:formatCode>0</c:formatCode>
                <c:ptCount val="4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22</c:v>
                </c:pt>
                <c:pt idx="16">
                  <c:v>29</c:v>
                </c:pt>
                <c:pt idx="17">
                  <c:v>36</c:v>
                </c:pt>
                <c:pt idx="18">
                  <c:v>43</c:v>
                </c:pt>
                <c:pt idx="19">
                  <c:v>50</c:v>
                </c:pt>
                <c:pt idx="20">
                  <c:v>57</c:v>
                </c:pt>
                <c:pt idx="21">
                  <c:v>64</c:v>
                </c:pt>
                <c:pt idx="22">
                  <c:v>71</c:v>
                </c:pt>
                <c:pt idx="23">
                  <c:v>78</c:v>
                </c:pt>
                <c:pt idx="24">
                  <c:v>85</c:v>
                </c:pt>
                <c:pt idx="25">
                  <c:v>92</c:v>
                </c:pt>
                <c:pt idx="26">
                  <c:v>99</c:v>
                </c:pt>
                <c:pt idx="27">
                  <c:v>106</c:v>
                </c:pt>
                <c:pt idx="28">
                  <c:v>113</c:v>
                </c:pt>
                <c:pt idx="29">
                  <c:v>120</c:v>
                </c:pt>
                <c:pt idx="30">
                  <c:v>127</c:v>
                </c:pt>
                <c:pt idx="31">
                  <c:v>134</c:v>
                </c:pt>
                <c:pt idx="32">
                  <c:v>141</c:v>
                </c:pt>
                <c:pt idx="33">
                  <c:v>148</c:v>
                </c:pt>
                <c:pt idx="34">
                  <c:v>155</c:v>
                </c:pt>
                <c:pt idx="35">
                  <c:v>162</c:v>
                </c:pt>
                <c:pt idx="36">
                  <c:v>169</c:v>
                </c:pt>
                <c:pt idx="37">
                  <c:v>176</c:v>
                </c:pt>
                <c:pt idx="38">
                  <c:v>183</c:v>
                </c:pt>
                <c:pt idx="39">
                  <c:v>190</c:v>
                </c:pt>
                <c:pt idx="40">
                  <c:v>197</c:v>
                </c:pt>
                <c:pt idx="41">
                  <c:v>204</c:v>
                </c:pt>
                <c:pt idx="42">
                  <c:v>211</c:v>
                </c:pt>
                <c:pt idx="43">
                  <c:v>218</c:v>
                </c:pt>
                <c:pt idx="44">
                  <c:v>225</c:v>
                </c:pt>
                <c:pt idx="45">
                  <c:v>232</c:v>
                </c:pt>
                <c:pt idx="46">
                  <c:v>239</c:v>
                </c:pt>
                <c:pt idx="47">
                  <c:v>246</c:v>
                </c:pt>
              </c:numCache>
            </c:numRef>
          </c:xVal>
          <c:yVal>
            <c:numRef>
              <c:f>myData!Generic100Cases</c:f>
              <c:numCache>
                <c:formatCode>0.0</c:formatCode>
                <c:ptCount val="35"/>
                <c:pt idx="0">
                  <c:v>99.426386233269596</c:v>
                </c:pt>
                <c:pt idx="1">
                  <c:v>195.02868068833652</c:v>
                </c:pt>
                <c:pt idx="2">
                  <c:v>195.02868068833652</c:v>
                </c:pt>
                <c:pt idx="3">
                  <c:v>296.36711281070745</c:v>
                </c:pt>
                <c:pt idx="4">
                  <c:v>391.96940726577435</c:v>
                </c:pt>
                <c:pt idx="5">
                  <c:v>541.10898661567876</c:v>
                </c:pt>
                <c:pt idx="6">
                  <c:v>703.63288718929255</c:v>
                </c:pt>
                <c:pt idx="7">
                  <c:v>862.33269598470361</c:v>
                </c:pt>
                <c:pt idx="8">
                  <c:v>982.79158699808795</c:v>
                </c:pt>
                <c:pt idx="9">
                  <c:v>1126.1950286806882</c:v>
                </c:pt>
                <c:pt idx="10">
                  <c:v>1237.093690248566</c:v>
                </c:pt>
                <c:pt idx="11">
                  <c:v>1353.7284894837476</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0"/>
        </c:ser>
        <c:dLbls>
          <c:showLegendKey val="0"/>
          <c:showVal val="0"/>
          <c:showCatName val="0"/>
          <c:showSerName val="0"/>
          <c:showPercent val="0"/>
          <c:showBubbleSize val="0"/>
        </c:dLbls>
        <c:axId val="751214920"/>
        <c:axId val="751214136"/>
      </c:scatterChart>
      <c:valAx>
        <c:axId val="751214920"/>
        <c:scaling>
          <c:orientation val="minMax"/>
          <c:max val="42"/>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r>
                  <a:rPr lang="en-AU" sz="1100" b="1"/>
                  <a:t>Days since 80 Cases Per 10m Population</a:t>
                </a:r>
              </a:p>
            </c:rich>
          </c:tx>
          <c:layout>
            <c:manualLayout>
              <c:xMode val="edge"/>
              <c:yMode val="edge"/>
              <c:x val="0.2987676892239407"/>
              <c:y val="0.924620525954150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dk1"/>
                </a:solidFill>
                <a:latin typeface="+mn-lt"/>
                <a:ea typeface="+mn-ea"/>
                <a:cs typeface="+mn-cs"/>
              </a:defRPr>
            </a:pPr>
            <a:endParaRPr lang="en-US"/>
          </a:p>
        </c:txPr>
        <c:crossAx val="751214136"/>
        <c:crosses val="autoZero"/>
        <c:crossBetween val="midCat"/>
        <c:majorUnit val="7"/>
        <c:minorUnit val="1"/>
      </c:valAx>
      <c:valAx>
        <c:axId val="75121413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r>
                  <a:rPr lang="en-AU" sz="1100" b="1"/>
                  <a:t>Cases per 10m (log)</a:t>
                </a:r>
              </a:p>
            </c:rich>
          </c:tx>
          <c:layout>
            <c:manualLayout>
              <c:xMode val="edge"/>
              <c:yMode val="edge"/>
              <c:x val="9.5495491624540511E-3"/>
              <c:y val="0.43324149902521936"/>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dk1"/>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751214920"/>
        <c:crosses val="autoZero"/>
        <c:crossBetween val="midCat"/>
        <c:majorUnit val="10"/>
      </c:valAx>
      <c:spPr>
        <a:noFill/>
        <a:ln>
          <a:noFill/>
        </a:ln>
        <a:effectLst/>
      </c:spPr>
    </c:plotArea>
    <c:legend>
      <c:legendPos val="b"/>
      <c:layout>
        <c:manualLayout>
          <c:xMode val="edge"/>
          <c:yMode val="edge"/>
          <c:x val="0.74922754996594831"/>
          <c:y val="0.28556749328502723"/>
          <c:w val="0.20698180536966101"/>
          <c:h val="0.55974961452603966"/>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r2=998.6E-3, Limit=3.71 k=&gt;3.00 k cases 
 (Fit: Sat 25-Jan - Thu 02-Apr), Cases per 10 M population</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NSW Confirmed Cases</c:v>
          </c:tx>
          <c:spPr>
            <a:ln w="22225" cap="rnd">
              <a:solidFill>
                <a:schemeClr val="accent6"/>
              </a:solidFill>
              <a:round/>
            </a:ln>
            <a:effectLst/>
          </c:spPr>
          <c:marker>
            <c:symbol val="x"/>
            <c:size val="5"/>
            <c:spPr>
              <a:noFill/>
              <a:ln w="9525">
                <a:solidFill>
                  <a:schemeClr val="accent6">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0"/>
          <c:order val="1"/>
          <c:tx>
            <c:strRef>
              <c:f>myData!NSWSeries</c:f>
              <c:strCache>
                <c:ptCount val="1"/>
                <c:pt idx="0">
                  <c:v>NSW Limit 3.71 k</c:v>
                </c:pt>
              </c:strCache>
            </c:strRef>
          </c:tx>
          <c:spPr>
            <a:ln w="19050" cap="rnd">
              <a:solidFill>
                <a:schemeClr val="accent6">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3"/>
          <c:order val="2"/>
          <c:tx>
            <c:v>Au Confirmed Cases</c:v>
          </c:tx>
          <c:spPr>
            <a:ln w="19050" cap="rnd">
              <a:solidFill>
                <a:srgbClr val="FF0000"/>
              </a:solidFill>
              <a:round/>
            </a:ln>
            <a:effectLst/>
          </c:spPr>
          <c:marker>
            <c:symbol val="x"/>
            <c:size val="5"/>
            <c:spPr>
              <a:noFill/>
              <a:ln w="9525">
                <a:solidFill>
                  <a:srgbClr val="FF0000"/>
                </a:solidFill>
              </a:ln>
              <a:effectLst/>
            </c:spPr>
          </c:marker>
          <c:xVal>
            <c:numRef>
              <c:f>myData!AuDates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myData!AuCases</c:f>
              <c:numCache>
                <c:formatCode>0.000</c:formatCode>
                <c:ptCount val="68"/>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2013.8779372338747</c:v>
                </c:pt>
              </c:numCache>
            </c:numRef>
          </c:yVal>
          <c:smooth val="0"/>
        </c:ser>
        <c:ser>
          <c:idx val="4"/>
          <c:order val="3"/>
          <c:tx>
            <c:strRef>
              <c:f>myData!AuSeries</c:f>
              <c:strCache>
                <c:ptCount val="1"/>
                <c:pt idx="0">
                  <c:v>Australia Limit 2.44 k</c:v>
                </c:pt>
              </c:strCache>
            </c:strRef>
          </c:tx>
          <c:spPr>
            <a:ln w="12700" cap="rnd">
              <a:solidFill>
                <a:srgbClr val="FF0000"/>
              </a:solidFill>
              <a:prstDash val="sysDash"/>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5.0780158348501107E-4</c:v>
                </c:pt>
                <c:pt idx="1">
                  <c:v>6.5404230481095292E-4</c:v>
                </c:pt>
                <c:pt idx="2">
                  <c:v>8.4239857259244824E-4</c:v>
                </c:pt>
                <c:pt idx="3">
                  <c:v>1.0849991416250304E-3</c:v>
                </c:pt>
                <c:pt idx="4">
                  <c:v>1.3974656912655325E-3</c:v>
                </c:pt>
                <c:pt idx="5">
                  <c:v>1.7999187383778831E-3</c:v>
                </c:pt>
                <c:pt idx="6">
                  <c:v>2.3182732362566857E-3</c:v>
                </c:pt>
                <c:pt idx="7">
                  <c:v>2.9859072824000464E-3</c:v>
                </c:pt>
                <c:pt idx="8">
                  <c:v>3.8458113806717582E-3</c:v>
                </c:pt>
                <c:pt idx="9">
                  <c:v>4.9533566429069307E-3</c:v>
                </c:pt>
                <c:pt idx="10">
                  <c:v>6.379860162423789E-3</c:v>
                </c:pt>
                <c:pt idx="11">
                  <c:v>8.2171771110498126E-3</c:v>
                </c:pt>
                <c:pt idx="12">
                  <c:v>1.0583615203345937E-2</c:v>
                </c:pt>
                <c:pt idx="13">
                  <c:v>1.3631552286949062E-2</c:v>
                </c:pt>
                <c:pt idx="14">
                  <c:v>1.7557247427833086E-2</c:v>
                </c:pt>
                <c:pt idx="15">
                  <c:v>2.2613477006429773E-2</c:v>
                </c:pt>
                <c:pt idx="16">
                  <c:v>2.9125809088155249E-2</c:v>
                </c:pt>
                <c:pt idx="17">
                  <c:v>3.7513563340633591E-2</c:v>
                </c:pt>
                <c:pt idx="18">
                  <c:v>4.8316805037684707E-2</c:v>
                </c:pt>
                <c:pt idx="19">
                  <c:v>6.2231109499340589E-2</c:v>
                </c:pt>
                <c:pt idx="20">
                  <c:v>8.0152332445696792E-2</c:v>
                </c:pt>
                <c:pt idx="21">
                  <c:v>0.10323426400850313</c:v>
                </c:pt>
                <c:pt idx="22">
                  <c:v>0.13296287037121177</c:v>
                </c:pt>
                <c:pt idx="23">
                  <c:v>0.17125188951301457</c:v>
                </c:pt>
                <c:pt idx="24">
                  <c:v>0.22056591326410149</c:v>
                </c:pt>
                <c:pt idx="25">
                  <c:v>0.28407884234612357</c:v>
                </c:pt>
                <c:pt idx="26">
                  <c:v>0.36587785321200644</c:v>
                </c:pt>
                <c:pt idx="27">
                  <c:v>0.47122590364440897</c:v>
                </c:pt>
                <c:pt idx="28">
                  <c:v>0.60689950311346952</c:v>
                </c:pt>
                <c:pt idx="29">
                  <c:v>0.7816232036645312</c:v>
                </c:pt>
                <c:pt idx="30">
                  <c:v>1.0066283017744495</c:v>
                </c:pt>
                <c:pt idx="31">
                  <c:v>1.2963709194815802</c:v>
                </c:pt>
                <c:pt idx="32">
                  <c:v>1.6694543654176943</c:v>
                </c:pt>
                <c:pt idx="33">
                  <c:v>2.1498129525199996</c:v>
                </c:pt>
                <c:pt idx="34">
                  <c:v>2.7682298331535495</c:v>
                </c:pt>
                <c:pt idx="35">
                  <c:v>3.5642805217006082</c:v>
                </c:pt>
                <c:pt idx="36">
                  <c:v>4.5888172268410514</c:v>
                </c:pt>
                <c:pt idx="37">
                  <c:v>5.9071374162777035</c:v>
                </c:pt>
                <c:pt idx="38">
                  <c:v>7.6030133674683569</c:v>
                </c:pt>
                <c:pt idx="39">
                  <c:v>9.7837972992689277</c:v>
                </c:pt>
                <c:pt idx="40">
                  <c:v>12.586857161961168</c:v>
                </c:pt>
                <c:pt idx="41">
                  <c:v>16.187636995451786</c:v>
                </c:pt>
                <c:pt idx="42">
                  <c:v>20.809664516482755</c:v>
                </c:pt>
                <c:pt idx="43">
                  <c:v>26.736832045718604</c:v>
                </c:pt>
                <c:pt idx="44">
                  <c:v>34.328229126351808</c:v>
                </c:pt>
                <c:pt idx="45">
                  <c:v>44.03566425113214</c:v>
                </c:pt>
                <c:pt idx="46">
                  <c:v>56.423714355462373</c:v>
                </c:pt>
                <c:pt idx="47">
                  <c:v>72.191590317657884</c:v>
                </c:pt>
                <c:pt idx="48">
                  <c:v>92.195179179570601</c:v>
                </c:pt>
                <c:pt idx="49">
                  <c:v>117.46617251868628</c:v>
                </c:pt>
                <c:pt idx="50">
                  <c:v>149.22308751631024</c:v>
                </c:pt>
                <c:pt idx="51">
                  <c:v>188.86621970870678</c:v>
                </c:pt>
                <c:pt idx="52">
                  <c:v>237.94541939955033</c:v>
                </c:pt>
                <c:pt idx="53">
                  <c:v>298.08692497497566</c:v>
                </c:pt>
                <c:pt idx="54">
                  <c:v>370.86508683149322</c:v>
                </c:pt>
                <c:pt idx="55">
                  <c:v>457.60946513200952</c:v>
                </c:pt>
                <c:pt idx="56">
                  <c:v>559.15070131983191</c:v>
                </c:pt>
                <c:pt idx="57">
                  <c:v>675.53146881117766</c:v>
                </c:pt>
                <c:pt idx="58">
                  <c:v>805.73857376856859</c:v>
                </c:pt>
                <c:pt idx="59">
                  <c:v>947.53778679735046</c:v>
                </c:pt>
                <c:pt idx="60">
                  <c:v>1097.4962153921856</c:v>
                </c:pt>
                <c:pt idx="61">
                  <c:v>1251.2422517287348</c:v>
                </c:pt>
                <c:pt idx="62">
                  <c:v>1403.9419710971692</c:v>
                </c:pt>
                <c:pt idx="63">
                  <c:v>1550.8908420790906</c:v>
                </c:pt>
                <c:pt idx="64">
                  <c:v>1688.0726128690712</c:v>
                </c:pt>
                <c:pt idx="65">
                  <c:v>1812.5508892753742</c:v>
                </c:pt>
                <c:pt idx="66">
                  <c:v>1922.6250070724</c:v>
                </c:pt>
                <c:pt idx="67">
                  <c:v>2017.7628524309123</c:v>
                </c:pt>
                <c:pt idx="68">
                  <c:v>2098.3806987716216</c:v>
                </c:pt>
                <c:pt idx="69" formatCode="0.00E+00">
                  <c:v>2165.5574447218241</c:v>
                </c:pt>
                <c:pt idx="70" formatCode="0.00E+00">
                  <c:v>2385.6529412551895</c:v>
                </c:pt>
                <c:pt idx="71" formatCode="0.00E+00">
                  <c:v>2427.6132070388553</c:v>
                </c:pt>
                <c:pt idx="72" formatCode="0.00E+00">
                  <c:v>2434.8965165482655</c:v>
                </c:pt>
                <c:pt idx="73" formatCode="0.00E+00">
                  <c:v>2436.1395096568326</c:v>
                </c:pt>
                <c:pt idx="74" formatCode="0.00E+00">
                  <c:v>2436.3510266989711</c:v>
                </c:pt>
                <c:pt idx="75" formatCode="0.00E+00">
                  <c:v>2436.38700219365</c:v>
                </c:pt>
                <c:pt idx="76" formatCode="0.00E+00">
                  <c:v>2436.3931205049316</c:v>
                </c:pt>
                <c:pt idx="77" formatCode="0.00E+00">
                  <c:v>2436.3941610242223</c:v>
                </c:pt>
                <c:pt idx="78" formatCode="0.00E+00">
                  <c:v>2436.3943379811799</c:v>
                </c:pt>
                <c:pt idx="79" formatCode="0.00E+00">
                  <c:v>2436.3943680755301</c:v>
                </c:pt>
                <c:pt idx="80" formatCode="0.00E+00">
                  <c:v>2436.3943731935537</c:v>
                </c:pt>
                <c:pt idx="81" formatCode="0.00E+00">
                  <c:v>2436.3943740639552</c:v>
                </c:pt>
                <c:pt idx="82" formatCode="0.00E+00">
                  <c:v>2436.3943742119809</c:v>
                </c:pt>
                <c:pt idx="83" formatCode="0.00E+00">
                  <c:v>2436.3943742371548</c:v>
                </c:pt>
                <c:pt idx="84" formatCode="0.00E+00">
                  <c:v>2436.3943742414363</c:v>
                </c:pt>
                <c:pt idx="85" formatCode="0.00E+00">
                  <c:v>2436.3943742421643</c:v>
                </c:pt>
                <c:pt idx="86" formatCode="0.00E+00">
                  <c:v>2436.394374242288</c:v>
                </c:pt>
                <c:pt idx="87" formatCode="0.00E+00">
                  <c:v>2436.3943742423089</c:v>
                </c:pt>
                <c:pt idx="88" formatCode="0.00E+00">
                  <c:v>2436.3943742423126</c:v>
                </c:pt>
                <c:pt idx="89" formatCode="0.00E+00">
                  <c:v>2436.3943742423135</c:v>
                </c:pt>
                <c:pt idx="90" formatCode="0.00E+00">
                  <c:v>2436.3943742423135</c:v>
                </c:pt>
                <c:pt idx="91" formatCode="0.00E+00">
                  <c:v>2436.3943742423135</c:v>
                </c:pt>
                <c:pt idx="92" formatCode="0.00E+00">
                  <c:v>2436.3943742423135</c:v>
                </c:pt>
                <c:pt idx="93" formatCode="0.00E+00">
                  <c:v>2436.3943742423135</c:v>
                </c:pt>
                <c:pt idx="94" formatCode="0.00E+00">
                  <c:v>2436.3943742423135</c:v>
                </c:pt>
                <c:pt idx="95" formatCode="0.00E+00">
                  <c:v>2436.3943742423135</c:v>
                </c:pt>
                <c:pt idx="96" formatCode="0.00E+00">
                  <c:v>2436.3943742423135</c:v>
                </c:pt>
                <c:pt idx="97" formatCode="0.00E+00">
                  <c:v>2436.3943742423135</c:v>
                </c:pt>
                <c:pt idx="98" formatCode="0.00E+00">
                  <c:v>2436.3943742423135</c:v>
                </c:pt>
                <c:pt idx="99" formatCode="0.00E+00">
                  <c:v>2436.3943742423135</c:v>
                </c:pt>
                <c:pt idx="100" formatCode="0.00E+00">
                  <c:v>2436.3943742423135</c:v>
                </c:pt>
                <c:pt idx="101" formatCode="0.00E+00">
                  <c:v>2436.3943742423135</c:v>
                </c:pt>
                <c:pt idx="102" formatCode="0.00E+00">
                  <c:v>2436.3943742423135</c:v>
                </c:pt>
              </c:numCache>
            </c:numRef>
          </c:yVal>
          <c:smooth val="0"/>
        </c:ser>
        <c:ser>
          <c:idx val="5"/>
          <c:order val="4"/>
          <c:tx>
            <c:strRef>
              <c:f>myData!GenName</c:f>
              <c:strCache>
                <c:ptCount val="1"/>
                <c:pt idx="0">
                  <c:v>New Zealand</c:v>
                </c:pt>
              </c:strCache>
            </c:strRef>
          </c:tx>
          <c:spPr>
            <a:ln w="19050" cap="rnd">
              <a:solidFill>
                <a:schemeClr val="bg2">
                  <a:lumMod val="10000"/>
                </a:schemeClr>
              </a:solidFill>
              <a:round/>
            </a:ln>
            <a:effectLst/>
          </c:spPr>
          <c:marker>
            <c:symbol val="x"/>
            <c:size val="3"/>
            <c:spPr>
              <a:solidFill>
                <a:schemeClr val="tx1">
                  <a:lumMod val="95000"/>
                  <a:lumOff val="5000"/>
                </a:schemeClr>
              </a:solidFill>
              <a:ln w="9525">
                <a:solidFill>
                  <a:schemeClr val="tx1">
                    <a:lumMod val="95000"/>
                    <a:lumOff val="5000"/>
                  </a:schemeClr>
                </a:solidFill>
              </a:ln>
              <a:effectLst/>
            </c:spPr>
          </c:marker>
          <c:xVal>
            <c:numRef>
              <c:f>myData!GenericDates</c:f>
              <c:numCache>
                <c:formatCode>m/d/yyyy</c:formatCode>
                <c:ptCount val="34"/>
                <c:pt idx="0">
                  <c:v>43889</c:v>
                </c:pt>
                <c:pt idx="1">
                  <c:v>43890</c:v>
                </c:pt>
                <c:pt idx="2">
                  <c:v>43891</c:v>
                </c:pt>
                <c:pt idx="3">
                  <c:v>43892</c:v>
                </c:pt>
                <c:pt idx="4">
                  <c:v>43893</c:v>
                </c:pt>
                <c:pt idx="5">
                  <c:v>43894</c:v>
                </c:pt>
                <c:pt idx="6">
                  <c:v>43895</c:v>
                </c:pt>
                <c:pt idx="7">
                  <c:v>43896</c:v>
                </c:pt>
                <c:pt idx="8">
                  <c:v>43897</c:v>
                </c:pt>
                <c:pt idx="9">
                  <c:v>43898</c:v>
                </c:pt>
                <c:pt idx="10">
                  <c:v>43899</c:v>
                </c:pt>
                <c:pt idx="11">
                  <c:v>43900</c:v>
                </c:pt>
                <c:pt idx="12">
                  <c:v>43901</c:v>
                </c:pt>
                <c:pt idx="13">
                  <c:v>43902</c:v>
                </c:pt>
                <c:pt idx="14">
                  <c:v>43903</c:v>
                </c:pt>
                <c:pt idx="15">
                  <c:v>43904</c:v>
                </c:pt>
                <c:pt idx="16">
                  <c:v>43905</c:v>
                </c:pt>
                <c:pt idx="17">
                  <c:v>43906</c:v>
                </c:pt>
                <c:pt idx="18">
                  <c:v>43907</c:v>
                </c:pt>
                <c:pt idx="19">
                  <c:v>43908</c:v>
                </c:pt>
                <c:pt idx="20">
                  <c:v>43909</c:v>
                </c:pt>
                <c:pt idx="21">
                  <c:v>43910</c:v>
                </c:pt>
                <c:pt idx="22">
                  <c:v>43911</c:v>
                </c:pt>
                <c:pt idx="23">
                  <c:v>43912</c:v>
                </c:pt>
                <c:pt idx="24">
                  <c:v>43913</c:v>
                </c:pt>
                <c:pt idx="25">
                  <c:v>43914</c:v>
                </c:pt>
                <c:pt idx="26">
                  <c:v>43915</c:v>
                </c:pt>
                <c:pt idx="27">
                  <c:v>43916</c:v>
                </c:pt>
                <c:pt idx="28">
                  <c:v>43917</c:v>
                </c:pt>
                <c:pt idx="29">
                  <c:v>43918</c:v>
                </c:pt>
                <c:pt idx="30">
                  <c:v>43919</c:v>
                </c:pt>
                <c:pt idx="31">
                  <c:v>43920</c:v>
                </c:pt>
                <c:pt idx="32">
                  <c:v>43921</c:v>
                </c:pt>
                <c:pt idx="33">
                  <c:v>43922</c:v>
                </c:pt>
              </c:numCache>
            </c:numRef>
          </c:xVal>
          <c:yVal>
            <c:numRef>
              <c:f>myData!GenericCases</c:f>
              <c:numCache>
                <c:formatCode>0.0</c:formatCode>
                <c:ptCount val="106"/>
                <c:pt idx="0">
                  <c:v>1.9120458891013383</c:v>
                </c:pt>
                <c:pt idx="1">
                  <c:v>1.9120458891013383</c:v>
                </c:pt>
                <c:pt idx="2">
                  <c:v>1.9120458891013383</c:v>
                </c:pt>
                <c:pt idx="3">
                  <c:v>1.9120458891013383</c:v>
                </c:pt>
                <c:pt idx="4">
                  <c:v>1.9120458891013383</c:v>
                </c:pt>
                <c:pt idx="5">
                  <c:v>5.736137667304015</c:v>
                </c:pt>
                <c:pt idx="6">
                  <c:v>5.736137667304015</c:v>
                </c:pt>
                <c:pt idx="7">
                  <c:v>7.6481835564053533</c:v>
                </c:pt>
                <c:pt idx="8">
                  <c:v>9.5602294455066925</c:v>
                </c:pt>
                <c:pt idx="9">
                  <c:v>9.5602294455066925</c:v>
                </c:pt>
                <c:pt idx="10">
                  <c:v>9.5602294455066925</c:v>
                </c:pt>
                <c:pt idx="11">
                  <c:v>9.5602294455066925</c:v>
                </c:pt>
                <c:pt idx="12">
                  <c:v>9.5602294455066925</c:v>
                </c:pt>
                <c:pt idx="13">
                  <c:v>9.5602294455066925</c:v>
                </c:pt>
                <c:pt idx="14">
                  <c:v>9.5602294455066925</c:v>
                </c:pt>
                <c:pt idx="15">
                  <c:v>11.47227533460803</c:v>
                </c:pt>
                <c:pt idx="16">
                  <c:v>15.296367112810707</c:v>
                </c:pt>
                <c:pt idx="17">
                  <c:v>15.296367112810707</c:v>
                </c:pt>
                <c:pt idx="18">
                  <c:v>22.94455066921606</c:v>
                </c:pt>
                <c:pt idx="19">
                  <c:v>38.24091778202677</c:v>
                </c:pt>
                <c:pt idx="20">
                  <c:v>53.537284894837477</c:v>
                </c:pt>
                <c:pt idx="21">
                  <c:v>74.56978967495219</c:v>
                </c:pt>
                <c:pt idx="22">
                  <c:v>99.426386233269596</c:v>
                </c:pt>
                <c:pt idx="23">
                  <c:v>195.02868068833652</c:v>
                </c:pt>
                <c:pt idx="24">
                  <c:v>195.02868068833652</c:v>
                </c:pt>
                <c:pt idx="25">
                  <c:v>296.36711281070745</c:v>
                </c:pt>
                <c:pt idx="26">
                  <c:v>391.96940726577435</c:v>
                </c:pt>
                <c:pt idx="27">
                  <c:v>541.10898661567876</c:v>
                </c:pt>
                <c:pt idx="28">
                  <c:v>703.63288718929255</c:v>
                </c:pt>
                <c:pt idx="29">
                  <c:v>862.33269598470361</c:v>
                </c:pt>
                <c:pt idx="30">
                  <c:v>982.79158699808795</c:v>
                </c:pt>
                <c:pt idx="31">
                  <c:v>1126.1950286806882</c:v>
                </c:pt>
                <c:pt idx="32">
                  <c:v>1237.093690248566</c:v>
                </c:pt>
                <c:pt idx="33">
                  <c:v>1353.7284894837476</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yVal>
          <c:smooth val="0"/>
        </c:ser>
        <c:ser>
          <c:idx val="2"/>
          <c:order val="5"/>
          <c:tx>
            <c:strRef>
              <c:f>myData!GenericSeries</c:f>
              <c:strCache>
                <c:ptCount val="1"/>
                <c:pt idx="0">
                  <c:v>New Zealand Limit 6.78 k</c:v>
                </c:pt>
              </c:strCache>
            </c:strRef>
          </c:tx>
          <c:spPr>
            <a:ln w="19050" cap="rnd">
              <a:solidFill>
                <a:schemeClr val="tx1">
                  <a:lumMod val="95000"/>
                  <a:lumOff val="5000"/>
                </a:schemeClr>
              </a:solidFill>
              <a:prstDash val="sysDot"/>
              <a:round/>
            </a:ln>
            <a:effectLst/>
          </c:spPr>
          <c:marker>
            <c:symbol val="none"/>
          </c:marker>
          <c:xVal>
            <c:numRef>
              <c:f>myData!GenericLogiDates</c:f>
              <c:numCache>
                <c:formatCode>m/d/yyyy</c:formatCode>
                <c:ptCount val="106"/>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numCache>
            </c:numRef>
          </c:xVal>
          <c:yVal>
            <c:numRef>
              <c:f>myData!GenericLogi</c:f>
              <c:numCache>
                <c:formatCode>0</c:formatCode>
                <c:ptCount val="1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2.287995729322549</c:v>
                </c:pt>
                <c:pt idx="36">
                  <c:v>2.7856477855958062</c:v>
                </c:pt>
                <c:pt idx="37">
                  <c:v>3.3914878494987035</c:v>
                </c:pt>
                <c:pt idx="38">
                  <c:v>4.1290095512052645</c:v>
                </c:pt>
                <c:pt idx="39">
                  <c:v>5.0267957086843591</c:v>
                </c:pt>
                <c:pt idx="40">
                  <c:v>6.1196146806651104</c:v>
                </c:pt>
                <c:pt idx="41">
                  <c:v>7.4497499792663469</c:v>
                </c:pt>
                <c:pt idx="42">
                  <c:v>9.0686113569167901</c:v>
                </c:pt>
                <c:pt idx="43">
                  <c:v>11.038684860350779</c:v>
                </c:pt>
                <c:pt idx="44">
                  <c:v>13.435890066749653</c:v>
                </c:pt>
                <c:pt idx="45">
                  <c:v>16.35242492886934</c:v>
                </c:pt>
                <c:pt idx="46">
                  <c:v>19.900192289449361</c:v>
                </c:pt>
                <c:pt idx="47">
                  <c:v>24.21491692066925</c:v>
                </c:pt>
                <c:pt idx="48">
                  <c:v>29.461077332577712</c:v>
                </c:pt>
                <c:pt idx="49">
                  <c:v>35.83779152338748</c:v>
                </c:pt>
                <c:pt idx="50">
                  <c:v>43.585808531273244</c:v>
                </c:pt>
                <c:pt idx="51">
                  <c:v>52.995765227866762</c:v>
                </c:pt>
                <c:pt idx="52">
                  <c:v>64.417865843889714</c:v>
                </c:pt>
                <c:pt idx="53">
                  <c:v>78.273123617819593</c:v>
                </c:pt>
                <c:pt idx="54">
                  <c:v>95.06626009037852</c:v>
                </c:pt>
                <c:pt idx="55">
                  <c:v>115.40027436322153</c:v>
                </c:pt>
                <c:pt idx="56">
                  <c:v>139.99255358805877</c:v>
                </c:pt>
                <c:pt idx="57">
                  <c:v>169.69217280496278</c:v>
                </c:pt>
                <c:pt idx="58">
                  <c:v>205.49769693380628</c:v>
                </c:pt>
                <c:pt idx="59">
                  <c:v>248.57431586853994</c:v>
                </c:pt>
                <c:pt idx="60">
                  <c:v>300.26848118594125</c:v>
                </c:pt>
                <c:pt idx="61">
                  <c:v>362.11734618649507</c:v>
                </c:pt>
                <c:pt idx="62">
                  <c:v>435.84924445567873</c:v>
                </c:pt>
                <c:pt idx="63">
                  <c:v>523.37023805727563</c:v>
                </c:pt>
                <c:pt idx="64">
                  <c:v>626.730585984463</c:v>
                </c:pt>
                <c:pt idx="65">
                  <c:v>748.0641361540421</c:v>
                </c:pt>
                <c:pt idx="66">
                  <c:v>889.49363043756955</c:v>
                </c:pt>
                <c:pt idx="67">
                  <c:v>1052.9964257838078</c:v>
                </c:pt>
                <c:pt idx="68">
                  <c:v>1240.2289715945669</c:v>
                </c:pt>
                <c:pt idx="69">
                  <c:v>1452.3151942273682</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numCache>
            </c:numRef>
          </c:yVal>
          <c:smooth val="0"/>
        </c:ser>
        <c:ser>
          <c:idx val="6"/>
          <c:order val="6"/>
          <c:tx>
            <c:strRef>
              <c:f>myData!NSWLogestLabel</c:f>
              <c:strCache>
                <c:ptCount val="1"/>
                <c:pt idx="0">
                  <c:v>NSW Exponential Growth: 
y = 0.8 x 1.113^ [day#], r^2=82.9% mse=441</c:v>
                </c:pt>
              </c:strCache>
            </c:strRef>
          </c:tx>
          <c:spPr>
            <a:ln w="19050" cap="rnd">
              <a:solidFill>
                <a:schemeClr val="accent6">
                  <a:lumMod val="75000"/>
                </a:schemeClr>
              </a:solidFill>
              <a:prstDash val="dashDot"/>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myData!NSWLogest</c:f>
              <c:numCache>
                <c:formatCode>0.00E+00</c:formatCode>
                <c:ptCount val="103"/>
                <c:pt idx="0">
                  <c:v>1.1049996184781083</c:v>
                </c:pt>
                <c:pt idx="1">
                  <c:v>1.2297970305958665</c:v>
                </c:pt>
                <c:pt idx="2">
                  <c:v>1.3686889218526674</c:v>
                </c:pt>
                <c:pt idx="3">
                  <c:v>1.5232671068449022</c:v>
                </c:pt>
                <c:pt idx="4">
                  <c:v>1.6953031779162835</c:v>
                </c:pt>
                <c:pt idx="5">
                  <c:v>1.8867688090541057</c:v>
                </c:pt>
                <c:pt idx="6">
                  <c:v>2.099858352884679</c:v>
                </c:pt>
                <c:pt idx="7">
                  <c:v>2.3370139897479674</c:v>
                </c:pt>
                <c:pt idx="8">
                  <c:v>2.6009537170803902</c:v>
                </c:pt>
                <c:pt idx="9">
                  <c:v>2.8947024998869866</c:v>
                </c:pt>
                <c:pt idx="10">
                  <c:v>3.2216269393128076</c:v>
                </c:pt>
                <c:pt idx="11">
                  <c:v>3.5854738566437194</c:v>
                </c:pt>
                <c:pt idx="12">
                  <c:v>3.9904132349407799</c:v>
                </c:pt>
                <c:pt idx="13">
                  <c:v>4.4410860104544376</c:v>
                </c:pt>
                <c:pt idx="14">
                  <c:v>4.942657261547204</c:v>
                </c:pt>
                <c:pt idx="15">
                  <c:v>5.500875404713339</c:v>
                </c:pt>
                <c:pt idx="16">
                  <c:v>6.1221380761303177</c:v>
                </c:pt>
                <c:pt idx="17">
                  <c:v>6.8135654537984953</c:v>
                </c:pt>
                <c:pt idx="18">
                  <c:v>7.5830818606006387</c:v>
                </c:pt>
                <c:pt idx="19">
                  <c:v>8.4395065835190604</c:v>
                </c:pt>
                <c:pt idx="20">
                  <c:v>9.3926549498728438</c:v>
                </c:pt>
                <c:pt idx="21">
                  <c:v>10.453450818991426</c:v>
                </c:pt>
                <c:pt idx="22">
                  <c:v>11.634051778571067</c:v>
                </c:pt>
                <c:pt idx="23">
                  <c:v>12.947988480566805</c:v>
                </c:pt>
                <c:pt idx="24">
                  <c:v>14.410319713523061</c:v>
                </c:pt>
                <c:pt idx="25">
                  <c:v>16.037804988598584</c:v>
                </c:pt>
                <c:pt idx="26">
                  <c:v>17.849096617262646</c:v>
                </c:pt>
                <c:pt idx="27">
                  <c:v>19.864953482029829</c:v>
                </c:pt>
                <c:pt idx="28">
                  <c:v>22.108478950220835</c:v>
                </c:pt>
                <c:pt idx="29">
                  <c:v>24.60538565743537</c:v>
                </c:pt>
                <c:pt idx="30">
                  <c:v>27.384290195372259</c:v>
                </c:pt>
                <c:pt idx="31">
                  <c:v>30.477041081359886</c:v>
                </c:pt>
                <c:pt idx="32">
                  <c:v>33.91908376839605</c:v>
                </c:pt>
                <c:pt idx="33">
                  <c:v>37.749866879010447</c:v>
                </c:pt>
                <c:pt idx="34">
                  <c:v>42.013294318722025</c:v>
                </c:pt>
                <c:pt idx="35">
                  <c:v>46.758228450680825</c:v>
                </c:pt>
                <c:pt idx="36">
                  <c:v>52.039050098287142</c:v>
                </c:pt>
                <c:pt idx="37">
                  <c:v>57.916281793875527</c:v>
                </c:pt>
                <c:pt idx="38">
                  <c:v>64.457281416403177</c:v>
                </c:pt>
                <c:pt idx="39">
                  <c:v>71.737014167797398</c:v>
                </c:pt>
                <c:pt idx="40">
                  <c:v>79.838911735442068</c:v>
                </c:pt>
                <c:pt idx="41">
                  <c:v>88.855828487507637</c:v>
                </c:pt>
                <c:pt idx="42">
                  <c:v>98.891105659904255</c:v>
                </c:pt>
                <c:pt idx="43">
                  <c:v>110.05975573131094</c:v>
                </c:pt>
                <c:pt idx="44">
                  <c:v>122.48978056018588</c:v>
                </c:pt>
                <c:pt idx="45">
                  <c:v>136.32363839068626</c:v>
                </c:pt>
                <c:pt idx="46">
                  <c:v>151.71987654058367</c:v>
                </c:pt>
                <c:pt idx="47">
                  <c:v>168.85494848311373</c:v>
                </c:pt>
                <c:pt idx="48">
                  <c:v>187.92523614800263</c:v>
                </c:pt>
                <c:pt idx="49">
                  <c:v>209.14930061889362</c:v>
                </c:pt>
                <c:pt idx="50">
                  <c:v>232.77038702200551</c:v>
                </c:pt>
                <c:pt idx="51">
                  <c:v>259.05921231409394</c:v>
                </c:pt>
                <c:pt idx="52">
                  <c:v>288.3170679200453</c:v>
                </c:pt>
                <c:pt idx="53">
                  <c:v>320.87927277886484</c:v>
                </c:pt>
                <c:pt idx="54">
                  <c:v>357.11901637278891</c:v>
                </c:pt>
                <c:pt idx="55">
                  <c:v>397.451635783776</c:v>
                </c:pt>
                <c:pt idx="56">
                  <c:v>442.33937579593947</c:v>
                </c:pt>
                <c:pt idx="57">
                  <c:v>492.29668659858697</c:v>
                </c:pt>
                <c:pt idx="58">
                  <c:v>547.8961198058737</c:v>
                </c:pt>
                <c:pt idx="59">
                  <c:v>609.77489036627185</c:v>
                </c:pt>
                <c:pt idx="60">
                  <c:v>678.64217956670541</c:v>
                </c:pt>
                <c:pt idx="61">
                  <c:v>755.28726282974333</c:v>
                </c:pt>
                <c:pt idx="62">
                  <c:v>840.58855545505355</c:v>
                </c:pt>
                <c:pt idx="63">
                  <c:v>935.52367997670399</c:v>
                </c:pt>
                <c:pt idx="64">
                  <c:v>1041.1806705164593</c:v>
                </c:pt>
                <c:pt idx="65">
                  <c:v>1158.7704425441145</c:v>
                </c:pt>
                <c:pt idx="66">
                  <c:v>1289.6406709585146</c:v>
                </c:pt>
                <c:pt idx="67">
                  <c:v>1435.2912355434114</c:v>
                </c:pt>
                <c:pt idx="68">
                  <c:v>1597.3914108157039</c:v>
                </c:pt>
                <c:pt idx="69">
                  <c:v>1777.7989972757753</c:v>
                </c:pt>
                <c:pt idx="70">
                  <c:v>3759.9480199962686</c:v>
                </c:pt>
                <c:pt idx="71">
                  <c:v>7952.0852102724357</c:v>
                </c:pt>
                <c:pt idx="72">
                  <c:v>16818.226968865481</c:v>
                </c:pt>
                <c:pt idx="73">
                  <c:v>35569.633737184733</c:v>
                </c:pt>
                <c:pt idx="74">
                  <c:v>75227.837425410718</c:v>
                </c:pt>
                <c:pt idx="75">
                  <c:v>159102.77754105267</c:v>
                </c:pt>
                <c:pt idx="76">
                  <c:v>336493.70615467342</c:v>
                </c:pt>
                <c:pt idx="77">
                  <c:v>711665.85544046783</c:v>
                </c:pt>
                <c:pt idx="78">
                  <c:v>1505134.5107982748</c:v>
                </c:pt>
                <c:pt idx="79">
                  <c:v>3183277.4865864976</c:v>
                </c:pt>
                <c:pt idx="80">
                  <c:v>6732458.4506630553</c:v>
                </c:pt>
                <c:pt idx="81">
                  <c:v>14238782.820817957</c:v>
                </c:pt>
                <c:pt idx="82">
                  <c:v>30114249.89907708</c:v>
                </c:pt>
                <c:pt idx="83">
                  <c:v>63689997.831708506</c:v>
                </c:pt>
                <c:pt idx="84">
                  <c:v>134700875.41271791</c:v>
                </c:pt>
                <c:pt idx="85">
                  <c:v>284885012.63410747</c:v>
                </c:pt>
                <c:pt idx="86">
                  <c:v>602516280.42406034</c:v>
                </c:pt>
                <c:pt idx="87">
                  <c:v>1274289106.3992114</c:v>
                </c:pt>
                <c:pt idx="88">
                  <c:v>2695052033.3572335</c:v>
                </c:pt>
                <c:pt idx="89">
                  <c:v>5699888216.9110374</c:v>
                </c:pt>
                <c:pt idx="90">
                  <c:v>12054953033.619162</c:v>
                </c:pt>
                <c:pt idx="91">
                  <c:v>25495568880.036514</c:v>
                </c:pt>
                <c:pt idx="92">
                  <c:v>53921739114.526848</c:v>
                </c:pt>
                <c:pt idx="93">
                  <c:v>114041540426.72726</c:v>
                </c:pt>
                <c:pt idx="94">
                  <c:v>241191644714.53629</c:v>
                </c:pt>
                <c:pt idx="95">
                  <c:v>510107187805.65784</c:v>
                </c:pt>
                <c:pt idx="96">
                  <c:v>1078848910205.6952</c:v>
                </c:pt>
                <c:pt idx="97">
                  <c:v>2281706666512.3096</c:v>
                </c:pt>
                <c:pt idx="98">
                  <c:v>4825685286194.6123</c:v>
                </c:pt>
                <c:pt idx="99">
                  <c:v>10206061464066.613</c:v>
                </c:pt>
                <c:pt idx="100">
                  <c:v>21585263942988.262</c:v>
                </c:pt>
                <c:pt idx="101">
                  <c:v>45651657216536.258</c:v>
                </c:pt>
                <c:pt idx="102">
                  <c:v>96550767788647.562</c:v>
                </c:pt>
              </c:numCache>
            </c:numRef>
          </c:yVal>
          <c:smooth val="0"/>
        </c:ser>
        <c:dLbls>
          <c:showLegendKey val="0"/>
          <c:showVal val="0"/>
          <c:showCatName val="0"/>
          <c:showSerName val="0"/>
          <c:showPercent val="0"/>
          <c:showBubbleSize val="0"/>
        </c:dLbls>
        <c:axId val="751215312"/>
        <c:axId val="751220800"/>
      </c:scatterChart>
      <c:valAx>
        <c:axId val="751215312"/>
        <c:scaling>
          <c:orientation val="minMax"/>
          <c:max val="43954"/>
          <c:min val="4384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0800"/>
        <c:crossesAt val="0.1"/>
        <c:crossBetween val="midCat"/>
        <c:majorUnit val="14"/>
        <c:minorUnit val="7"/>
      </c:valAx>
      <c:valAx>
        <c:axId val="751220800"/>
        <c:scaling>
          <c:logBase val="10"/>
          <c:orientation val="minMax"/>
          <c:max val="1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Australian Cases per 10M pop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5312"/>
        <c:crosses val="autoZero"/>
        <c:crossBetween val="midCat"/>
      </c:valAx>
      <c:spPr>
        <a:noFill/>
        <a:ln>
          <a:noFill/>
        </a:ln>
        <a:effectLst/>
      </c:spPr>
    </c:plotArea>
    <c:legend>
      <c:legendPos val="b"/>
      <c:layout>
        <c:manualLayout>
          <c:xMode val="edge"/>
          <c:yMode val="edge"/>
          <c:x val="0.55931483894911649"/>
          <c:y val="0.62915367623245999"/>
          <c:w val="0.31433134035140914"/>
          <c:h val="0.3495405615734497"/>
        </c:manualLayout>
      </c:layout>
      <c:overlay val="1"/>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r2=998.6E-3, Limit=3.71 k=&gt;3.00 k cases 
 (Fit: Sat 25-Jan - Thu 02-Apr), Cases per 10 M population</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7791892379594115"/>
          <c:w val="0.43460159270882204"/>
          <c:h val="0.68992130218377157"/>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0"/>
          <c:order val="1"/>
          <c:tx>
            <c:strRef>
              <c:f>myData!$DS$12</c:f>
              <c:strCache>
                <c:ptCount val="1"/>
                <c:pt idx="0">
                  <c:v>NSW Limit 3.71 k</c:v>
                </c:pt>
              </c:strCache>
            </c:strRef>
          </c:tx>
          <c:spPr>
            <a:ln w="15875" cap="rnd">
              <a:solidFill>
                <a:schemeClr val="accent1"/>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myData!$EO$11:$EO$12</c:f>
              <c:numCache>
                <c:formatCode>m/d/yyyy</c:formatCode>
                <c:ptCount val="2"/>
                <c:pt idx="0">
                  <c:v>43852</c:v>
                </c:pt>
                <c:pt idx="1">
                  <c:v>44004</c:v>
                </c:pt>
              </c:numCache>
            </c:numRef>
          </c:xVal>
          <c:yVal>
            <c:numRef>
              <c:f>myData!$EP$11:$EP$12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751216880"/>
        <c:axId val="751209040"/>
      </c:scatterChart>
      <c:valAx>
        <c:axId val="751216880"/>
        <c:scaling>
          <c:orientation val="minMax"/>
          <c:max val="43928"/>
          <c:min val="438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09040"/>
        <c:crosses val="autoZero"/>
        <c:crossBetween val="midCat"/>
        <c:majorUnit val="7"/>
        <c:minorUnit val="1"/>
      </c:valAx>
      <c:valAx>
        <c:axId val="751209040"/>
        <c:scaling>
          <c:orientation val="minMax"/>
          <c:max val="5000"/>
          <c:min val="5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6880"/>
        <c:crosses val="autoZero"/>
        <c:crossBetween val="midCat"/>
      </c:valAx>
      <c:spPr>
        <a:noFill/>
        <a:ln>
          <a:noFill/>
        </a:ln>
        <a:effectLst/>
      </c:spPr>
    </c:plotArea>
    <c:legend>
      <c:legendPos val="b"/>
      <c:layout>
        <c:manualLayout>
          <c:xMode val="edge"/>
          <c:yMode val="edge"/>
          <c:x val="0.13319150444607245"/>
          <c:y val="0.4126377925574759"/>
          <c:w val="0.20090832474950837"/>
          <c:h val="9.15748339220686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72749036368363496"/>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exp"/>
            <c:forward val="14"/>
            <c:dispRSqr val="0"/>
            <c:dispEq val="0"/>
          </c:trendline>
          <c:trendline>
            <c:spPr>
              <a:ln w="19050" cap="rnd">
                <a:solidFill>
                  <a:schemeClr val="accent2"/>
                </a:solidFill>
                <a:prstDash val="sysDot"/>
              </a:ln>
              <a:effectLst/>
            </c:spPr>
            <c:trendlineType val="exp"/>
            <c:dispRSqr val="0"/>
            <c:dispEq val="0"/>
          </c:trendline>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strRef>
              <c:f>myData!ItalySeries</c:f>
              <c:strCache>
                <c:ptCount val="1"/>
                <c:pt idx="0">
                  <c:v>Italy Limit 16.1 k</c:v>
                </c:pt>
              </c:strCache>
            </c:strRef>
          </c:tx>
          <c:spPr>
            <a:ln w="19050" cap="rnd">
              <a:solidFill>
                <a:schemeClr val="accent1"/>
              </a:solidFill>
              <a:prstDash val="sysDash"/>
              <a:round/>
            </a:ln>
            <a:effectLst/>
          </c:spPr>
          <c:marker>
            <c:symbol val="square"/>
            <c:size val="4"/>
            <c:spPr>
              <a:solidFill>
                <a:schemeClr val="accent1"/>
              </a:solidFill>
              <a:ln w="9525">
                <a:solidFill>
                  <a:schemeClr val="accent1"/>
                </a:solidFill>
              </a:ln>
              <a:effectLst/>
            </c:spPr>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51210216"/>
        <c:axId val="751210608"/>
      </c:scatterChart>
      <c:valAx>
        <c:axId val="751210216"/>
        <c:scaling>
          <c:orientation val="minMax"/>
          <c:max val="43951"/>
          <c:min val="4388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0608"/>
        <c:crossesAt val="0.1"/>
        <c:crossBetween val="midCat"/>
        <c:majorUnit val="14"/>
        <c:minorUnit val="7"/>
      </c:valAx>
      <c:valAx>
        <c:axId val="751210608"/>
        <c:scaling>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0216"/>
        <c:crosses val="autoZero"/>
        <c:crossBetween val="midCat"/>
      </c:valAx>
      <c:spPr>
        <a:noFill/>
        <a:ln>
          <a:noFill/>
        </a:ln>
        <a:effectLst/>
      </c:spPr>
    </c:plotArea>
    <c:legend>
      <c:legendPos val="b"/>
      <c:layout>
        <c:manualLayout>
          <c:xMode val="edge"/>
          <c:yMode val="edge"/>
          <c:x val="0.31275133186791321"/>
          <c:y val="0.63370188801795979"/>
          <c:w val="0.19456695891080134"/>
          <c:h val="8.9885519216343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myData!$DU$19</c:f>
          <c:strCache>
            <c:ptCount val="1"/>
            <c:pt idx="0">
              <c:v>COVID19  NSW TestsP(t) = b / {d+[( b/Po - d ) ]* exp(-b*t)}
b=0.176, d=1.38E-06, P0=.001, r2=997.6E-3, Limit=157 k=&gt;108 k cases 
 (Fit: Fri 06-Mar - Thu 02-Apr)</c:v>
            </c:pt>
          </c:strCache>
        </c:strRef>
      </c:tx>
      <c:layout>
        <c:manualLayout>
          <c:xMode val="edge"/>
          <c:yMode val="edge"/>
          <c:x val="0.2354672452946992"/>
          <c:y val="9.82197667280540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472478846281398"/>
          <c:y val="0.1656882392463373"/>
          <c:w val="0.8272091620316413"/>
          <c:h val="0.67598427743716105"/>
        </c:manualLayout>
      </c:layout>
      <c:scatterChart>
        <c:scatterStyle val="lineMarker"/>
        <c:varyColors val="0"/>
        <c:ser>
          <c:idx val="0"/>
          <c:order val="0"/>
          <c:tx>
            <c:v>NSW Tests</c:v>
          </c:tx>
          <c:spPr>
            <a:ln w="31750" cap="rnd">
              <a:solidFill>
                <a:schemeClr val="accent1"/>
              </a:solidFill>
              <a:round/>
            </a:ln>
            <a:effectLst/>
          </c:spPr>
          <c:marker>
            <c:symbol val="circle"/>
            <c:size val="5"/>
            <c:spPr>
              <a:solidFill>
                <a:schemeClr val="accent1"/>
              </a:solidFill>
              <a:ln w="9525">
                <a:solidFill>
                  <a:schemeClr val="accent1"/>
                </a:solidFill>
              </a:ln>
              <a:effectLst/>
            </c:spPr>
          </c:marker>
          <c:xVal>
            <c:numRef>
              <c:f>myData!TestsDates</c:f>
              <c:numCache>
                <c:formatCode>m/d/yyyy</c:formatCode>
                <c:ptCount val="28"/>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numCache>
            </c:numRef>
          </c:xVal>
          <c:yVal>
            <c:numRef>
              <c:f>myData!TestsCases</c:f>
              <c:numCache>
                <c:formatCode>General</c:formatCode>
                <c:ptCount val="28"/>
                <c:pt idx="0">
                  <c:v>6217</c:v>
                </c:pt>
                <c:pt idx="1">
                  <c:v>6690</c:v>
                </c:pt>
                <c:pt idx="2">
                  <c:v>7361</c:v>
                </c:pt>
                <c:pt idx="3">
                  <c:v>7848</c:v>
                </c:pt>
                <c:pt idx="4">
                  <c:v>8361</c:v>
                </c:pt>
                <c:pt idx="5">
                  <c:v>9152</c:v>
                </c:pt>
                <c:pt idx="6">
                  <c:v>11040</c:v>
                </c:pt>
                <c:pt idx="7">
                  <c:v>18716</c:v>
                </c:pt>
                <c:pt idx="8">
                  <c:v>18716</c:v>
                </c:pt>
                <c:pt idx="9">
                  <c:v>20511</c:v>
                </c:pt>
                <c:pt idx="10">
                  <c:v>25511</c:v>
                </c:pt>
                <c:pt idx="11">
                  <c:v>28552</c:v>
                </c:pt>
                <c:pt idx="12">
                  <c:v>33387</c:v>
                </c:pt>
                <c:pt idx="13">
                  <c:v>38782</c:v>
                </c:pt>
                <c:pt idx="14">
                  <c:v>40298</c:v>
                </c:pt>
                <c:pt idx="15">
                  <c:v>46456</c:v>
                </c:pt>
                <c:pt idx="16">
                  <c:v>52130</c:v>
                </c:pt>
                <c:pt idx="17">
                  <c:v>56272</c:v>
                </c:pt>
                <c:pt idx="18">
                  <c:v>61030</c:v>
                </c:pt>
                <c:pt idx="19">
                  <c:v>67148</c:v>
                </c:pt>
                <c:pt idx="20" formatCode="0">
                  <c:v>72787</c:v>
                </c:pt>
                <c:pt idx="21" formatCode="0">
                  <c:v>76284</c:v>
                </c:pt>
                <c:pt idx="22" formatCode="#,##0">
                  <c:v>84907</c:v>
                </c:pt>
                <c:pt idx="23" formatCode="#,##0">
                  <c:v>91308</c:v>
                </c:pt>
                <c:pt idx="24" formatCode="0">
                  <c:v>94534</c:v>
                </c:pt>
                <c:pt idx="25" formatCode="0">
                  <c:v>97919</c:v>
                </c:pt>
                <c:pt idx="26" formatCode="0">
                  <c:v>103361</c:v>
                </c:pt>
                <c:pt idx="27" formatCode="#,##0">
                  <c:v>108239</c:v>
                </c:pt>
              </c:numCache>
            </c:numRef>
          </c:yVal>
          <c:smooth val="0"/>
        </c:ser>
        <c:ser>
          <c:idx val="2"/>
          <c:order val="1"/>
          <c:tx>
            <c:strRef>
              <c:f>myData!$CD$7</c:f>
              <c:strCache>
                <c:ptCount val="1"/>
                <c:pt idx="0">
                  <c:v>Test Logistic Growth Limit 127.23E+3 mse = 1594</c:v>
                </c:pt>
              </c:strCache>
            </c:strRef>
          </c:tx>
          <c:spPr>
            <a:ln w="15875" cap="rnd">
              <a:solidFill>
                <a:srgbClr val="FF0000"/>
              </a:solidFill>
              <a:prstDash val="sysDot"/>
              <a:round/>
            </a:ln>
            <a:effectLst/>
          </c:spPr>
          <c:marker>
            <c:symbol val="none"/>
          </c:marker>
          <c:xVal>
            <c:numRef>
              <c:f>myData!TestsLogiDates</c:f>
              <c:numCache>
                <c:formatCode>m/d/yyyy</c:formatCode>
                <c:ptCount val="63"/>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43932</c:v>
                </c:pt>
                <c:pt idx="31">
                  <c:v>43939</c:v>
                </c:pt>
                <c:pt idx="32">
                  <c:v>43946</c:v>
                </c:pt>
                <c:pt idx="33">
                  <c:v>43953</c:v>
                </c:pt>
                <c:pt idx="34">
                  <c:v>43960</c:v>
                </c:pt>
                <c:pt idx="35">
                  <c:v>43967</c:v>
                </c:pt>
                <c:pt idx="36">
                  <c:v>43974</c:v>
                </c:pt>
                <c:pt idx="37">
                  <c:v>43981</c:v>
                </c:pt>
                <c:pt idx="38">
                  <c:v>43988</c:v>
                </c:pt>
                <c:pt idx="39">
                  <c:v>43995</c:v>
                </c:pt>
                <c:pt idx="40">
                  <c:v>44002</c:v>
                </c:pt>
                <c:pt idx="41">
                  <c:v>44009</c:v>
                </c:pt>
                <c:pt idx="42">
                  <c:v>44016</c:v>
                </c:pt>
                <c:pt idx="43">
                  <c:v>44023</c:v>
                </c:pt>
                <c:pt idx="44">
                  <c:v>44030</c:v>
                </c:pt>
                <c:pt idx="45">
                  <c:v>44037</c:v>
                </c:pt>
                <c:pt idx="46">
                  <c:v>44044</c:v>
                </c:pt>
                <c:pt idx="47">
                  <c:v>44051</c:v>
                </c:pt>
                <c:pt idx="48">
                  <c:v>44058</c:v>
                </c:pt>
                <c:pt idx="49">
                  <c:v>44065</c:v>
                </c:pt>
                <c:pt idx="50">
                  <c:v>44072</c:v>
                </c:pt>
                <c:pt idx="51">
                  <c:v>44079</c:v>
                </c:pt>
                <c:pt idx="52">
                  <c:v>44086</c:v>
                </c:pt>
                <c:pt idx="53">
                  <c:v>44093</c:v>
                </c:pt>
                <c:pt idx="54">
                  <c:v>44100</c:v>
                </c:pt>
                <c:pt idx="55">
                  <c:v>44107</c:v>
                </c:pt>
                <c:pt idx="56">
                  <c:v>44114</c:v>
                </c:pt>
                <c:pt idx="57">
                  <c:v>44121</c:v>
                </c:pt>
                <c:pt idx="58">
                  <c:v>44128</c:v>
                </c:pt>
                <c:pt idx="59">
                  <c:v>44135</c:v>
                </c:pt>
                <c:pt idx="60">
                  <c:v>44142</c:v>
                </c:pt>
                <c:pt idx="61">
                  <c:v>44149</c:v>
                </c:pt>
                <c:pt idx="62">
                  <c:v>44156</c:v>
                </c:pt>
              </c:numCache>
            </c:numRef>
          </c:xVal>
          <c:yVal>
            <c:numRef>
              <c:f>myData!TestsLogi</c:f>
              <c:numCache>
                <c:formatCode>0</c:formatCode>
                <c:ptCount val="63"/>
                <c:pt idx="0">
                  <c:v>5088.9634295604292</c:v>
                </c:pt>
                <c:pt idx="1">
                  <c:v>6022.6995341718393</c:v>
                </c:pt>
                <c:pt idx="2">
                  <c:v>7117.7761990447352</c:v>
                </c:pt>
                <c:pt idx="3">
                  <c:v>8398.169305119256</c:v>
                </c:pt>
                <c:pt idx="4">
                  <c:v>9889.9236503597931</c:v>
                </c:pt>
                <c:pt idx="5">
                  <c:v>11620.744006036553</c:v>
                </c:pt>
                <c:pt idx="6">
                  <c:v>13619.315615358622</c:v>
                </c:pt>
                <c:pt idx="7">
                  <c:v>15914.293574641584</c:v>
                </c:pt>
                <c:pt idx="8">
                  <c:v>18532.912371391791</c:v>
                </c:pt>
                <c:pt idx="9">
                  <c:v>21499.19468408628</c:v>
                </c:pt>
                <c:pt idx="10">
                  <c:v>24831.786731402237</c:v>
                </c:pt>
                <c:pt idx="11">
                  <c:v>28541.517531306163</c:v>
                </c:pt>
                <c:pt idx="12">
                  <c:v>32628.86724078772</c:v>
                </c:pt>
                <c:pt idx="13">
                  <c:v>37081.622660506429</c:v>
                </c:pt>
                <c:pt idx="14">
                  <c:v>41873.073761087246</c:v>
                </c:pt>
                <c:pt idx="15">
                  <c:v>46961.134463539689</c:v>
                </c:pt>
                <c:pt idx="16">
                  <c:v>52288.725400089621</c:v>
                </c:pt>
                <c:pt idx="17">
                  <c:v>57785.620465959888</c:v>
                </c:pt>
                <c:pt idx="18">
                  <c:v>63371.74242789072</c:v>
                </c:pt>
                <c:pt idx="19">
                  <c:v>68961.636325866843</c:v>
                </c:pt>
                <c:pt idx="20">
                  <c:v>74469.617038400742</c:v>
                </c:pt>
                <c:pt idx="21">
                  <c:v>79814.946177751743</c:v>
                </c:pt>
                <c:pt idx="22">
                  <c:v>84926.38721304544</c:v>
                </c:pt>
                <c:pt idx="23">
                  <c:v>89745.618376159706</c:v>
                </c:pt>
                <c:pt idx="24">
                  <c:v>94229.209827094339</c:v>
                </c:pt>
                <c:pt idx="25">
                  <c:v>98349.128746195289</c:v>
                </c:pt>
                <c:pt idx="26">
                  <c:v>102091.95810550796</c:v>
                </c:pt>
                <c:pt idx="27">
                  <c:v>105457.15864998098</c:v>
                </c:pt>
                <c:pt idx="28">
                  <c:v>108454.75668483032</c:v>
                </c:pt>
                <c:pt idx="29">
                  <c:v>111102.81638345557</c:v>
                </c:pt>
                <c:pt idx="30">
                  <c:v>122067.75844365914</c:v>
                </c:pt>
                <c:pt idx="31">
                  <c:v>125682.64097936923</c:v>
                </c:pt>
                <c:pt idx="32">
                  <c:v>126776.77504168119</c:v>
                </c:pt>
                <c:pt idx="33">
                  <c:v>127099.23500170332</c:v>
                </c:pt>
                <c:pt idx="34">
                  <c:v>127193.51915338887</c:v>
                </c:pt>
                <c:pt idx="35">
                  <c:v>127221.02292564146</c:v>
                </c:pt>
                <c:pt idx="36">
                  <c:v>127229.04065054009</c:v>
                </c:pt>
                <c:pt idx="37">
                  <c:v>127231.37746437559</c:v>
                </c:pt>
                <c:pt idx="38">
                  <c:v>127232.0585034579</c:v>
                </c:pt>
                <c:pt idx="39">
                  <c:v>127232.25698158628</c:v>
                </c:pt>
                <c:pt idx="40">
                  <c:v>127232.3148246316</c:v>
                </c:pt>
                <c:pt idx="41">
                  <c:v>127232.3316819707</c:v>
                </c:pt>
                <c:pt idx="42">
                  <c:v>127232.3365947439</c:v>
                </c:pt>
                <c:pt idx="43">
                  <c:v>127232.33802648455</c:v>
                </c:pt>
                <c:pt idx="44">
                  <c:v>127232.33844373997</c:v>
                </c:pt>
                <c:pt idx="45">
                  <c:v>127232.33856534165</c:v>
                </c:pt>
                <c:pt idx="46">
                  <c:v>127232.33860078031</c:v>
                </c:pt>
                <c:pt idx="47">
                  <c:v>127232.33861110828</c:v>
                </c:pt>
                <c:pt idx="48">
                  <c:v>127232.33861411818</c:v>
                </c:pt>
                <c:pt idx="49">
                  <c:v>127232.33861499536</c:v>
                </c:pt>
                <c:pt idx="50">
                  <c:v>127232.33861525099</c:v>
                </c:pt>
                <c:pt idx="51">
                  <c:v>127232.33861532551</c:v>
                </c:pt>
                <c:pt idx="52">
                  <c:v>127232.33861534721</c:v>
                </c:pt>
                <c:pt idx="53">
                  <c:v>127232.33861535354</c:v>
                </c:pt>
                <c:pt idx="54">
                  <c:v>127232.33861535539</c:v>
                </c:pt>
                <c:pt idx="55">
                  <c:v>127232.33861535593</c:v>
                </c:pt>
                <c:pt idx="56">
                  <c:v>127232.33861535609</c:v>
                </c:pt>
                <c:pt idx="57">
                  <c:v>127232.33861535613</c:v>
                </c:pt>
                <c:pt idx="58">
                  <c:v>127232.33861535614</c:v>
                </c:pt>
                <c:pt idx="59">
                  <c:v>127232.33861535614</c:v>
                </c:pt>
                <c:pt idx="60">
                  <c:v>127232.33861535614</c:v>
                </c:pt>
                <c:pt idx="61">
                  <c:v>127232.33861535614</c:v>
                </c:pt>
                <c:pt idx="62">
                  <c:v>127232.33861535614</c:v>
                </c:pt>
              </c:numCache>
            </c:numRef>
          </c:yVal>
          <c:smooth val="0"/>
        </c:ser>
        <c:ser>
          <c:idx val="1"/>
          <c:order val="2"/>
          <c:tx>
            <c:strRef>
              <c:f>myData!TestsLogestLabel</c:f>
              <c:strCache>
                <c:ptCount val="1"/>
                <c:pt idx="0">
                  <c:v>Exponential Growth: 
y = 6023.9 x 1.122^ [day number], r^2=96.4% mse=56355</c:v>
                </c:pt>
              </c:strCache>
            </c:strRef>
          </c:tx>
          <c:spPr>
            <a:ln w="22225" cap="rnd">
              <a:solidFill>
                <a:schemeClr val="accent6">
                  <a:lumMod val="75000"/>
                </a:schemeClr>
              </a:solidFill>
              <a:prstDash val="sysDot"/>
              <a:round/>
            </a:ln>
            <a:effectLst/>
          </c:spPr>
          <c:marker>
            <c:symbol val="none"/>
          </c:marker>
          <c:xVal>
            <c:numRef>
              <c:f>myData!TestsLogiDates</c:f>
              <c:numCache>
                <c:formatCode>m/d/yyyy</c:formatCode>
                <c:ptCount val="63"/>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43932</c:v>
                </c:pt>
                <c:pt idx="31">
                  <c:v>43939</c:v>
                </c:pt>
                <c:pt idx="32">
                  <c:v>43946</c:v>
                </c:pt>
                <c:pt idx="33">
                  <c:v>43953</c:v>
                </c:pt>
                <c:pt idx="34">
                  <c:v>43960</c:v>
                </c:pt>
                <c:pt idx="35">
                  <c:v>43967</c:v>
                </c:pt>
                <c:pt idx="36">
                  <c:v>43974</c:v>
                </c:pt>
                <c:pt idx="37">
                  <c:v>43981</c:v>
                </c:pt>
                <c:pt idx="38">
                  <c:v>43988</c:v>
                </c:pt>
                <c:pt idx="39">
                  <c:v>43995</c:v>
                </c:pt>
                <c:pt idx="40">
                  <c:v>44002</c:v>
                </c:pt>
                <c:pt idx="41">
                  <c:v>44009</c:v>
                </c:pt>
                <c:pt idx="42">
                  <c:v>44016</c:v>
                </c:pt>
                <c:pt idx="43">
                  <c:v>44023</c:v>
                </c:pt>
                <c:pt idx="44">
                  <c:v>44030</c:v>
                </c:pt>
                <c:pt idx="45">
                  <c:v>44037</c:v>
                </c:pt>
                <c:pt idx="46">
                  <c:v>44044</c:v>
                </c:pt>
                <c:pt idx="47">
                  <c:v>44051</c:v>
                </c:pt>
                <c:pt idx="48">
                  <c:v>44058</c:v>
                </c:pt>
                <c:pt idx="49">
                  <c:v>44065</c:v>
                </c:pt>
                <c:pt idx="50">
                  <c:v>44072</c:v>
                </c:pt>
                <c:pt idx="51">
                  <c:v>44079</c:v>
                </c:pt>
                <c:pt idx="52">
                  <c:v>44086</c:v>
                </c:pt>
                <c:pt idx="53">
                  <c:v>44093</c:v>
                </c:pt>
                <c:pt idx="54">
                  <c:v>44100</c:v>
                </c:pt>
                <c:pt idx="55">
                  <c:v>44107</c:v>
                </c:pt>
                <c:pt idx="56">
                  <c:v>44114</c:v>
                </c:pt>
                <c:pt idx="57">
                  <c:v>44121</c:v>
                </c:pt>
                <c:pt idx="58">
                  <c:v>44128</c:v>
                </c:pt>
                <c:pt idx="59">
                  <c:v>44135</c:v>
                </c:pt>
                <c:pt idx="60">
                  <c:v>44142</c:v>
                </c:pt>
                <c:pt idx="61">
                  <c:v>44149</c:v>
                </c:pt>
                <c:pt idx="62">
                  <c:v>44156</c:v>
                </c:pt>
              </c:numCache>
            </c:numRef>
          </c:xVal>
          <c:yVal>
            <c:numRef>
              <c:f>myData!TestsLOGEST</c:f>
              <c:numCache>
                <c:formatCode>##0.0E+00</c:formatCode>
                <c:ptCount val="63"/>
                <c:pt idx="0">
                  <c:v>6759.0222605434228</c:v>
                </c:pt>
                <c:pt idx="1">
                  <c:v>7583.8908730084522</c:v>
                </c:pt>
                <c:pt idx="2">
                  <c:v>8509.4261502072168</c:v>
                </c:pt>
                <c:pt idx="3">
                  <c:v>9547.9134152026618</c:v>
                </c:pt>
                <c:pt idx="4">
                  <c:v>10713.137287405332</c:v>
                </c:pt>
                <c:pt idx="5">
                  <c:v>12020.56465615303</c:v>
                </c:pt>
                <c:pt idx="6">
                  <c:v>13487.549984319405</c:v>
                </c:pt>
                <c:pt idx="7">
                  <c:v>15133.565667100094</c:v>
                </c:pt>
                <c:pt idx="8">
                  <c:v>16980.460503701153</c:v>
                </c:pt>
                <c:pt idx="9">
                  <c:v>19052.749712818077</c:v>
                </c:pt>
                <c:pt idx="10">
                  <c:v>21377.940341498172</c:v>
                </c:pt>
                <c:pt idx="11">
                  <c:v>23986.89638678186</c:v>
                </c:pt>
                <c:pt idx="12">
                  <c:v>26914.248476655932</c:v>
                </c:pt>
                <c:pt idx="13">
                  <c:v>30198.853548321033</c:v>
                </c:pt>
                <c:pt idx="14">
                  <c:v>33884.31062542725</c:v>
                </c:pt>
                <c:pt idx="15">
                  <c:v>38019.539540575548</c:v>
                </c:pt>
                <c:pt idx="16">
                  <c:v>42659.430284902293</c:v>
                </c:pt>
                <c:pt idx="17">
                  <c:v>47865.571604050259</c:v>
                </c:pt>
                <c:pt idx="18">
                  <c:v>53707.068511726386</c:v>
                </c:pt>
                <c:pt idx="19">
                  <c:v>60261.459572315987</c:v>
                </c:pt>
                <c:pt idx="20">
                  <c:v>67615.746128332932</c:v>
                </c:pt>
                <c:pt idx="21">
                  <c:v>75867.547134412394</c:v>
                </c:pt>
                <c:pt idx="22">
                  <c:v>85126.39492682321</c:v>
                </c:pt>
                <c:pt idx="23">
                  <c:v>95515.189128219004</c:v>
                </c:pt>
                <c:pt idx="24">
                  <c:v>107171.82798639528</c:v>
                </c:pt>
                <c:pt idx="25">
                  <c:v>120251.0388010333</c:v>
                </c:pt>
                <c:pt idx="26">
                  <c:v>134926.43173505683</c:v>
                </c:pt>
                <c:pt idx="27">
                  <c:v>151392.80427237786</c:v>
                </c:pt>
                <c:pt idx="28">
                  <c:v>169868.72691082559</c:v>
                </c:pt>
                <c:pt idx="29">
                  <c:v>190599.44441209745</c:v>
                </c:pt>
                <c:pt idx="30">
                  <c:v>426755.3940399898</c:v>
                </c:pt>
                <c:pt idx="31">
                  <c:v>955512.57719546487</c:v>
                </c:pt>
                <c:pt idx="32">
                  <c:v>2139408.8930793097</c:v>
                </c:pt>
                <c:pt idx="33">
                  <c:v>4790172.8569822125</c:v>
                </c:pt>
                <c:pt idx="34">
                  <c:v>10725278.40470116</c:v>
                </c:pt>
                <c:pt idx="35">
                  <c:v>24014080.554666758</c:v>
                </c:pt>
                <c:pt idx="36">
                  <c:v>53767934.325439274</c:v>
                </c:pt>
                <c:pt idx="37">
                  <c:v>120387318.39195621</c:v>
                </c:pt>
                <c:pt idx="38">
                  <c:v>269549251.08121735</c:v>
                </c:pt>
                <c:pt idx="39">
                  <c:v>603525352.41203427</c:v>
                </c:pt>
                <c:pt idx="40">
                  <c:v>1351303517.049361</c:v>
                </c:pt>
                <c:pt idx="41">
                  <c:v>3025591531.3120513</c:v>
                </c:pt>
                <c:pt idx="42">
                  <c:v>6774350838.911355</c:v>
                </c:pt>
                <c:pt idx="43">
                  <c:v>15167886614.475664</c:v>
                </c:pt>
                <c:pt idx="44">
                  <c:v>33961155809.663036</c:v>
                </c:pt>
                <c:pt idx="45">
                  <c:v>76039604807.40181</c:v>
                </c:pt>
                <c:pt idx="46">
                  <c:v>170253966963.65302</c:v>
                </c:pt>
                <c:pt idx="47">
                  <c:v>381201524393.49701</c:v>
                </c:pt>
                <c:pt idx="48">
                  <c:v>853516689164.42163</c:v>
                </c:pt>
                <c:pt idx="49">
                  <c:v>1911038367019.2463</c:v>
                </c:pt>
                <c:pt idx="50">
                  <c:v>4278847369457.8818</c:v>
                </c:pt>
                <c:pt idx="51">
                  <c:v>9580411951474.0527</c:v>
                </c:pt>
                <c:pt idx="52">
                  <c:v>21450705116311.652</c:v>
                </c:pt>
                <c:pt idx="53">
                  <c:v>48028493171023.023</c:v>
                </c:pt>
                <c:pt idx="54">
                  <c:v>107536612142642.58</c:v>
                </c:pt>
                <c:pt idx="55">
                  <c:v>240776301474602.91</c:v>
                </c:pt>
                <c:pt idx="56">
                  <c:v>539102229433171.31</c:v>
                </c:pt>
                <c:pt idx="57">
                  <c:v>1207059050246569</c:v>
                </c:pt>
                <c:pt idx="58">
                  <c:v>2702625719641476</c:v>
                </c:pt>
                <c:pt idx="59">
                  <c:v>6051224899871769</c:v>
                </c:pt>
                <c:pt idx="60">
                  <c:v>1.3548795352130988E+16</c:v>
                </c:pt>
                <c:pt idx="61">
                  <c:v>3.0335982967318948E+16</c:v>
                </c:pt>
                <c:pt idx="62">
                  <c:v>6.7922781227094312E+16</c:v>
                </c:pt>
              </c:numCache>
            </c:numRef>
          </c:yVal>
          <c:smooth val="0"/>
        </c:ser>
        <c:dLbls>
          <c:showLegendKey val="0"/>
          <c:showVal val="0"/>
          <c:showCatName val="0"/>
          <c:showSerName val="0"/>
          <c:showPercent val="0"/>
          <c:showBubbleSize val="0"/>
        </c:dLbls>
        <c:axId val="751217272"/>
        <c:axId val="751212960"/>
      </c:scatterChart>
      <c:valAx>
        <c:axId val="751217272"/>
        <c:scaling>
          <c:orientation val="minMax"/>
          <c:max val="43930"/>
          <c:min val="43895"/>
        </c:scaling>
        <c:delete val="0"/>
        <c:axPos val="b"/>
        <c:majorGridlines>
          <c:spPr>
            <a:ln w="19050" cap="flat" cmpd="sng" algn="ctr">
              <a:solidFill>
                <a:schemeClr val="bg1">
                  <a:lumMod val="75000"/>
                </a:schemeClr>
              </a:solidFill>
              <a:round/>
            </a:ln>
            <a:effectLst/>
          </c:spPr>
        </c:majorGridlines>
        <c:minorGridlines>
          <c:spPr>
            <a:ln w="9525" cap="flat" cmpd="sng" algn="ctr">
              <a:solidFill>
                <a:schemeClr val="bg1">
                  <a:lumMod val="85000"/>
                </a:schemeClr>
              </a:solidFill>
              <a:prstDash val="sysDash"/>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200" b="1"/>
                  <a:t>Date</a:t>
                </a:r>
              </a:p>
            </c:rich>
          </c:tx>
          <c:layout>
            <c:manualLayout>
              <c:xMode val="edge"/>
              <c:yMode val="edge"/>
              <c:x val="0.84938830299642143"/>
              <c:y val="0.9060021364732723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ddd\ dd\-mmm"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2960"/>
        <c:crosses val="autoZero"/>
        <c:crossBetween val="midCat"/>
        <c:majorUnit val="7"/>
        <c:minorUnit val="1"/>
      </c:valAx>
      <c:valAx>
        <c:axId val="751212960"/>
        <c:scaling>
          <c:orientation val="minMax"/>
          <c:max val="120000"/>
          <c:min val="0"/>
        </c:scaling>
        <c:delete val="0"/>
        <c:axPos val="l"/>
        <c:majorGridlines>
          <c:spPr>
            <a:ln w="22225" cap="flat" cmpd="sng" algn="ctr">
              <a:solidFill>
                <a:schemeClr val="bg1">
                  <a:lumMod val="75000"/>
                </a:schemeClr>
              </a:solidFill>
              <a:round/>
            </a:ln>
            <a:effectLst/>
          </c:spPr>
        </c:majorGridlines>
        <c:minorGridlines>
          <c:spPr>
            <a:ln w="3175" cap="flat" cmpd="sng" algn="ctr">
              <a:solidFill>
                <a:schemeClr val="bg1">
                  <a:lumMod val="85000"/>
                </a:schemeClr>
              </a:solidFill>
              <a:prstDash val="sysDash"/>
              <a:round/>
            </a:ln>
            <a:effectLst/>
          </c:spPr>
        </c:min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Number of Tests</a:t>
                </a:r>
              </a:p>
            </c:rich>
          </c:tx>
          <c:layout>
            <c:manualLayout>
              <c:xMode val="edge"/>
              <c:yMode val="edge"/>
              <c:x val="1.6348894204711178E-2"/>
              <c:y val="0.37568902260064913"/>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7272"/>
        <c:crosses val="autoZero"/>
        <c:crossBetween val="midCat"/>
        <c:majorUnit val="10000"/>
        <c:minorUnit val="1000"/>
      </c:valAx>
      <c:spPr>
        <a:noFill/>
        <a:ln>
          <a:noFill/>
        </a:ln>
        <a:effectLst/>
      </c:spPr>
    </c:plotArea>
    <c:legend>
      <c:legendPos val="b"/>
      <c:layout>
        <c:manualLayout>
          <c:xMode val="edge"/>
          <c:yMode val="edge"/>
          <c:x val="0.142286022911396"/>
          <c:y val="0.19818042081756354"/>
          <c:w val="0.27207418567263936"/>
          <c:h val="0.24033178173170341"/>
        </c:manualLayout>
      </c:layout>
      <c:overlay val="0"/>
      <c:spPr>
        <a:solidFill>
          <a:schemeClr val="accent1">
            <a:lumMod val="20000"/>
            <a:lumOff val="80000"/>
            <a:alpha val="57000"/>
          </a:schemeClr>
        </a:solidFill>
        <a:ln>
          <a:solidFill>
            <a:schemeClr val="accent6">
              <a:lumMod val="60000"/>
              <a:lumOff val="40000"/>
            </a:schemeClr>
          </a:solid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Logistic Equation Asymptote v's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876130895670227E-2"/>
          <c:y val="7.7413138390551917E-2"/>
          <c:w val="0.90261765137958339"/>
          <c:h val="0.7113688647471057"/>
        </c:manualLayout>
      </c:layout>
      <c:scatterChart>
        <c:scatterStyle val="lineMarker"/>
        <c:varyColors val="0"/>
        <c:ser>
          <c:idx val="1"/>
          <c:order val="0"/>
          <c:tx>
            <c:v>Italy Asymptote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myData!HisTableItalyDates</c:f>
              <c:numCache>
                <c:formatCode>m/d/yyyy</c:formatCode>
                <c:ptCount val="24"/>
                <c:pt idx="0">
                  <c:v>43904</c:v>
                </c:pt>
                <c:pt idx="1">
                  <c:v>43905</c:v>
                </c:pt>
                <c:pt idx="2">
                  <c:v>43906</c:v>
                </c:pt>
                <c:pt idx="3">
                  <c:v>43907</c:v>
                </c:pt>
                <c:pt idx="4">
                  <c:v>43907</c:v>
                </c:pt>
                <c:pt idx="5">
                  <c:v>43909</c:v>
                </c:pt>
                <c:pt idx="6">
                  <c:v>43910</c:v>
                </c:pt>
                <c:pt idx="7">
                  <c:v>43911</c:v>
                </c:pt>
                <c:pt idx="8">
                  <c:v>43911</c:v>
                </c:pt>
                <c:pt idx="9">
                  <c:v>43911</c:v>
                </c:pt>
                <c:pt idx="10">
                  <c:v>43911</c:v>
                </c:pt>
                <c:pt idx="11">
                  <c:v>43912</c:v>
                </c:pt>
                <c:pt idx="12">
                  <c:v>43912</c:v>
                </c:pt>
                <c:pt idx="13">
                  <c:v>43914</c:v>
                </c:pt>
                <c:pt idx="14">
                  <c:v>43915</c:v>
                </c:pt>
                <c:pt idx="15">
                  <c:v>43915</c:v>
                </c:pt>
                <c:pt idx="16">
                  <c:v>43915</c:v>
                </c:pt>
                <c:pt idx="17">
                  <c:v>43915</c:v>
                </c:pt>
                <c:pt idx="18">
                  <c:v>43915</c:v>
                </c:pt>
                <c:pt idx="19">
                  <c:v>43917</c:v>
                </c:pt>
                <c:pt idx="20">
                  <c:v>43918</c:v>
                </c:pt>
                <c:pt idx="21">
                  <c:v>43920</c:v>
                </c:pt>
                <c:pt idx="22">
                  <c:v>43921</c:v>
                </c:pt>
                <c:pt idx="23">
                  <c:v>43922</c:v>
                </c:pt>
              </c:numCache>
            </c:numRef>
          </c:xVal>
          <c:yVal>
            <c:numRef>
              <c:f>myData!HisTableItalyLimit</c:f>
              <c:numCache>
                <c:formatCode>##0.0E+0</c:formatCode>
                <c:ptCount val="24"/>
                <c:pt idx="0">
                  <c:v>32853.312146806733</c:v>
                </c:pt>
                <c:pt idx="1">
                  <c:v>36357.597379060448</c:v>
                </c:pt>
                <c:pt idx="2">
                  <c:v>42656.90071971056</c:v>
                </c:pt>
                <c:pt idx="3">
                  <c:v>44773.432595385282</c:v>
                </c:pt>
                <c:pt idx="4">
                  <c:v>44773.432595385282</c:v>
                </c:pt>
                <c:pt idx="5">
                  <c:v>47251.221157049207</c:v>
                </c:pt>
                <c:pt idx="6">
                  <c:v>55402.511466544704</c:v>
                </c:pt>
                <c:pt idx="7">
                  <c:v>60634.520713483966</c:v>
                </c:pt>
                <c:pt idx="8">
                  <c:v>60634.520713483966</c:v>
                </c:pt>
                <c:pt idx="9">
                  <c:v>60634.520713483966</c:v>
                </c:pt>
                <c:pt idx="10">
                  <c:v>60634.520713483966</c:v>
                </c:pt>
                <c:pt idx="11">
                  <c:v>65423.849218858661</c:v>
                </c:pt>
                <c:pt idx="12">
                  <c:v>65423.849218858661</c:v>
                </c:pt>
                <c:pt idx="13">
                  <c:v>72185.780764313138</c:v>
                </c:pt>
                <c:pt idx="14">
                  <c:v>76058.397470454249</c:v>
                </c:pt>
                <c:pt idx="15">
                  <c:v>76058.397470454249</c:v>
                </c:pt>
                <c:pt idx="16">
                  <c:v>76058.397470454249</c:v>
                </c:pt>
                <c:pt idx="17">
                  <c:v>76058.397470454249</c:v>
                </c:pt>
                <c:pt idx="18">
                  <c:v>76058.397470454249</c:v>
                </c:pt>
                <c:pt idx="19">
                  <c:v>80460.61645599021</c:v>
                </c:pt>
                <c:pt idx="20">
                  <c:v>85483.180383540035</c:v>
                </c:pt>
                <c:pt idx="21">
                  <c:v>91505.889555524627</c:v>
                </c:pt>
                <c:pt idx="22">
                  <c:v>91583.401761774512</c:v>
                </c:pt>
                <c:pt idx="23">
                  <c:v>97269.773664435765</c:v>
                </c:pt>
              </c:numCache>
            </c:numRef>
          </c:yVal>
          <c:smooth val="0"/>
        </c:ser>
        <c:dLbls>
          <c:showLegendKey val="0"/>
          <c:showVal val="0"/>
          <c:showCatName val="0"/>
          <c:showSerName val="0"/>
          <c:showPercent val="0"/>
          <c:showBubbleSize val="0"/>
        </c:dLbls>
        <c:axId val="751229424"/>
        <c:axId val="751229816"/>
      </c:scatterChart>
      <c:valAx>
        <c:axId val="7512294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9816"/>
        <c:crosses val="autoZero"/>
        <c:crossBetween val="midCat"/>
        <c:majorUnit val="1"/>
        <c:minorUnit val="1"/>
      </c:valAx>
      <c:valAx>
        <c:axId val="751229816"/>
        <c:scaling>
          <c:orientation val="minMax"/>
          <c:max val="100000"/>
          <c:min val="10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9424"/>
        <c:crosses val="autoZero"/>
        <c:crossBetween val="midCat"/>
      </c:valAx>
      <c:spPr>
        <a:noFill/>
        <a:ln>
          <a:noFill/>
        </a:ln>
        <a:effectLst/>
      </c:spPr>
    </c:plotArea>
    <c:legend>
      <c:legendPos val="r"/>
      <c:layout>
        <c:manualLayout>
          <c:xMode val="edge"/>
          <c:yMode val="edge"/>
          <c:x val="0.81865946713561977"/>
          <c:y val="0.68402545755862898"/>
          <c:w val="0.12269632761202429"/>
          <c:h val="7.0442483344547085E-2"/>
        </c:manualLayout>
      </c:layout>
      <c:overlay val="0"/>
      <c:spPr>
        <a:solidFill>
          <a:schemeClr val="bg1">
            <a:lumMod val="95000"/>
            <a:alpha val="7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79874116309897425"/>
          <c:h val="0.69409564235042309"/>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strRef>
              <c:f>myData!ItalySeries</c:f>
              <c:strCache>
                <c:ptCount val="1"/>
                <c:pt idx="0">
                  <c:v>Italy Limit 16.1 k</c:v>
                </c:pt>
              </c:strCache>
            </c:strRef>
          </c:tx>
          <c:spPr>
            <a:ln w="19050" cap="rnd">
              <a:solidFill>
                <a:schemeClr val="accent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51233344"/>
        <c:axId val="751222760"/>
      </c:scatterChart>
      <c:valAx>
        <c:axId val="751233344"/>
        <c:scaling>
          <c:orientation val="minMax"/>
          <c:max val="43923"/>
          <c:min val="4386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2760"/>
        <c:crossesAt val="0.1"/>
        <c:crossBetween val="midCat"/>
        <c:majorUnit val="7"/>
        <c:minorUnit val="1"/>
      </c:valAx>
      <c:valAx>
        <c:axId val="751222760"/>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3344"/>
        <c:crosses val="autoZero"/>
        <c:crossBetween val="midCat"/>
      </c:valAx>
      <c:spPr>
        <a:noFill/>
        <a:ln>
          <a:noFill/>
        </a:ln>
        <a:effectLst/>
      </c:spPr>
    </c:plotArea>
    <c:legend>
      <c:legendPos val="b"/>
      <c:layout>
        <c:manualLayout>
          <c:xMode val="edge"/>
          <c:yMode val="edge"/>
          <c:x val="8.9432251928890691E-2"/>
          <c:y val="0.16096157076147521"/>
          <c:w val="0.19738559171691672"/>
          <c:h val="0.110757241740640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myData!$DU$16</c:f>
          <c:strCache>
            <c:ptCount val="1"/>
            <c:pt idx="0">
              <c:v>COVID19 Skorea P(t) = b / {d+[( b/Po - d ) ]* exp(-b*t)}
b=0.261, d=2.89E-05, P0=.001, r2=991.7E-3, Limit=1.76 k=&gt;9.04 k cases , log fit from 19th Feb 
 (Fit: Wed 19-Feb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Skorea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0"/>
          <c:order val="1"/>
          <c:tx>
            <c:strRef>
              <c:f>myData!SKoreaSeries</c:f>
              <c:strCache>
                <c:ptCount val="1"/>
                <c:pt idx="0">
                  <c:v>Skorea Limit 1.76 k</c:v>
                </c:pt>
              </c:strCache>
            </c:strRef>
          </c:tx>
          <c:spPr>
            <a:ln w="19050" cap="rnd">
              <a:solidFill>
                <a:schemeClr val="accent1"/>
              </a:solidFill>
              <a:prstDash val="sysDash"/>
              <a:round/>
            </a:ln>
            <a:effectLst/>
          </c:spPr>
          <c:marker>
            <c:symbol val="none"/>
          </c:marker>
          <c:xVal>
            <c:numRef>
              <c:f>myData!SKoreaLogiDates</c:f>
              <c:numCache>
                <c:formatCode>m/d/yyyy</c:formatCode>
                <c:ptCount val="78"/>
                <c:pt idx="0">
                  <c:v>43881</c:v>
                </c:pt>
                <c:pt idx="1">
                  <c:v>43882</c:v>
                </c:pt>
                <c:pt idx="2">
                  <c:v>43883</c:v>
                </c:pt>
                <c:pt idx="3">
                  <c:v>43884</c:v>
                </c:pt>
                <c:pt idx="4">
                  <c:v>43885</c:v>
                </c:pt>
                <c:pt idx="5">
                  <c:v>43886</c:v>
                </c:pt>
                <c:pt idx="6">
                  <c:v>43887</c:v>
                </c:pt>
                <c:pt idx="7">
                  <c:v>43888</c:v>
                </c:pt>
                <c:pt idx="8">
                  <c:v>43889</c:v>
                </c:pt>
                <c:pt idx="9">
                  <c:v>43890</c:v>
                </c:pt>
                <c:pt idx="10">
                  <c:v>43891</c:v>
                </c:pt>
                <c:pt idx="11">
                  <c:v>43892</c:v>
                </c:pt>
                <c:pt idx="12">
                  <c:v>43893</c:v>
                </c:pt>
                <c:pt idx="13">
                  <c:v>43894</c:v>
                </c:pt>
                <c:pt idx="14">
                  <c:v>43895</c:v>
                </c:pt>
                <c:pt idx="15">
                  <c:v>43896</c:v>
                </c:pt>
                <c:pt idx="16">
                  <c:v>43897</c:v>
                </c:pt>
                <c:pt idx="17">
                  <c:v>43898</c:v>
                </c:pt>
                <c:pt idx="18">
                  <c:v>43899</c:v>
                </c:pt>
                <c:pt idx="19">
                  <c:v>43900</c:v>
                </c:pt>
                <c:pt idx="20">
                  <c:v>43901</c:v>
                </c:pt>
                <c:pt idx="21">
                  <c:v>43902</c:v>
                </c:pt>
                <c:pt idx="22">
                  <c:v>43903</c:v>
                </c:pt>
                <c:pt idx="23">
                  <c:v>43904</c:v>
                </c:pt>
                <c:pt idx="24">
                  <c:v>43905</c:v>
                </c:pt>
                <c:pt idx="25">
                  <c:v>43906</c:v>
                </c:pt>
                <c:pt idx="26">
                  <c:v>43907</c:v>
                </c:pt>
                <c:pt idx="27">
                  <c:v>43908</c:v>
                </c:pt>
                <c:pt idx="28">
                  <c:v>43909</c:v>
                </c:pt>
                <c:pt idx="29">
                  <c:v>43910</c:v>
                </c:pt>
                <c:pt idx="30">
                  <c:v>43911</c:v>
                </c:pt>
                <c:pt idx="31">
                  <c:v>43912</c:v>
                </c:pt>
                <c:pt idx="32">
                  <c:v>43913</c:v>
                </c:pt>
                <c:pt idx="33">
                  <c:v>43914</c:v>
                </c:pt>
                <c:pt idx="34">
                  <c:v>43915</c:v>
                </c:pt>
                <c:pt idx="35">
                  <c:v>43916</c:v>
                </c:pt>
                <c:pt idx="36">
                  <c:v>43917</c:v>
                </c:pt>
                <c:pt idx="37">
                  <c:v>43918</c:v>
                </c:pt>
                <c:pt idx="38">
                  <c:v>43919</c:v>
                </c:pt>
                <c:pt idx="39">
                  <c:v>43920</c:v>
                </c:pt>
                <c:pt idx="40">
                  <c:v>43921</c:v>
                </c:pt>
                <c:pt idx="41">
                  <c:v>43922</c:v>
                </c:pt>
                <c:pt idx="42">
                  <c:v>43923</c:v>
                </c:pt>
                <c:pt idx="43">
                  <c:v>43924</c:v>
                </c:pt>
                <c:pt idx="44">
                  <c:v>43925</c:v>
                </c:pt>
                <c:pt idx="45">
                  <c:v>43932</c:v>
                </c:pt>
                <c:pt idx="46">
                  <c:v>43939</c:v>
                </c:pt>
                <c:pt idx="47">
                  <c:v>43946</c:v>
                </c:pt>
                <c:pt idx="48">
                  <c:v>43953</c:v>
                </c:pt>
                <c:pt idx="49">
                  <c:v>43960</c:v>
                </c:pt>
                <c:pt idx="50">
                  <c:v>43967</c:v>
                </c:pt>
                <c:pt idx="51">
                  <c:v>43974</c:v>
                </c:pt>
                <c:pt idx="52">
                  <c:v>43981</c:v>
                </c:pt>
                <c:pt idx="53">
                  <c:v>43988</c:v>
                </c:pt>
                <c:pt idx="54">
                  <c:v>43995</c:v>
                </c:pt>
                <c:pt idx="55">
                  <c:v>44002</c:v>
                </c:pt>
                <c:pt idx="56">
                  <c:v>44009</c:v>
                </c:pt>
                <c:pt idx="57">
                  <c:v>44016</c:v>
                </c:pt>
                <c:pt idx="58">
                  <c:v>44023</c:v>
                </c:pt>
                <c:pt idx="59">
                  <c:v>44030</c:v>
                </c:pt>
                <c:pt idx="60">
                  <c:v>44037</c:v>
                </c:pt>
                <c:pt idx="61">
                  <c:v>44044</c:v>
                </c:pt>
                <c:pt idx="62">
                  <c:v>44051</c:v>
                </c:pt>
                <c:pt idx="63">
                  <c:v>44058</c:v>
                </c:pt>
                <c:pt idx="64">
                  <c:v>44065</c:v>
                </c:pt>
                <c:pt idx="65">
                  <c:v>44072</c:v>
                </c:pt>
                <c:pt idx="66">
                  <c:v>44079</c:v>
                </c:pt>
                <c:pt idx="67">
                  <c:v>44086</c:v>
                </c:pt>
                <c:pt idx="68">
                  <c:v>44093</c:v>
                </c:pt>
                <c:pt idx="69">
                  <c:v>44100</c:v>
                </c:pt>
                <c:pt idx="70">
                  <c:v>44107</c:v>
                </c:pt>
                <c:pt idx="71">
                  <c:v>44114</c:v>
                </c:pt>
                <c:pt idx="72">
                  <c:v>44121</c:v>
                </c:pt>
                <c:pt idx="73">
                  <c:v>44128</c:v>
                </c:pt>
                <c:pt idx="74">
                  <c:v>44135</c:v>
                </c:pt>
                <c:pt idx="75">
                  <c:v>44142</c:v>
                </c:pt>
                <c:pt idx="76">
                  <c:v>44149</c:v>
                </c:pt>
                <c:pt idx="77">
                  <c:v>44156</c:v>
                </c:pt>
              </c:numCache>
            </c:numRef>
          </c:xVal>
          <c:yVal>
            <c:numRef>
              <c:f>myData!SKoreaLogi</c:f>
              <c:numCache>
                <c:formatCode>0.0</c:formatCode>
                <c:ptCount val="78"/>
                <c:pt idx="0">
                  <c:v>78.891235734130049</c:v>
                </c:pt>
                <c:pt idx="1">
                  <c:v>101.10453431824787</c:v>
                </c:pt>
                <c:pt idx="2">
                  <c:v>129.09161133196611</c:v>
                </c:pt>
                <c:pt idx="3">
                  <c:v>164.05889711778798</c:v>
                </c:pt>
                <c:pt idx="4">
                  <c:v>207.29266189872871</c:v>
                </c:pt>
                <c:pt idx="5">
                  <c:v>260.06104647910689</c:v>
                </c:pt>
                <c:pt idx="6">
                  <c:v>323.46065168903391</c:v>
                </c:pt>
                <c:pt idx="7">
                  <c:v>398.20814060947419</c:v>
                </c:pt>
                <c:pt idx="8">
                  <c:v>484.39716593025872</c:v>
                </c:pt>
                <c:pt idx="9">
                  <c:v>581.26811689536476</c:v>
                </c:pt>
                <c:pt idx="10">
                  <c:v>687.06273900582437</c:v>
                </c:pt>
                <c:pt idx="11">
                  <c:v>799.04029851788516</c:v>
                </c:pt>
                <c:pt idx="12">
                  <c:v>913.70079866897515</c:v>
                </c:pt>
                <c:pt idx="13">
                  <c:v>1027.1948819782444</c:v>
                </c:pt>
                <c:pt idx="14">
                  <c:v>1135.8265529148296</c:v>
                </c:pt>
                <c:pt idx="15">
                  <c:v>1236.5146428246508</c:v>
                </c:pt>
                <c:pt idx="16">
                  <c:v>1327.0970806173489</c:v>
                </c:pt>
                <c:pt idx="17">
                  <c:v>1406.4270287830241</c:v>
                </c:pt>
                <c:pt idx="18">
                  <c:v>1474.2834076829465</c:v>
                </c:pt>
                <c:pt idx="19">
                  <c:v>1531.1648571208375</c:v>
                </c:pt>
                <c:pt idx="20">
                  <c:v>1578.0444837082048</c:v>
                </c:pt>
                <c:pt idx="21">
                  <c:v>1616.1438211092127</c:v>
                </c:pt>
                <c:pt idx="22">
                  <c:v>1646.7566046692691</c:v>
                </c:pt>
                <c:pt idx="23">
                  <c:v>1671.1295582482019</c:v>
                </c:pt>
                <c:pt idx="24">
                  <c:v>1690.3933488257162</c:v>
                </c:pt>
                <c:pt idx="25">
                  <c:v>1705.5312805474639</c:v>
                </c:pt>
                <c:pt idx="26">
                  <c:v>1717.3731058550541</c:v>
                </c:pt>
                <c:pt idx="27">
                  <c:v>1726.603640119703</c:v>
                </c:pt>
                <c:pt idx="28">
                  <c:v>1733.7787919118452</c:v>
                </c:pt>
                <c:pt idx="29">
                  <c:v>1739.3442280912836</c:v>
                </c:pt>
                <c:pt idx="30">
                  <c:v>1743.6538683940144</c:v>
                </c:pt>
                <c:pt idx="31">
                  <c:v>1746.9867533360677</c:v>
                </c:pt>
                <c:pt idx="32">
                  <c:v>1749.5616779969873</c:v>
                </c:pt>
                <c:pt idx="33">
                  <c:v>1751.5494773735138</c:v>
                </c:pt>
                <c:pt idx="34">
                  <c:v>1753.083108885518</c:v>
                </c:pt>
                <c:pt idx="35">
                  <c:v>1754.2657942835224</c:v>
                </c:pt>
                <c:pt idx="36">
                  <c:v>1755.1775174758047</c:v>
                </c:pt>
                <c:pt idx="37">
                  <c:v>1755.8801653000146</c:v>
                </c:pt>
                <c:pt idx="38">
                  <c:v>1756.4215682846466</c:v>
                </c:pt>
                <c:pt idx="39">
                  <c:v>1756.8386612626152</c:v>
                </c:pt>
                <c:pt idx="40">
                  <c:v>1757.1599464015069</c:v>
                </c:pt>
                <c:pt idx="41">
                  <c:v>1757.4074072147366</c:v>
                </c:pt>
                <c:pt idx="42">
                  <c:v>1757.597992740345</c:v>
                </c:pt>
                <c:pt idx="43">
                  <c:v>1757.7447665276741</c:v>
                </c:pt>
                <c:pt idx="44">
                  <c:v>1757.8577950155945</c:v>
                </c:pt>
                <c:pt idx="45">
                  <c:v>1758.1755108883076</c:v>
                </c:pt>
                <c:pt idx="46">
                  <c:v>1758.226497549482</c:v>
                </c:pt>
                <c:pt idx="47">
                  <c:v>1758.234678387015</c:v>
                </c:pt>
                <c:pt idx="48">
                  <c:v>1758.2359909697648</c:v>
                </c:pt>
                <c:pt idx="49">
                  <c:v>1758.2362015674767</c:v>
                </c:pt>
                <c:pt idx="50">
                  <c:v>1758.2362353568619</c:v>
                </c:pt>
                <c:pt idx="51">
                  <c:v>1758.2362407782048</c:v>
                </c:pt>
                <c:pt idx="52">
                  <c:v>1758.236241648033</c:v>
                </c:pt>
                <c:pt idx="53">
                  <c:v>1758.2362417875925</c:v>
                </c:pt>
                <c:pt idx="54">
                  <c:v>1758.2362418099844</c:v>
                </c:pt>
                <c:pt idx="55">
                  <c:v>1758.2362418135767</c:v>
                </c:pt>
                <c:pt idx="56">
                  <c:v>1758.2362418141531</c:v>
                </c:pt>
                <c:pt idx="57">
                  <c:v>1758.2362418142459</c:v>
                </c:pt>
                <c:pt idx="58">
                  <c:v>1758.2362418142604</c:v>
                </c:pt>
                <c:pt idx="59">
                  <c:v>1758.2362418142629</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pt idx="70">
                  <c:v>1758.2362418142636</c:v>
                </c:pt>
                <c:pt idx="71">
                  <c:v>1758.2362418142636</c:v>
                </c:pt>
                <c:pt idx="72">
                  <c:v>1758.2362418142636</c:v>
                </c:pt>
                <c:pt idx="73">
                  <c:v>1758.2362418142636</c:v>
                </c:pt>
                <c:pt idx="74">
                  <c:v>1758.2362418142636</c:v>
                </c:pt>
                <c:pt idx="75">
                  <c:v>1758.2362418142636</c:v>
                </c:pt>
                <c:pt idx="76">
                  <c:v>1758.2362418142636</c:v>
                </c:pt>
                <c:pt idx="77">
                  <c:v>1758.2362418142636</c:v>
                </c:pt>
              </c:numCache>
            </c:numRef>
          </c:yVal>
          <c:smooth val="0"/>
        </c:ser>
        <c:dLbls>
          <c:showLegendKey val="0"/>
          <c:showVal val="0"/>
          <c:showCatName val="0"/>
          <c:showSerName val="0"/>
          <c:showPercent val="0"/>
          <c:showBubbleSize val="0"/>
        </c:dLbls>
        <c:axId val="751227856"/>
        <c:axId val="751232168"/>
      </c:scatterChart>
      <c:valAx>
        <c:axId val="751227856"/>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2168"/>
        <c:crossesAt val="0.1"/>
        <c:crossBetween val="midCat"/>
        <c:majorUnit val="14"/>
        <c:minorUnit val="7"/>
      </c:valAx>
      <c:valAx>
        <c:axId val="751232168"/>
        <c:scaling>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7856"/>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myData!$DU$15</c:f>
          <c:strCache>
            <c:ptCount val="1"/>
            <c:pt idx="0">
              <c:v>COVID19 China P(t) = b / {d+[( b/Po - d ) ]* exp(-b*t)}
b=0.221, d=2.72E-06, P0=.001, r2=995.4E-3, Limit=564  =&gt;81.2 k cases 
 (Fit: Wed 22-Jan - Wed 01-Apr), Cases per 10 M population</c:v>
            </c:pt>
          </c:strCache>
        </c:strRef>
      </c:tx>
      <c:layout>
        <c:manualLayout>
          <c:xMode val="edge"/>
          <c:yMode val="edge"/>
          <c:x val="0.33870089262443082"/>
          <c:y val="3.3394721333211939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636011458196639E-2"/>
          <c:y val="0.16483581859961077"/>
          <c:w val="0.88715308130366799"/>
          <c:h val="0.67768374738733961"/>
        </c:manualLayout>
      </c:layout>
      <c:scatterChart>
        <c:scatterStyle val="lineMarker"/>
        <c:varyColors val="0"/>
        <c:ser>
          <c:idx val="0"/>
          <c:order val="0"/>
          <c:tx>
            <c:v>China Logi Prediction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1"/>
          <c:order val="1"/>
          <c:tx>
            <c:v>China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dLbls>
          <c:showLegendKey val="0"/>
          <c:showVal val="0"/>
          <c:showCatName val="0"/>
          <c:showSerName val="0"/>
          <c:showPercent val="0"/>
          <c:showBubbleSize val="0"/>
        </c:dLbls>
        <c:axId val="751221192"/>
        <c:axId val="751229032"/>
      </c:scatterChart>
      <c:valAx>
        <c:axId val="751221192"/>
        <c:scaling>
          <c:orientation val="minMax"/>
          <c:max val="43920"/>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9032"/>
        <c:crosses val="autoZero"/>
        <c:crossBetween val="midCat"/>
        <c:majorUnit val="14"/>
        <c:minorUnit val="7"/>
      </c:valAx>
      <c:valAx>
        <c:axId val="75122903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1192"/>
        <c:crosses val="autoZero"/>
        <c:crossBetween val="midCat"/>
      </c:valAx>
      <c:spPr>
        <a:noFill/>
        <a:ln>
          <a:noFill/>
        </a:ln>
        <a:effectLst/>
      </c:spPr>
    </c:plotArea>
    <c:legend>
      <c:legendPos val="r"/>
      <c:layout>
        <c:manualLayout>
          <c:xMode val="edge"/>
          <c:yMode val="edge"/>
          <c:x val="0.79090512430477899"/>
          <c:y val="0.33565589895072867"/>
          <c:w val="0.12872628493749097"/>
          <c:h val="0.18523683792746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myData!TitleCases</c:f>
          <c:strCache>
            <c:ptCount val="1"/>
            <c:pt idx="0">
              <c:v>COVID 19  Sat 21-Nov-2020, Cases per 10 M population</c:v>
            </c:pt>
          </c:strCache>
        </c:strRef>
      </c:tx>
      <c:layout>
        <c:manualLayout>
          <c:xMode val="edge"/>
          <c:yMode val="edge"/>
          <c:x val="0.21988155226886738"/>
          <c:y val="1.254125488586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899602932735263E-2"/>
          <c:y val="8.8784513755633482E-2"/>
          <c:w val="0.72112299939910018"/>
          <c:h val="0.76714659526682405"/>
        </c:manualLayout>
      </c:layout>
      <c:scatterChart>
        <c:scatterStyle val="lineMarker"/>
        <c:varyColors val="0"/>
        <c:ser>
          <c:idx val="10"/>
          <c:order val="0"/>
          <c:tx>
            <c:v>Au Cases</c:v>
          </c:tx>
          <c:spPr>
            <a:ln w="22225" cap="rnd">
              <a:solidFill>
                <a:srgbClr val="FF0000"/>
              </a:solidFill>
              <a:round/>
            </a:ln>
            <a:effectLst/>
          </c:spPr>
          <c:marker>
            <c:symbol val="x"/>
            <c:size val="3"/>
            <c:spPr>
              <a:noFill/>
              <a:ln w="6350">
                <a:solidFill>
                  <a:srgbClr val="FF0000"/>
                </a:solidFill>
              </a:ln>
              <a:effectLst/>
            </c:spPr>
          </c:marker>
          <c:xVal>
            <c:numRef>
              <c:f>myData!AuDates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myData!AuCases</c:f>
              <c:numCache>
                <c:formatCode>0.000</c:formatCode>
                <c:ptCount val="68"/>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2013.8779372338747</c:v>
                </c:pt>
              </c:numCache>
            </c:numRef>
          </c:yVal>
          <c:smooth val="0"/>
        </c:ser>
        <c:ser>
          <c:idx val="3"/>
          <c:order val="1"/>
          <c:tx>
            <c:v>NSW</c:v>
          </c:tx>
          <c:spPr>
            <a:ln w="1905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1"/>
          <c:order val="2"/>
          <c:tx>
            <c:v>Italy</c:v>
          </c:tx>
          <c:spPr>
            <a:ln w="6350" cap="rnd">
              <a:solidFill>
                <a:schemeClr val="tx1"/>
              </a:solidFill>
              <a:round/>
            </a:ln>
            <a:effectLst/>
          </c:spPr>
          <c:marker>
            <c:symbol val="circle"/>
            <c:size val="4"/>
            <c:spPr>
              <a:solidFill>
                <a:schemeClr val="tx1"/>
              </a:solidFill>
              <a:ln w="9525">
                <a:no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2"/>
          <c:order val="3"/>
          <c:tx>
            <c:v>SKorea</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7"/>
          <c:order val="4"/>
          <c:tx>
            <c:v>UK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myData!UKDates</c:f>
              <c:numCache>
                <c:formatCode>m/d/yyyy</c:formatCode>
                <c:ptCount val="63"/>
                <c:pt idx="0">
                  <c:v>43860</c:v>
                </c:pt>
                <c:pt idx="1">
                  <c:v>43861</c:v>
                </c:pt>
                <c:pt idx="2">
                  <c:v>43862</c:v>
                </c:pt>
                <c:pt idx="3">
                  <c:v>43863</c:v>
                </c:pt>
                <c:pt idx="4">
                  <c:v>43864</c:v>
                </c:pt>
                <c:pt idx="5">
                  <c:v>43865</c:v>
                </c:pt>
                <c:pt idx="6">
                  <c:v>43866</c:v>
                </c:pt>
                <c:pt idx="7">
                  <c:v>43867</c:v>
                </c:pt>
                <c:pt idx="8">
                  <c:v>43868</c:v>
                </c:pt>
                <c:pt idx="9">
                  <c:v>43869</c:v>
                </c:pt>
                <c:pt idx="10">
                  <c:v>43870</c:v>
                </c:pt>
                <c:pt idx="11">
                  <c:v>43871</c:v>
                </c:pt>
                <c:pt idx="12">
                  <c:v>43872</c:v>
                </c:pt>
                <c:pt idx="13">
                  <c:v>43873</c:v>
                </c:pt>
                <c:pt idx="14">
                  <c:v>43874</c:v>
                </c:pt>
                <c:pt idx="15">
                  <c:v>43875</c:v>
                </c:pt>
                <c:pt idx="16">
                  <c:v>43876</c:v>
                </c:pt>
                <c:pt idx="17">
                  <c:v>43877</c:v>
                </c:pt>
                <c:pt idx="18">
                  <c:v>43878</c:v>
                </c:pt>
                <c:pt idx="19">
                  <c:v>43879</c:v>
                </c:pt>
                <c:pt idx="20">
                  <c:v>43880</c:v>
                </c:pt>
                <c:pt idx="21">
                  <c:v>43881</c:v>
                </c:pt>
                <c:pt idx="22">
                  <c:v>43882</c:v>
                </c:pt>
                <c:pt idx="23">
                  <c:v>43883</c:v>
                </c:pt>
                <c:pt idx="24">
                  <c:v>43884</c:v>
                </c:pt>
                <c:pt idx="25">
                  <c:v>43885</c:v>
                </c:pt>
                <c:pt idx="26">
                  <c:v>43886</c:v>
                </c:pt>
                <c:pt idx="27">
                  <c:v>43887</c:v>
                </c:pt>
                <c:pt idx="28">
                  <c:v>43888</c:v>
                </c:pt>
                <c:pt idx="29">
                  <c:v>43889</c:v>
                </c:pt>
                <c:pt idx="30">
                  <c:v>43890</c:v>
                </c:pt>
                <c:pt idx="31">
                  <c:v>43891</c:v>
                </c:pt>
                <c:pt idx="32">
                  <c:v>43892</c:v>
                </c:pt>
                <c:pt idx="33">
                  <c:v>43893</c:v>
                </c:pt>
                <c:pt idx="34">
                  <c:v>43894</c:v>
                </c:pt>
                <c:pt idx="35">
                  <c:v>43895</c:v>
                </c:pt>
                <c:pt idx="36">
                  <c:v>43896</c:v>
                </c:pt>
                <c:pt idx="37">
                  <c:v>43897</c:v>
                </c:pt>
                <c:pt idx="38">
                  <c:v>43898</c:v>
                </c:pt>
                <c:pt idx="39">
                  <c:v>43899</c:v>
                </c:pt>
                <c:pt idx="40">
                  <c:v>43900</c:v>
                </c:pt>
                <c:pt idx="41">
                  <c:v>43901</c:v>
                </c:pt>
                <c:pt idx="42">
                  <c:v>43902</c:v>
                </c:pt>
                <c:pt idx="43">
                  <c:v>43903</c:v>
                </c:pt>
                <c:pt idx="44">
                  <c:v>43904</c:v>
                </c:pt>
                <c:pt idx="45">
                  <c:v>43905</c:v>
                </c:pt>
                <c:pt idx="46">
                  <c:v>43906</c:v>
                </c:pt>
                <c:pt idx="47">
                  <c:v>43907</c:v>
                </c:pt>
                <c:pt idx="48">
                  <c:v>43908</c:v>
                </c:pt>
                <c:pt idx="49">
                  <c:v>43909</c:v>
                </c:pt>
                <c:pt idx="50">
                  <c:v>43910</c:v>
                </c:pt>
                <c:pt idx="51">
                  <c:v>43911</c:v>
                </c:pt>
                <c:pt idx="52">
                  <c:v>43912</c:v>
                </c:pt>
                <c:pt idx="53">
                  <c:v>43913</c:v>
                </c:pt>
                <c:pt idx="54">
                  <c:v>43914</c:v>
                </c:pt>
                <c:pt idx="55">
                  <c:v>43915</c:v>
                </c:pt>
                <c:pt idx="56">
                  <c:v>43916</c:v>
                </c:pt>
                <c:pt idx="57">
                  <c:v>43917</c:v>
                </c:pt>
                <c:pt idx="58">
                  <c:v>43918</c:v>
                </c:pt>
                <c:pt idx="59">
                  <c:v>43919</c:v>
                </c:pt>
                <c:pt idx="60">
                  <c:v>43920</c:v>
                </c:pt>
                <c:pt idx="61">
                  <c:v>43921</c:v>
                </c:pt>
                <c:pt idx="62">
                  <c:v>43922</c:v>
                </c:pt>
              </c:numCache>
            </c:numRef>
          </c:xVal>
          <c:yVal>
            <c:numRef>
              <c:f>myData!UKCases</c:f>
              <c:numCache>
                <c:formatCode>0.000</c:formatCode>
                <c:ptCount val="63"/>
                <c:pt idx="0">
                  <c:v>0</c:v>
                </c:pt>
                <c:pt idx="1">
                  <c:v>0.30102347983142685</c:v>
                </c:pt>
                <c:pt idx="2">
                  <c:v>0.30102347983142685</c:v>
                </c:pt>
                <c:pt idx="3">
                  <c:v>0.30102347983142685</c:v>
                </c:pt>
                <c:pt idx="4">
                  <c:v>0.30102347983142685</c:v>
                </c:pt>
                <c:pt idx="5">
                  <c:v>0.30102347983142685</c:v>
                </c:pt>
                <c:pt idx="6">
                  <c:v>0.30102347983142685</c:v>
                </c:pt>
                <c:pt idx="7">
                  <c:v>0.30102347983142685</c:v>
                </c:pt>
                <c:pt idx="8">
                  <c:v>0.45153521974714028</c:v>
                </c:pt>
                <c:pt idx="9">
                  <c:v>0.45153521974714028</c:v>
                </c:pt>
                <c:pt idx="10">
                  <c:v>0.45153521974714028</c:v>
                </c:pt>
                <c:pt idx="11">
                  <c:v>1.2040939193257074</c:v>
                </c:pt>
                <c:pt idx="12">
                  <c:v>1.2040939193257074</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formatCode="##0.0E+00">
                  <c:v>1.3546056592414208</c:v>
                </c:pt>
                <c:pt idx="25" formatCode="##0.0E+00">
                  <c:v>1.9566526189042746</c:v>
                </c:pt>
                <c:pt idx="26" formatCode="##0.0E+00">
                  <c:v>1.9566526189042746</c:v>
                </c:pt>
                <c:pt idx="27" formatCode="##0.0E+00">
                  <c:v>1.9566526189042746</c:v>
                </c:pt>
                <c:pt idx="28" formatCode="##0.0E+00">
                  <c:v>2.2576760987357014</c:v>
                </c:pt>
                <c:pt idx="29" formatCode="##0.0E+00">
                  <c:v>3.0102347983142685</c:v>
                </c:pt>
                <c:pt idx="30" formatCode="##0.0E+00">
                  <c:v>3.4617700180614088</c:v>
                </c:pt>
                <c:pt idx="31" formatCode="##0.0E+00">
                  <c:v>5.4184226369656834</c:v>
                </c:pt>
                <c:pt idx="32" formatCode="##0.0E+00">
                  <c:v>6.0204695966285371</c:v>
                </c:pt>
                <c:pt idx="33" formatCode="##0.0E+00">
                  <c:v>7.6760987357013848</c:v>
                </c:pt>
                <c:pt idx="34" formatCode="##0.0E+00">
                  <c:v>12.944009632751355</c:v>
                </c:pt>
                <c:pt idx="35" formatCode="##0.0E+00">
                  <c:v>17.459361830222758</c:v>
                </c:pt>
                <c:pt idx="36" formatCode="##0.0E+00">
                  <c:v>24.683925346177002</c:v>
                </c:pt>
                <c:pt idx="37" formatCode="##0.0E+00">
                  <c:v>31.155930162552679</c:v>
                </c:pt>
                <c:pt idx="38" formatCode="##0.0E+00">
                  <c:v>41.240216736905481</c:v>
                </c:pt>
                <c:pt idx="39" formatCode="##0.0E+00">
                  <c:v>48.464780252859725</c:v>
                </c:pt>
                <c:pt idx="40" formatCode="##0.0E+00">
                  <c:v>57.796508127633956</c:v>
                </c:pt>
                <c:pt idx="41" formatCode="##0.0E+00">
                  <c:v>69.084888621312459</c:v>
                </c:pt>
                <c:pt idx="42" formatCode="##0.0E+00">
                  <c:v>69.084888621312459</c:v>
                </c:pt>
                <c:pt idx="43" formatCode="##0.0E+00">
                  <c:v>120.71041541240217</c:v>
                </c:pt>
                <c:pt idx="44" formatCode="##0.0E+00">
                  <c:v>172.18543046357615</c:v>
                </c:pt>
                <c:pt idx="45" formatCode="##0.0E+00">
                  <c:v>172.33594220349187</c:v>
                </c:pt>
                <c:pt idx="46" formatCode="##0.0E+00">
                  <c:v>233.44370860927151</c:v>
                </c:pt>
                <c:pt idx="47" formatCode="##0.0E+00">
                  <c:v>295.0030102347983</c:v>
                </c:pt>
                <c:pt idx="48" formatCode="##0.0E+00">
                  <c:v>397.65201685731489</c:v>
                </c:pt>
                <c:pt idx="49" formatCode="##0.0E+00">
                  <c:v>408.78988561107764</c:v>
                </c:pt>
                <c:pt idx="50" formatCode="##0.0E+00">
                  <c:v>604.15412402167362</c:v>
                </c:pt>
                <c:pt idx="51" formatCode="##0.0E+00">
                  <c:v>762.64298615291989</c:v>
                </c:pt>
                <c:pt idx="52" formatCode="##0.0E+00">
                  <c:v>864.68994581577363</c:v>
                </c:pt>
                <c:pt idx="53" formatCode="##0.0E+00">
                  <c:v>1012.3419626730885</c:v>
                </c:pt>
                <c:pt idx="54" formatCode="##0.0E+00">
                  <c:v>1228.7778446718844</c:v>
                </c:pt>
                <c:pt idx="55">
                  <c:v>1450.9331727874774</c:v>
                </c:pt>
                <c:pt idx="56">
                  <c:v>1777.844671884407</c:v>
                </c:pt>
                <c:pt idx="57">
                  <c:v>2219.2956050571943</c:v>
                </c:pt>
                <c:pt idx="58">
                  <c:v>2605.6592414208308</c:v>
                </c:pt>
                <c:pt idx="59">
                  <c:v>2977.1222155328114</c:v>
                </c:pt>
                <c:pt idx="60">
                  <c:v>3379.4400963275134</c:v>
                </c:pt>
                <c:pt idx="61">
                  <c:v>3835.1896447922936</c:v>
                </c:pt>
                <c:pt idx="62">
                  <c:v>4495.0331125827815</c:v>
                </c:pt>
              </c:numCache>
            </c:numRef>
          </c:yVal>
          <c:smooth val="0"/>
        </c:ser>
        <c:ser>
          <c:idx val="0"/>
          <c:order val="5"/>
          <c:tx>
            <c:v>Italy </c:v>
          </c:tx>
          <c:spPr>
            <a:ln w="9525" cap="rnd">
              <a:solidFill>
                <a:schemeClr val="tx1"/>
              </a:solidFill>
              <a:round/>
            </a:ln>
            <a:effectLst/>
          </c:spPr>
          <c:marker>
            <c:symbol val="x"/>
            <c:size val="3"/>
            <c:spPr>
              <a:noFill/>
              <a:ln w="9525">
                <a:no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4"/>
          <c:order val="6"/>
          <c:tx>
            <c:v>China Cases</c:v>
          </c:tx>
          <c:spPr>
            <a:ln w="9525" cap="rnd">
              <a:solidFill>
                <a:schemeClr val="accent4">
                  <a:lumMod val="75000"/>
                </a:schemeClr>
              </a:solidFill>
              <a:round/>
            </a:ln>
            <a:effectLst/>
          </c:spPr>
          <c:marker>
            <c:symbol val="circle"/>
            <c:size val="3"/>
            <c:spPr>
              <a:solidFill>
                <a:schemeClr val="accent4">
                  <a:lumMod val="75000"/>
                </a:schemeClr>
              </a:solidFill>
              <a:ln w="9525">
                <a:solidFill>
                  <a:schemeClr val="accent4">
                    <a:lumMod val="75000"/>
                  </a:schemeClr>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ser>
          <c:idx val="5"/>
          <c:order val="7"/>
          <c:tx>
            <c:v>US</c:v>
          </c:tx>
          <c:spPr>
            <a:ln w="12700" cap="rnd">
              <a:solidFill>
                <a:schemeClr val="accent5">
                  <a:lumMod val="50000"/>
                </a:schemeClr>
              </a:solidFill>
              <a:round/>
            </a:ln>
            <a:effectLst/>
          </c:spPr>
          <c:marker>
            <c:symbol val="circle"/>
            <c:size val="4"/>
            <c:spPr>
              <a:solidFill>
                <a:schemeClr val="accent1">
                  <a:lumMod val="75000"/>
                </a:schemeClr>
              </a:solidFill>
              <a:ln w="9525">
                <a:solidFill>
                  <a:schemeClr val="accent5">
                    <a:lumMod val="50000"/>
                  </a:schemeClr>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6"/>
          <c:order val="8"/>
          <c:tx>
            <c:v>Chinese New Year</c:v>
          </c:tx>
          <c:spPr>
            <a:ln w="19050" cap="rnd">
              <a:solidFill>
                <a:schemeClr val="accent1">
                  <a:lumMod val="60000"/>
                </a:schemeClr>
              </a:solidFill>
              <a:prstDash val="sysDash"/>
              <a:round/>
            </a:ln>
            <a:effectLst/>
          </c:spPr>
          <c:marker>
            <c:symbol val="none"/>
          </c:marker>
          <c:xVal>
            <c:numRef>
              <c:f>myData!$EO$15:$EO$18</c:f>
              <c:numCache>
                <c:formatCode>m/d/yyyy</c:formatCode>
                <c:ptCount val="4"/>
                <c:pt idx="0">
                  <c:v>43854</c:v>
                </c:pt>
                <c:pt idx="1">
                  <c:v>43854</c:v>
                </c:pt>
                <c:pt idx="2">
                  <c:v>43860</c:v>
                </c:pt>
                <c:pt idx="3">
                  <c:v>43860</c:v>
                </c:pt>
              </c:numCache>
            </c:numRef>
          </c:xVal>
          <c:yVal>
            <c:numRef>
              <c:f>myData!$EP$15:$EP$18</c:f>
              <c:numCache>
                <c:formatCode>0.00E+00</c:formatCode>
                <c:ptCount val="4"/>
                <c:pt idx="0" formatCode="General">
                  <c:v>0.1</c:v>
                </c:pt>
                <c:pt idx="1">
                  <c:v>10000000</c:v>
                </c:pt>
                <c:pt idx="2" formatCode="General">
                  <c:v>10000000</c:v>
                </c:pt>
                <c:pt idx="3" formatCode="General">
                  <c:v>0.1</c:v>
                </c:pt>
              </c:numCache>
            </c:numRef>
          </c:yVal>
          <c:smooth val="0"/>
        </c:ser>
        <c:ser>
          <c:idx val="8"/>
          <c:order val="9"/>
          <c:tx>
            <c:v>Chinese NY +14 days</c:v>
          </c:tx>
          <c:spPr>
            <a:ln w="19050" cap="rnd">
              <a:solidFill>
                <a:schemeClr val="accent3">
                  <a:lumMod val="60000"/>
                </a:schemeClr>
              </a:solidFill>
              <a:prstDash val="sysDot"/>
              <a:round/>
            </a:ln>
            <a:effectLst/>
          </c:spPr>
          <c:marker>
            <c:symbol val="circle"/>
            <c:size val="5"/>
            <c:spPr>
              <a:solidFill>
                <a:schemeClr val="accent3">
                  <a:lumMod val="60000"/>
                </a:schemeClr>
              </a:solidFill>
              <a:ln w="9525">
                <a:solidFill>
                  <a:schemeClr val="accent3">
                    <a:lumMod val="60000"/>
                  </a:schemeClr>
                </a:solidFill>
              </a:ln>
              <a:effectLst/>
            </c:spPr>
          </c:marker>
          <c:xVal>
            <c:numRef>
              <c:f>myData!$EP$19:$EP$22</c:f>
              <c:numCache>
                <c:formatCode>0.00E+00</c:formatCode>
                <c:ptCount val="4"/>
                <c:pt idx="0" formatCode="General">
                  <c:v>0.1</c:v>
                </c:pt>
                <c:pt idx="1">
                  <c:v>10000000</c:v>
                </c:pt>
                <c:pt idx="2" formatCode="General">
                  <c:v>10000000</c:v>
                </c:pt>
                <c:pt idx="3" formatCode="m/d/yyyy">
                  <c:v>43874</c:v>
                </c:pt>
              </c:numCache>
            </c:numRef>
          </c:xVal>
          <c:yVal>
            <c:numRef>
              <c:f>myData!$EQ$19:$EQ$22</c:f>
              <c:numCache>
                <c:formatCode>General</c:formatCode>
                <c:ptCount val="4"/>
                <c:pt idx="3">
                  <c:v>0.1</c:v>
                </c:pt>
              </c:numCache>
            </c:numRef>
          </c:yVal>
          <c:smooth val="0"/>
        </c:ser>
        <c:dLbls>
          <c:showLegendKey val="0"/>
          <c:showVal val="0"/>
          <c:showCatName val="0"/>
          <c:showSerName val="0"/>
          <c:showPercent val="0"/>
          <c:showBubbleSize val="0"/>
        </c:dLbls>
        <c:axId val="751222368"/>
        <c:axId val="751225504"/>
      </c:scatterChart>
      <c:valAx>
        <c:axId val="751222368"/>
        <c:scaling>
          <c:orientation val="minMax"/>
          <c:max val="43927"/>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ddd\ 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5504"/>
        <c:crossesAt val="1.0000000000000002E-2"/>
        <c:crossBetween val="midCat"/>
        <c:majorUnit val="7"/>
        <c:minorUnit val="1"/>
      </c:valAx>
      <c:valAx>
        <c:axId val="751225504"/>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2368"/>
        <c:crosses val="autoZero"/>
        <c:crossBetween val="midCat"/>
      </c:valAx>
      <c:spPr>
        <a:noFill/>
        <a:ln>
          <a:noFill/>
        </a:ln>
        <a:effectLst/>
      </c:spPr>
    </c:plotArea>
    <c:legend>
      <c:legendPos val="b"/>
      <c:layout>
        <c:manualLayout>
          <c:xMode val="edge"/>
          <c:yMode val="edge"/>
          <c:x val="0.84231388917729444"/>
          <c:y val="0.12337533556497449"/>
          <c:w val="0.12367647383180938"/>
          <c:h val="0.57872690462902332"/>
        </c:manualLayout>
      </c:layout>
      <c:overlay val="0"/>
      <c:spPr>
        <a:solidFill>
          <a:schemeClr val="bg1"/>
        </a:solid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Logistic Equation Asymptote v's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876130895670227E-2"/>
          <c:y val="7.7413138390551917E-2"/>
          <c:w val="0.90261765137958339"/>
          <c:h val="0.7113688647471057"/>
        </c:manualLayout>
      </c:layout>
      <c:scatterChart>
        <c:scatterStyle val="lineMarker"/>
        <c:varyColors val="0"/>
        <c:ser>
          <c:idx val="0"/>
          <c:order val="0"/>
          <c:tx>
            <c:v>NSW Asymptote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myData!HisTableNSWDates</c:f>
              <c:numCache>
                <c:formatCode>m/d/yyyy</c:formatCode>
                <c:ptCount val="25"/>
                <c:pt idx="0">
                  <c:v>43903</c:v>
                </c:pt>
                <c:pt idx="1">
                  <c:v>43904</c:v>
                </c:pt>
                <c:pt idx="2">
                  <c:v>43905</c:v>
                </c:pt>
                <c:pt idx="3">
                  <c:v>43906</c:v>
                </c:pt>
                <c:pt idx="4">
                  <c:v>43907</c:v>
                </c:pt>
                <c:pt idx="5">
                  <c:v>43908</c:v>
                </c:pt>
                <c:pt idx="6">
                  <c:v>43908</c:v>
                </c:pt>
                <c:pt idx="7">
                  <c:v>43910</c:v>
                </c:pt>
                <c:pt idx="8">
                  <c:v>43911</c:v>
                </c:pt>
                <c:pt idx="9">
                  <c:v>43912</c:v>
                </c:pt>
                <c:pt idx="10">
                  <c:v>43912</c:v>
                </c:pt>
                <c:pt idx="11">
                  <c:v>43913</c:v>
                </c:pt>
                <c:pt idx="12">
                  <c:v>43913</c:v>
                </c:pt>
                <c:pt idx="13">
                  <c:v>43913</c:v>
                </c:pt>
                <c:pt idx="14">
                  <c:v>43913</c:v>
                </c:pt>
                <c:pt idx="15">
                  <c:v>43914</c:v>
                </c:pt>
                <c:pt idx="16">
                  <c:v>43915</c:v>
                </c:pt>
                <c:pt idx="17">
                  <c:v>43916</c:v>
                </c:pt>
                <c:pt idx="18">
                  <c:v>43918</c:v>
                </c:pt>
                <c:pt idx="19">
                  <c:v>43919</c:v>
                </c:pt>
                <c:pt idx="20">
                  <c:v>43919</c:v>
                </c:pt>
                <c:pt idx="21">
                  <c:v>43920</c:v>
                </c:pt>
                <c:pt idx="22">
                  <c:v>43920</c:v>
                </c:pt>
                <c:pt idx="23">
                  <c:v>43921</c:v>
                </c:pt>
                <c:pt idx="24">
                  <c:v>43922</c:v>
                </c:pt>
              </c:numCache>
            </c:numRef>
          </c:xVal>
          <c:yVal>
            <c:numRef>
              <c:f>myData!HisTableNSWLimit</c:f>
              <c:numCache>
                <c:formatCode>##0.0E+0</c:formatCode>
                <c:ptCount val="25"/>
                <c:pt idx="0">
                  <c:v>698.45143014252619</c:v>
                </c:pt>
                <c:pt idx="1">
                  <c:v>542.39562937001722</c:v>
                </c:pt>
                <c:pt idx="2">
                  <c:v>149466.80778825187</c:v>
                </c:pt>
                <c:pt idx="3">
                  <c:v>1903695418.3668838</c:v>
                </c:pt>
                <c:pt idx="4">
                  <c:v>1906532495.6548798</c:v>
                </c:pt>
                <c:pt idx="5">
                  <c:v>2020947810.4226243</c:v>
                </c:pt>
                <c:pt idx="6">
                  <c:v>2020947810.4226243</c:v>
                </c:pt>
                <c:pt idx="7">
                  <c:v>19837162.818940759</c:v>
                </c:pt>
                <c:pt idx="8">
                  <c:v>2724.7105763852951</c:v>
                </c:pt>
                <c:pt idx="9">
                  <c:v>3260.9876989496688</c:v>
                </c:pt>
                <c:pt idx="10">
                  <c:v>3260.9876989496688</c:v>
                </c:pt>
                <c:pt idx="11">
                  <c:v>249353.50939001123</c:v>
                </c:pt>
                <c:pt idx="12">
                  <c:v>250236.41257862665</c:v>
                </c:pt>
                <c:pt idx="13">
                  <c:v>198338944478.92844</c:v>
                </c:pt>
                <c:pt idx="14">
                  <c:v>198338706864.42471</c:v>
                </c:pt>
                <c:pt idx="15">
                  <c:v>136942.55830215677</c:v>
                </c:pt>
                <c:pt idx="16">
                  <c:v>199741905429.51889</c:v>
                </c:pt>
                <c:pt idx="17">
                  <c:v>9599.8215448294359</c:v>
                </c:pt>
                <c:pt idx="18">
                  <c:v>4508.8432233744425</c:v>
                </c:pt>
                <c:pt idx="19">
                  <c:v>3709.7346654448384</c:v>
                </c:pt>
                <c:pt idx="20">
                  <c:v>3709.7444231824052</c:v>
                </c:pt>
                <c:pt idx="21">
                  <c:v>3710.633453851975</c:v>
                </c:pt>
                <c:pt idx="22">
                  <c:v>3709.9996894717342</c:v>
                </c:pt>
                <c:pt idx="23">
                  <c:v>4378.5831585977076</c:v>
                </c:pt>
                <c:pt idx="24">
                  <c:v>3052.0693701432133</c:v>
                </c:pt>
              </c:numCache>
            </c:numRef>
          </c:yVal>
          <c:smooth val="0"/>
        </c:ser>
        <c:ser>
          <c:idx val="1"/>
          <c:order val="1"/>
          <c:tx>
            <c:v>Italy Asymptote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myData!HisTableItalyDates</c:f>
              <c:numCache>
                <c:formatCode>m/d/yyyy</c:formatCode>
                <c:ptCount val="24"/>
                <c:pt idx="0">
                  <c:v>43904</c:v>
                </c:pt>
                <c:pt idx="1">
                  <c:v>43905</c:v>
                </c:pt>
                <c:pt idx="2">
                  <c:v>43906</c:v>
                </c:pt>
                <c:pt idx="3">
                  <c:v>43907</c:v>
                </c:pt>
                <c:pt idx="4">
                  <c:v>43907</c:v>
                </c:pt>
                <c:pt idx="5">
                  <c:v>43909</c:v>
                </c:pt>
                <c:pt idx="6">
                  <c:v>43910</c:v>
                </c:pt>
                <c:pt idx="7">
                  <c:v>43911</c:v>
                </c:pt>
                <c:pt idx="8">
                  <c:v>43911</c:v>
                </c:pt>
                <c:pt idx="9">
                  <c:v>43911</c:v>
                </c:pt>
                <c:pt idx="10">
                  <c:v>43911</c:v>
                </c:pt>
                <c:pt idx="11">
                  <c:v>43912</c:v>
                </c:pt>
                <c:pt idx="12">
                  <c:v>43912</c:v>
                </c:pt>
                <c:pt idx="13">
                  <c:v>43914</c:v>
                </c:pt>
                <c:pt idx="14">
                  <c:v>43915</c:v>
                </c:pt>
                <c:pt idx="15">
                  <c:v>43915</c:v>
                </c:pt>
                <c:pt idx="16">
                  <c:v>43915</c:v>
                </c:pt>
                <c:pt idx="17">
                  <c:v>43915</c:v>
                </c:pt>
                <c:pt idx="18">
                  <c:v>43915</c:v>
                </c:pt>
                <c:pt idx="19">
                  <c:v>43917</c:v>
                </c:pt>
                <c:pt idx="20">
                  <c:v>43918</c:v>
                </c:pt>
                <c:pt idx="21">
                  <c:v>43920</c:v>
                </c:pt>
                <c:pt idx="22">
                  <c:v>43921</c:v>
                </c:pt>
                <c:pt idx="23">
                  <c:v>43922</c:v>
                </c:pt>
              </c:numCache>
            </c:numRef>
          </c:xVal>
          <c:yVal>
            <c:numRef>
              <c:f>myData!HisTableItalyLimit</c:f>
              <c:numCache>
                <c:formatCode>##0.0E+0</c:formatCode>
                <c:ptCount val="24"/>
                <c:pt idx="0">
                  <c:v>32853.312146806733</c:v>
                </c:pt>
                <c:pt idx="1">
                  <c:v>36357.597379060448</c:v>
                </c:pt>
                <c:pt idx="2">
                  <c:v>42656.90071971056</c:v>
                </c:pt>
                <c:pt idx="3">
                  <c:v>44773.432595385282</c:v>
                </c:pt>
                <c:pt idx="4">
                  <c:v>44773.432595385282</c:v>
                </c:pt>
                <c:pt idx="5">
                  <c:v>47251.221157049207</c:v>
                </c:pt>
                <c:pt idx="6">
                  <c:v>55402.511466544704</c:v>
                </c:pt>
                <c:pt idx="7">
                  <c:v>60634.520713483966</c:v>
                </c:pt>
                <c:pt idx="8">
                  <c:v>60634.520713483966</c:v>
                </c:pt>
                <c:pt idx="9">
                  <c:v>60634.520713483966</c:v>
                </c:pt>
                <c:pt idx="10">
                  <c:v>60634.520713483966</c:v>
                </c:pt>
                <c:pt idx="11">
                  <c:v>65423.849218858661</c:v>
                </c:pt>
                <c:pt idx="12">
                  <c:v>65423.849218858661</c:v>
                </c:pt>
                <c:pt idx="13">
                  <c:v>72185.780764313138</c:v>
                </c:pt>
                <c:pt idx="14">
                  <c:v>76058.397470454249</c:v>
                </c:pt>
                <c:pt idx="15">
                  <c:v>76058.397470454249</c:v>
                </c:pt>
                <c:pt idx="16">
                  <c:v>76058.397470454249</c:v>
                </c:pt>
                <c:pt idx="17">
                  <c:v>76058.397470454249</c:v>
                </c:pt>
                <c:pt idx="18">
                  <c:v>76058.397470454249</c:v>
                </c:pt>
                <c:pt idx="19">
                  <c:v>80460.61645599021</c:v>
                </c:pt>
                <c:pt idx="20">
                  <c:v>85483.180383540035</c:v>
                </c:pt>
                <c:pt idx="21">
                  <c:v>91505.889555524627</c:v>
                </c:pt>
                <c:pt idx="22">
                  <c:v>91583.401761774512</c:v>
                </c:pt>
                <c:pt idx="23">
                  <c:v>97269.773664435765</c:v>
                </c:pt>
              </c:numCache>
            </c:numRef>
          </c:yVal>
          <c:smooth val="0"/>
        </c:ser>
        <c:dLbls>
          <c:showLegendKey val="0"/>
          <c:showVal val="0"/>
          <c:showCatName val="0"/>
          <c:showSerName val="0"/>
          <c:showPercent val="0"/>
          <c:showBubbleSize val="0"/>
        </c:dLbls>
        <c:axId val="751226680"/>
        <c:axId val="751231384"/>
      </c:scatterChart>
      <c:valAx>
        <c:axId val="7512266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1384"/>
        <c:crosses val="autoZero"/>
        <c:crossBetween val="midCat"/>
        <c:majorUnit val="1"/>
        <c:minorUnit val="1"/>
      </c:valAx>
      <c:valAx>
        <c:axId val="751231384"/>
        <c:scaling>
          <c:logBase val="10"/>
          <c:orientation val="minMax"/>
          <c:max val="1000000000"/>
          <c:min val="1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Cases Per 10M Population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6680"/>
        <c:crosses val="autoZero"/>
        <c:crossBetween val="midCat"/>
      </c:valAx>
      <c:spPr>
        <a:noFill/>
        <a:ln>
          <a:noFill/>
        </a:ln>
        <a:effectLst/>
      </c:spPr>
    </c:plotArea>
    <c:legend>
      <c:legendPos val="r"/>
      <c:layout>
        <c:manualLayout>
          <c:xMode val="edge"/>
          <c:yMode val="edge"/>
          <c:x val="0.81865946713561977"/>
          <c:y val="0.68402545755862898"/>
          <c:w val="0.12269632761202429"/>
          <c:h val="7.0442483344547085E-2"/>
        </c:manualLayout>
      </c:layout>
      <c:overlay val="0"/>
      <c:spPr>
        <a:solidFill>
          <a:schemeClr val="bg1">
            <a:lumMod val="95000"/>
            <a:alpha val="7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myData!TitleAllSK</c:f>
          <c:strCache>
            <c:ptCount val="1"/>
            <c:pt idx="0">
              <c:v>COVID 19 Least Sq Err Logistic Eqns at Thu 02-Apr-2020, Cases per 10 M population</c:v>
            </c:pt>
          </c:strCache>
        </c:strRef>
      </c:tx>
      <c:layout>
        <c:manualLayout>
          <c:xMode val="edge"/>
          <c:yMode val="edge"/>
          <c:x val="0.26633965954750155"/>
          <c:y val="1.254125488586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9525"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1"/>
          <c:order val="2"/>
          <c:tx>
            <c:v>Italy Confirmed Cases</c:v>
          </c:tx>
          <c:spPr>
            <a:ln w="6350" cap="rnd">
              <a:solidFill>
                <a:srgbClr val="FF0000"/>
              </a:solidFill>
              <a:round/>
            </a:ln>
            <a:effectLst/>
          </c:spPr>
          <c:marker>
            <c:symbol val="circle"/>
            <c:size val="4"/>
            <c:spPr>
              <a:solidFill>
                <a:srgbClr val="FF0000"/>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3"/>
          <c:tx>
            <c:strRef>
              <c:f>myData!ItalySeries</c:f>
              <c:strCache>
                <c:ptCount val="1"/>
                <c:pt idx="0">
                  <c:v>Italy Limit 16.1 k</c:v>
                </c:pt>
              </c:strCache>
            </c:strRef>
          </c:tx>
          <c:spPr>
            <a:ln w="12700" cap="rnd">
              <a:solidFill>
                <a:srgbClr val="FF0000"/>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ser>
          <c:idx val="2"/>
          <c:order val="4"/>
          <c:tx>
            <c:v>SKorea Confirmed Cases</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5"/>
          <c:order val="5"/>
          <c:tx>
            <c:strRef>
              <c:f>myData!SKoreaSeries</c:f>
              <c:strCache>
                <c:ptCount val="1"/>
                <c:pt idx="0">
                  <c:v>Skorea Limit 1.76 k</c:v>
                </c:pt>
              </c:strCache>
            </c:strRef>
          </c:tx>
          <c:spPr>
            <a:ln w="19050" cap="rnd">
              <a:solidFill>
                <a:schemeClr val="accent6"/>
              </a:solidFill>
              <a:prstDash val="sysDash"/>
              <a:round/>
            </a:ln>
            <a:effectLst/>
          </c:spPr>
          <c:marker>
            <c:symbol val="none"/>
          </c:marker>
          <c:xVal>
            <c:numRef>
              <c:f>myData!SKoreaLogiDates</c:f>
              <c:numCache>
                <c:formatCode>m/d/yyyy</c:formatCode>
                <c:ptCount val="78"/>
                <c:pt idx="0">
                  <c:v>43881</c:v>
                </c:pt>
                <c:pt idx="1">
                  <c:v>43882</c:v>
                </c:pt>
                <c:pt idx="2">
                  <c:v>43883</c:v>
                </c:pt>
                <c:pt idx="3">
                  <c:v>43884</c:v>
                </c:pt>
                <c:pt idx="4">
                  <c:v>43885</c:v>
                </c:pt>
                <c:pt idx="5">
                  <c:v>43886</c:v>
                </c:pt>
                <c:pt idx="6">
                  <c:v>43887</c:v>
                </c:pt>
                <c:pt idx="7">
                  <c:v>43888</c:v>
                </c:pt>
                <c:pt idx="8">
                  <c:v>43889</c:v>
                </c:pt>
                <c:pt idx="9">
                  <c:v>43890</c:v>
                </c:pt>
                <c:pt idx="10">
                  <c:v>43891</c:v>
                </c:pt>
                <c:pt idx="11">
                  <c:v>43892</c:v>
                </c:pt>
                <c:pt idx="12">
                  <c:v>43893</c:v>
                </c:pt>
                <c:pt idx="13">
                  <c:v>43894</c:v>
                </c:pt>
                <c:pt idx="14">
                  <c:v>43895</c:v>
                </c:pt>
                <c:pt idx="15">
                  <c:v>43896</c:v>
                </c:pt>
                <c:pt idx="16">
                  <c:v>43897</c:v>
                </c:pt>
                <c:pt idx="17">
                  <c:v>43898</c:v>
                </c:pt>
                <c:pt idx="18">
                  <c:v>43899</c:v>
                </c:pt>
                <c:pt idx="19">
                  <c:v>43900</c:v>
                </c:pt>
                <c:pt idx="20">
                  <c:v>43901</c:v>
                </c:pt>
                <c:pt idx="21">
                  <c:v>43902</c:v>
                </c:pt>
                <c:pt idx="22">
                  <c:v>43903</c:v>
                </c:pt>
                <c:pt idx="23">
                  <c:v>43904</c:v>
                </c:pt>
                <c:pt idx="24">
                  <c:v>43905</c:v>
                </c:pt>
                <c:pt idx="25">
                  <c:v>43906</c:v>
                </c:pt>
                <c:pt idx="26">
                  <c:v>43907</c:v>
                </c:pt>
                <c:pt idx="27">
                  <c:v>43908</c:v>
                </c:pt>
                <c:pt idx="28">
                  <c:v>43909</c:v>
                </c:pt>
                <c:pt idx="29">
                  <c:v>43910</c:v>
                </c:pt>
                <c:pt idx="30">
                  <c:v>43911</c:v>
                </c:pt>
                <c:pt idx="31">
                  <c:v>43912</c:v>
                </c:pt>
                <c:pt idx="32">
                  <c:v>43913</c:v>
                </c:pt>
                <c:pt idx="33">
                  <c:v>43914</c:v>
                </c:pt>
                <c:pt idx="34">
                  <c:v>43915</c:v>
                </c:pt>
                <c:pt idx="35">
                  <c:v>43916</c:v>
                </c:pt>
                <c:pt idx="36">
                  <c:v>43917</c:v>
                </c:pt>
                <c:pt idx="37">
                  <c:v>43918</c:v>
                </c:pt>
                <c:pt idx="38">
                  <c:v>43919</c:v>
                </c:pt>
                <c:pt idx="39">
                  <c:v>43920</c:v>
                </c:pt>
                <c:pt idx="40">
                  <c:v>43921</c:v>
                </c:pt>
                <c:pt idx="41">
                  <c:v>43922</c:v>
                </c:pt>
                <c:pt idx="42">
                  <c:v>43923</c:v>
                </c:pt>
                <c:pt idx="43">
                  <c:v>43924</c:v>
                </c:pt>
                <c:pt idx="44">
                  <c:v>43925</c:v>
                </c:pt>
                <c:pt idx="45">
                  <c:v>43932</c:v>
                </c:pt>
                <c:pt idx="46">
                  <c:v>43939</c:v>
                </c:pt>
                <c:pt idx="47">
                  <c:v>43946</c:v>
                </c:pt>
                <c:pt idx="48">
                  <c:v>43953</c:v>
                </c:pt>
                <c:pt idx="49">
                  <c:v>43960</c:v>
                </c:pt>
                <c:pt idx="50">
                  <c:v>43967</c:v>
                </c:pt>
                <c:pt idx="51">
                  <c:v>43974</c:v>
                </c:pt>
                <c:pt idx="52">
                  <c:v>43981</c:v>
                </c:pt>
                <c:pt idx="53">
                  <c:v>43988</c:v>
                </c:pt>
                <c:pt idx="54">
                  <c:v>43995</c:v>
                </c:pt>
                <c:pt idx="55">
                  <c:v>44002</c:v>
                </c:pt>
                <c:pt idx="56">
                  <c:v>44009</c:v>
                </c:pt>
                <c:pt idx="57">
                  <c:v>44016</c:v>
                </c:pt>
                <c:pt idx="58">
                  <c:v>44023</c:v>
                </c:pt>
                <c:pt idx="59">
                  <c:v>44030</c:v>
                </c:pt>
                <c:pt idx="60">
                  <c:v>44037</c:v>
                </c:pt>
                <c:pt idx="61">
                  <c:v>44044</c:v>
                </c:pt>
                <c:pt idx="62">
                  <c:v>44051</c:v>
                </c:pt>
                <c:pt idx="63">
                  <c:v>44058</c:v>
                </c:pt>
                <c:pt idx="64">
                  <c:v>44065</c:v>
                </c:pt>
                <c:pt idx="65">
                  <c:v>44072</c:v>
                </c:pt>
                <c:pt idx="66">
                  <c:v>44079</c:v>
                </c:pt>
                <c:pt idx="67">
                  <c:v>44086</c:v>
                </c:pt>
                <c:pt idx="68">
                  <c:v>44093</c:v>
                </c:pt>
                <c:pt idx="69">
                  <c:v>44100</c:v>
                </c:pt>
                <c:pt idx="70">
                  <c:v>44107</c:v>
                </c:pt>
                <c:pt idx="71">
                  <c:v>44114</c:v>
                </c:pt>
                <c:pt idx="72">
                  <c:v>44121</c:v>
                </c:pt>
                <c:pt idx="73">
                  <c:v>44128</c:v>
                </c:pt>
                <c:pt idx="74">
                  <c:v>44135</c:v>
                </c:pt>
                <c:pt idx="75">
                  <c:v>44142</c:v>
                </c:pt>
                <c:pt idx="76">
                  <c:v>44149</c:v>
                </c:pt>
                <c:pt idx="77">
                  <c:v>44156</c:v>
                </c:pt>
              </c:numCache>
            </c:numRef>
          </c:xVal>
          <c:yVal>
            <c:numRef>
              <c:f>myData!SKoreaLogi</c:f>
              <c:numCache>
                <c:formatCode>0.0</c:formatCode>
                <c:ptCount val="78"/>
                <c:pt idx="0">
                  <c:v>78.891235734130049</c:v>
                </c:pt>
                <c:pt idx="1">
                  <c:v>101.10453431824787</c:v>
                </c:pt>
                <c:pt idx="2">
                  <c:v>129.09161133196611</c:v>
                </c:pt>
                <c:pt idx="3">
                  <c:v>164.05889711778798</c:v>
                </c:pt>
                <c:pt idx="4">
                  <c:v>207.29266189872871</c:v>
                </c:pt>
                <c:pt idx="5">
                  <c:v>260.06104647910689</c:v>
                </c:pt>
                <c:pt idx="6">
                  <c:v>323.46065168903391</c:v>
                </c:pt>
                <c:pt idx="7">
                  <c:v>398.20814060947419</c:v>
                </c:pt>
                <c:pt idx="8">
                  <c:v>484.39716593025872</c:v>
                </c:pt>
                <c:pt idx="9">
                  <c:v>581.26811689536476</c:v>
                </c:pt>
                <c:pt idx="10">
                  <c:v>687.06273900582437</c:v>
                </c:pt>
                <c:pt idx="11">
                  <c:v>799.04029851788516</c:v>
                </c:pt>
                <c:pt idx="12">
                  <c:v>913.70079866897515</c:v>
                </c:pt>
                <c:pt idx="13">
                  <c:v>1027.1948819782444</c:v>
                </c:pt>
                <c:pt idx="14">
                  <c:v>1135.8265529148296</c:v>
                </c:pt>
                <c:pt idx="15">
                  <c:v>1236.5146428246508</c:v>
                </c:pt>
                <c:pt idx="16">
                  <c:v>1327.0970806173489</c:v>
                </c:pt>
                <c:pt idx="17">
                  <c:v>1406.4270287830241</c:v>
                </c:pt>
                <c:pt idx="18">
                  <c:v>1474.2834076829465</c:v>
                </c:pt>
                <c:pt idx="19">
                  <c:v>1531.1648571208375</c:v>
                </c:pt>
                <c:pt idx="20">
                  <c:v>1578.0444837082048</c:v>
                </c:pt>
                <c:pt idx="21">
                  <c:v>1616.1438211092127</c:v>
                </c:pt>
                <c:pt idx="22">
                  <c:v>1646.7566046692691</c:v>
                </c:pt>
                <c:pt idx="23">
                  <c:v>1671.1295582482019</c:v>
                </c:pt>
                <c:pt idx="24">
                  <c:v>1690.3933488257162</c:v>
                </c:pt>
                <c:pt idx="25">
                  <c:v>1705.5312805474639</c:v>
                </c:pt>
                <c:pt idx="26">
                  <c:v>1717.3731058550541</c:v>
                </c:pt>
                <c:pt idx="27">
                  <c:v>1726.603640119703</c:v>
                </c:pt>
                <c:pt idx="28">
                  <c:v>1733.7787919118452</c:v>
                </c:pt>
                <c:pt idx="29">
                  <c:v>1739.3442280912836</c:v>
                </c:pt>
                <c:pt idx="30">
                  <c:v>1743.6538683940144</c:v>
                </c:pt>
                <c:pt idx="31">
                  <c:v>1746.9867533360677</c:v>
                </c:pt>
                <c:pt idx="32">
                  <c:v>1749.5616779969873</c:v>
                </c:pt>
                <c:pt idx="33">
                  <c:v>1751.5494773735138</c:v>
                </c:pt>
                <c:pt idx="34">
                  <c:v>1753.083108885518</c:v>
                </c:pt>
                <c:pt idx="35">
                  <c:v>1754.2657942835224</c:v>
                </c:pt>
                <c:pt idx="36">
                  <c:v>1755.1775174758047</c:v>
                </c:pt>
                <c:pt idx="37">
                  <c:v>1755.8801653000146</c:v>
                </c:pt>
                <c:pt idx="38">
                  <c:v>1756.4215682846466</c:v>
                </c:pt>
                <c:pt idx="39">
                  <c:v>1756.8386612626152</c:v>
                </c:pt>
                <c:pt idx="40">
                  <c:v>1757.1599464015069</c:v>
                </c:pt>
                <c:pt idx="41">
                  <c:v>1757.4074072147366</c:v>
                </c:pt>
                <c:pt idx="42">
                  <c:v>1757.597992740345</c:v>
                </c:pt>
                <c:pt idx="43">
                  <c:v>1757.7447665276741</c:v>
                </c:pt>
                <c:pt idx="44">
                  <c:v>1757.8577950155945</c:v>
                </c:pt>
                <c:pt idx="45">
                  <c:v>1758.1755108883076</c:v>
                </c:pt>
                <c:pt idx="46">
                  <c:v>1758.226497549482</c:v>
                </c:pt>
                <c:pt idx="47">
                  <c:v>1758.234678387015</c:v>
                </c:pt>
                <c:pt idx="48">
                  <c:v>1758.2359909697648</c:v>
                </c:pt>
                <c:pt idx="49">
                  <c:v>1758.2362015674767</c:v>
                </c:pt>
                <c:pt idx="50">
                  <c:v>1758.2362353568619</c:v>
                </c:pt>
                <c:pt idx="51">
                  <c:v>1758.2362407782048</c:v>
                </c:pt>
                <c:pt idx="52">
                  <c:v>1758.236241648033</c:v>
                </c:pt>
                <c:pt idx="53">
                  <c:v>1758.2362417875925</c:v>
                </c:pt>
                <c:pt idx="54">
                  <c:v>1758.2362418099844</c:v>
                </c:pt>
                <c:pt idx="55">
                  <c:v>1758.2362418135767</c:v>
                </c:pt>
                <c:pt idx="56">
                  <c:v>1758.2362418141531</c:v>
                </c:pt>
                <c:pt idx="57">
                  <c:v>1758.2362418142459</c:v>
                </c:pt>
                <c:pt idx="58">
                  <c:v>1758.2362418142604</c:v>
                </c:pt>
                <c:pt idx="59">
                  <c:v>1758.2362418142629</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pt idx="70">
                  <c:v>1758.2362418142636</c:v>
                </c:pt>
                <c:pt idx="71">
                  <c:v>1758.2362418142636</c:v>
                </c:pt>
                <c:pt idx="72">
                  <c:v>1758.2362418142636</c:v>
                </c:pt>
                <c:pt idx="73">
                  <c:v>1758.2362418142636</c:v>
                </c:pt>
                <c:pt idx="74">
                  <c:v>1758.2362418142636</c:v>
                </c:pt>
                <c:pt idx="75">
                  <c:v>1758.2362418142636</c:v>
                </c:pt>
                <c:pt idx="76">
                  <c:v>1758.2362418142636</c:v>
                </c:pt>
                <c:pt idx="77">
                  <c:v>1758.2362418142636</c:v>
                </c:pt>
              </c:numCache>
            </c:numRef>
          </c:yVal>
          <c:smooth val="0"/>
        </c:ser>
        <c:ser>
          <c:idx val="10"/>
          <c:order val="6"/>
          <c:tx>
            <c:v>Au Cases</c:v>
          </c:tx>
          <c:spPr>
            <a:ln w="12700" cap="rnd">
              <a:solidFill>
                <a:schemeClr val="accent6">
                  <a:lumMod val="75000"/>
                </a:schemeClr>
              </a:solidFill>
              <a:round/>
            </a:ln>
            <a:effectLst/>
          </c:spPr>
          <c:marker>
            <c:symbol val="diamond"/>
            <c:size val="3"/>
            <c:spPr>
              <a:noFill/>
              <a:ln w="9525">
                <a:solidFill>
                  <a:schemeClr val="accent4">
                    <a:lumMod val="75000"/>
                  </a:schemeClr>
                </a:solidFill>
              </a:ln>
              <a:effectLst/>
            </c:spPr>
          </c:marker>
          <c:xVal>
            <c:numRef>
              <c:f>myData!AuDates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myData!AuCases</c:f>
              <c:numCache>
                <c:formatCode>0.000</c:formatCode>
                <c:ptCount val="68"/>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2013.8779372338747</c:v>
                </c:pt>
              </c:numCache>
            </c:numRef>
          </c:yVal>
          <c:smooth val="0"/>
        </c:ser>
        <c:ser>
          <c:idx val="9"/>
          <c:order val="7"/>
          <c:tx>
            <c:strRef>
              <c:f>myData!AuSeries</c:f>
              <c:strCache>
                <c:ptCount val="1"/>
                <c:pt idx="0">
                  <c:v>Australia Limit 2.44 k</c:v>
                </c:pt>
              </c:strCache>
            </c:strRef>
          </c:tx>
          <c:spPr>
            <a:ln w="19050" cap="rnd">
              <a:solidFill>
                <a:schemeClr val="accent4">
                  <a:lumMod val="60000"/>
                </a:schemeClr>
              </a:solidFill>
              <a:prstDash val="sysDot"/>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5.0780158348501107E-4</c:v>
                </c:pt>
                <c:pt idx="1">
                  <c:v>6.5404230481095292E-4</c:v>
                </c:pt>
                <c:pt idx="2">
                  <c:v>8.4239857259244824E-4</c:v>
                </c:pt>
                <c:pt idx="3">
                  <c:v>1.0849991416250304E-3</c:v>
                </c:pt>
                <c:pt idx="4">
                  <c:v>1.3974656912655325E-3</c:v>
                </c:pt>
                <c:pt idx="5">
                  <c:v>1.7999187383778831E-3</c:v>
                </c:pt>
                <c:pt idx="6">
                  <c:v>2.3182732362566857E-3</c:v>
                </c:pt>
                <c:pt idx="7">
                  <c:v>2.9859072824000464E-3</c:v>
                </c:pt>
                <c:pt idx="8">
                  <c:v>3.8458113806717582E-3</c:v>
                </c:pt>
                <c:pt idx="9">
                  <c:v>4.9533566429069307E-3</c:v>
                </c:pt>
                <c:pt idx="10">
                  <c:v>6.379860162423789E-3</c:v>
                </c:pt>
                <c:pt idx="11">
                  <c:v>8.2171771110498126E-3</c:v>
                </c:pt>
                <c:pt idx="12">
                  <c:v>1.0583615203345937E-2</c:v>
                </c:pt>
                <c:pt idx="13">
                  <c:v>1.3631552286949062E-2</c:v>
                </c:pt>
                <c:pt idx="14">
                  <c:v>1.7557247427833086E-2</c:v>
                </c:pt>
                <c:pt idx="15">
                  <c:v>2.2613477006429773E-2</c:v>
                </c:pt>
                <c:pt idx="16">
                  <c:v>2.9125809088155249E-2</c:v>
                </c:pt>
                <c:pt idx="17">
                  <c:v>3.7513563340633591E-2</c:v>
                </c:pt>
                <c:pt idx="18">
                  <c:v>4.8316805037684707E-2</c:v>
                </c:pt>
                <c:pt idx="19">
                  <c:v>6.2231109499340589E-2</c:v>
                </c:pt>
                <c:pt idx="20">
                  <c:v>8.0152332445696792E-2</c:v>
                </c:pt>
                <c:pt idx="21">
                  <c:v>0.10323426400850313</c:v>
                </c:pt>
                <c:pt idx="22">
                  <c:v>0.13296287037121177</c:v>
                </c:pt>
                <c:pt idx="23">
                  <c:v>0.17125188951301457</c:v>
                </c:pt>
                <c:pt idx="24">
                  <c:v>0.22056591326410149</c:v>
                </c:pt>
                <c:pt idx="25">
                  <c:v>0.28407884234612357</c:v>
                </c:pt>
                <c:pt idx="26">
                  <c:v>0.36587785321200644</c:v>
                </c:pt>
                <c:pt idx="27">
                  <c:v>0.47122590364440897</c:v>
                </c:pt>
                <c:pt idx="28">
                  <c:v>0.60689950311346952</c:v>
                </c:pt>
                <c:pt idx="29">
                  <c:v>0.7816232036645312</c:v>
                </c:pt>
                <c:pt idx="30">
                  <c:v>1.0066283017744495</c:v>
                </c:pt>
                <c:pt idx="31">
                  <c:v>1.2963709194815802</c:v>
                </c:pt>
                <c:pt idx="32">
                  <c:v>1.6694543654176943</c:v>
                </c:pt>
                <c:pt idx="33">
                  <c:v>2.1498129525199996</c:v>
                </c:pt>
                <c:pt idx="34">
                  <c:v>2.7682298331535495</c:v>
                </c:pt>
                <c:pt idx="35">
                  <c:v>3.5642805217006082</c:v>
                </c:pt>
                <c:pt idx="36">
                  <c:v>4.5888172268410514</c:v>
                </c:pt>
                <c:pt idx="37">
                  <c:v>5.9071374162777035</c:v>
                </c:pt>
                <c:pt idx="38">
                  <c:v>7.6030133674683569</c:v>
                </c:pt>
                <c:pt idx="39">
                  <c:v>9.7837972992689277</c:v>
                </c:pt>
                <c:pt idx="40">
                  <c:v>12.586857161961168</c:v>
                </c:pt>
                <c:pt idx="41">
                  <c:v>16.187636995451786</c:v>
                </c:pt>
                <c:pt idx="42">
                  <c:v>20.809664516482755</c:v>
                </c:pt>
                <c:pt idx="43">
                  <c:v>26.736832045718604</c:v>
                </c:pt>
                <c:pt idx="44">
                  <c:v>34.328229126351808</c:v>
                </c:pt>
                <c:pt idx="45">
                  <c:v>44.03566425113214</c:v>
                </c:pt>
                <c:pt idx="46">
                  <c:v>56.423714355462373</c:v>
                </c:pt>
                <c:pt idx="47">
                  <c:v>72.191590317657884</c:v>
                </c:pt>
                <c:pt idx="48">
                  <c:v>92.195179179570601</c:v>
                </c:pt>
                <c:pt idx="49">
                  <c:v>117.46617251868628</c:v>
                </c:pt>
                <c:pt idx="50">
                  <c:v>149.22308751631024</c:v>
                </c:pt>
                <c:pt idx="51">
                  <c:v>188.86621970870678</c:v>
                </c:pt>
                <c:pt idx="52">
                  <c:v>237.94541939955033</c:v>
                </c:pt>
                <c:pt idx="53">
                  <c:v>298.08692497497566</c:v>
                </c:pt>
                <c:pt idx="54">
                  <c:v>370.86508683149322</c:v>
                </c:pt>
                <c:pt idx="55">
                  <c:v>457.60946513200952</c:v>
                </c:pt>
                <c:pt idx="56">
                  <c:v>559.15070131983191</c:v>
                </c:pt>
                <c:pt idx="57">
                  <c:v>675.53146881117766</c:v>
                </c:pt>
                <c:pt idx="58">
                  <c:v>805.73857376856859</c:v>
                </c:pt>
                <c:pt idx="59">
                  <c:v>947.53778679735046</c:v>
                </c:pt>
                <c:pt idx="60">
                  <c:v>1097.4962153921856</c:v>
                </c:pt>
                <c:pt idx="61">
                  <c:v>1251.2422517287348</c:v>
                </c:pt>
                <c:pt idx="62">
                  <c:v>1403.9419710971692</c:v>
                </c:pt>
                <c:pt idx="63">
                  <c:v>1550.8908420790906</c:v>
                </c:pt>
                <c:pt idx="64">
                  <c:v>1688.0726128690712</c:v>
                </c:pt>
                <c:pt idx="65">
                  <c:v>1812.5508892753742</c:v>
                </c:pt>
                <c:pt idx="66">
                  <c:v>1922.6250070724</c:v>
                </c:pt>
                <c:pt idx="67">
                  <c:v>2017.7628524309123</c:v>
                </c:pt>
                <c:pt idx="68">
                  <c:v>2098.3806987716216</c:v>
                </c:pt>
                <c:pt idx="69" formatCode="0.00E+00">
                  <c:v>2165.5574447218241</c:v>
                </c:pt>
                <c:pt idx="70" formatCode="0.00E+00">
                  <c:v>2385.6529412551895</c:v>
                </c:pt>
                <c:pt idx="71" formatCode="0.00E+00">
                  <c:v>2427.6132070388553</c:v>
                </c:pt>
                <c:pt idx="72" formatCode="0.00E+00">
                  <c:v>2434.8965165482655</c:v>
                </c:pt>
                <c:pt idx="73" formatCode="0.00E+00">
                  <c:v>2436.1395096568326</c:v>
                </c:pt>
                <c:pt idx="74" formatCode="0.00E+00">
                  <c:v>2436.3510266989711</c:v>
                </c:pt>
                <c:pt idx="75" formatCode="0.00E+00">
                  <c:v>2436.38700219365</c:v>
                </c:pt>
                <c:pt idx="76" formatCode="0.00E+00">
                  <c:v>2436.3931205049316</c:v>
                </c:pt>
                <c:pt idx="77" formatCode="0.00E+00">
                  <c:v>2436.3941610242223</c:v>
                </c:pt>
                <c:pt idx="78" formatCode="0.00E+00">
                  <c:v>2436.3943379811799</c:v>
                </c:pt>
                <c:pt idx="79" formatCode="0.00E+00">
                  <c:v>2436.3943680755301</c:v>
                </c:pt>
                <c:pt idx="80" formatCode="0.00E+00">
                  <c:v>2436.3943731935537</c:v>
                </c:pt>
                <c:pt idx="81" formatCode="0.00E+00">
                  <c:v>2436.3943740639552</c:v>
                </c:pt>
                <c:pt idx="82" formatCode="0.00E+00">
                  <c:v>2436.3943742119809</c:v>
                </c:pt>
                <c:pt idx="83" formatCode="0.00E+00">
                  <c:v>2436.3943742371548</c:v>
                </c:pt>
                <c:pt idx="84" formatCode="0.00E+00">
                  <c:v>2436.3943742414363</c:v>
                </c:pt>
                <c:pt idx="85" formatCode="0.00E+00">
                  <c:v>2436.3943742421643</c:v>
                </c:pt>
                <c:pt idx="86" formatCode="0.00E+00">
                  <c:v>2436.394374242288</c:v>
                </c:pt>
                <c:pt idx="87" formatCode="0.00E+00">
                  <c:v>2436.3943742423089</c:v>
                </c:pt>
                <c:pt idx="88" formatCode="0.00E+00">
                  <c:v>2436.3943742423126</c:v>
                </c:pt>
                <c:pt idx="89" formatCode="0.00E+00">
                  <c:v>2436.3943742423135</c:v>
                </c:pt>
                <c:pt idx="90" formatCode="0.00E+00">
                  <c:v>2436.3943742423135</c:v>
                </c:pt>
                <c:pt idx="91" formatCode="0.00E+00">
                  <c:v>2436.3943742423135</c:v>
                </c:pt>
                <c:pt idx="92" formatCode="0.00E+00">
                  <c:v>2436.3943742423135</c:v>
                </c:pt>
                <c:pt idx="93" formatCode="0.00E+00">
                  <c:v>2436.3943742423135</c:v>
                </c:pt>
                <c:pt idx="94" formatCode="0.00E+00">
                  <c:v>2436.3943742423135</c:v>
                </c:pt>
                <c:pt idx="95" formatCode="0.00E+00">
                  <c:v>2436.3943742423135</c:v>
                </c:pt>
                <c:pt idx="96" formatCode="0.00E+00">
                  <c:v>2436.3943742423135</c:v>
                </c:pt>
                <c:pt idx="97" formatCode="0.00E+00">
                  <c:v>2436.3943742423135</c:v>
                </c:pt>
                <c:pt idx="98" formatCode="0.00E+00">
                  <c:v>2436.3943742423135</c:v>
                </c:pt>
                <c:pt idx="99" formatCode="0.00E+00">
                  <c:v>2436.3943742423135</c:v>
                </c:pt>
                <c:pt idx="100" formatCode="0.00E+00">
                  <c:v>2436.3943742423135</c:v>
                </c:pt>
                <c:pt idx="101" formatCode="0.00E+00">
                  <c:v>2436.3943742423135</c:v>
                </c:pt>
                <c:pt idx="102" formatCode="0.00E+00">
                  <c:v>2436.3943742423135</c:v>
                </c:pt>
              </c:numCache>
            </c:numRef>
          </c:yVal>
          <c:smooth val="0"/>
        </c:ser>
        <c:ser>
          <c:idx val="7"/>
          <c:order val="8"/>
          <c:tx>
            <c:v>UK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myData!UKDates</c:f>
              <c:numCache>
                <c:formatCode>m/d/yyyy</c:formatCode>
                <c:ptCount val="63"/>
                <c:pt idx="0">
                  <c:v>43860</c:v>
                </c:pt>
                <c:pt idx="1">
                  <c:v>43861</c:v>
                </c:pt>
                <c:pt idx="2">
                  <c:v>43862</c:v>
                </c:pt>
                <c:pt idx="3">
                  <c:v>43863</c:v>
                </c:pt>
                <c:pt idx="4">
                  <c:v>43864</c:v>
                </c:pt>
                <c:pt idx="5">
                  <c:v>43865</c:v>
                </c:pt>
                <c:pt idx="6">
                  <c:v>43866</c:v>
                </c:pt>
                <c:pt idx="7">
                  <c:v>43867</c:v>
                </c:pt>
                <c:pt idx="8">
                  <c:v>43868</c:v>
                </c:pt>
                <c:pt idx="9">
                  <c:v>43869</c:v>
                </c:pt>
                <c:pt idx="10">
                  <c:v>43870</c:v>
                </c:pt>
                <c:pt idx="11">
                  <c:v>43871</c:v>
                </c:pt>
                <c:pt idx="12">
                  <c:v>43872</c:v>
                </c:pt>
                <c:pt idx="13">
                  <c:v>43873</c:v>
                </c:pt>
                <c:pt idx="14">
                  <c:v>43874</c:v>
                </c:pt>
                <c:pt idx="15">
                  <c:v>43875</c:v>
                </c:pt>
                <c:pt idx="16">
                  <c:v>43876</c:v>
                </c:pt>
                <c:pt idx="17">
                  <c:v>43877</c:v>
                </c:pt>
                <c:pt idx="18">
                  <c:v>43878</c:v>
                </c:pt>
                <c:pt idx="19">
                  <c:v>43879</c:v>
                </c:pt>
                <c:pt idx="20">
                  <c:v>43880</c:v>
                </c:pt>
                <c:pt idx="21">
                  <c:v>43881</c:v>
                </c:pt>
                <c:pt idx="22">
                  <c:v>43882</c:v>
                </c:pt>
                <c:pt idx="23">
                  <c:v>43883</c:v>
                </c:pt>
                <c:pt idx="24">
                  <c:v>43884</c:v>
                </c:pt>
                <c:pt idx="25">
                  <c:v>43885</c:v>
                </c:pt>
                <c:pt idx="26">
                  <c:v>43886</c:v>
                </c:pt>
                <c:pt idx="27">
                  <c:v>43887</c:v>
                </c:pt>
                <c:pt idx="28">
                  <c:v>43888</c:v>
                </c:pt>
                <c:pt idx="29">
                  <c:v>43889</c:v>
                </c:pt>
                <c:pt idx="30">
                  <c:v>43890</c:v>
                </c:pt>
                <c:pt idx="31">
                  <c:v>43891</c:v>
                </c:pt>
                <c:pt idx="32">
                  <c:v>43892</c:v>
                </c:pt>
                <c:pt idx="33">
                  <c:v>43893</c:v>
                </c:pt>
                <c:pt idx="34">
                  <c:v>43894</c:v>
                </c:pt>
                <c:pt idx="35">
                  <c:v>43895</c:v>
                </c:pt>
                <c:pt idx="36">
                  <c:v>43896</c:v>
                </c:pt>
                <c:pt idx="37">
                  <c:v>43897</c:v>
                </c:pt>
                <c:pt idx="38">
                  <c:v>43898</c:v>
                </c:pt>
                <c:pt idx="39">
                  <c:v>43899</c:v>
                </c:pt>
                <c:pt idx="40">
                  <c:v>43900</c:v>
                </c:pt>
                <c:pt idx="41">
                  <c:v>43901</c:v>
                </c:pt>
                <c:pt idx="42">
                  <c:v>43902</c:v>
                </c:pt>
                <c:pt idx="43">
                  <c:v>43903</c:v>
                </c:pt>
                <c:pt idx="44">
                  <c:v>43904</c:v>
                </c:pt>
                <c:pt idx="45">
                  <c:v>43905</c:v>
                </c:pt>
                <c:pt idx="46">
                  <c:v>43906</c:v>
                </c:pt>
                <c:pt idx="47">
                  <c:v>43907</c:v>
                </c:pt>
                <c:pt idx="48">
                  <c:v>43908</c:v>
                </c:pt>
                <c:pt idx="49">
                  <c:v>43909</c:v>
                </c:pt>
                <c:pt idx="50">
                  <c:v>43910</c:v>
                </c:pt>
                <c:pt idx="51">
                  <c:v>43911</c:v>
                </c:pt>
                <c:pt idx="52">
                  <c:v>43912</c:v>
                </c:pt>
                <c:pt idx="53">
                  <c:v>43913</c:v>
                </c:pt>
                <c:pt idx="54">
                  <c:v>43914</c:v>
                </c:pt>
                <c:pt idx="55">
                  <c:v>43915</c:v>
                </c:pt>
                <c:pt idx="56">
                  <c:v>43916</c:v>
                </c:pt>
                <c:pt idx="57">
                  <c:v>43917</c:v>
                </c:pt>
                <c:pt idx="58">
                  <c:v>43918</c:v>
                </c:pt>
                <c:pt idx="59">
                  <c:v>43919</c:v>
                </c:pt>
                <c:pt idx="60">
                  <c:v>43920</c:v>
                </c:pt>
                <c:pt idx="61">
                  <c:v>43921</c:v>
                </c:pt>
                <c:pt idx="62">
                  <c:v>43922</c:v>
                </c:pt>
              </c:numCache>
            </c:numRef>
          </c:xVal>
          <c:yVal>
            <c:numRef>
              <c:f>myData!UKCases</c:f>
              <c:numCache>
                <c:formatCode>0.000</c:formatCode>
                <c:ptCount val="63"/>
                <c:pt idx="0">
                  <c:v>0</c:v>
                </c:pt>
                <c:pt idx="1">
                  <c:v>0.30102347983142685</c:v>
                </c:pt>
                <c:pt idx="2">
                  <c:v>0.30102347983142685</c:v>
                </c:pt>
                <c:pt idx="3">
                  <c:v>0.30102347983142685</c:v>
                </c:pt>
                <c:pt idx="4">
                  <c:v>0.30102347983142685</c:v>
                </c:pt>
                <c:pt idx="5">
                  <c:v>0.30102347983142685</c:v>
                </c:pt>
                <c:pt idx="6">
                  <c:v>0.30102347983142685</c:v>
                </c:pt>
                <c:pt idx="7">
                  <c:v>0.30102347983142685</c:v>
                </c:pt>
                <c:pt idx="8">
                  <c:v>0.45153521974714028</c:v>
                </c:pt>
                <c:pt idx="9">
                  <c:v>0.45153521974714028</c:v>
                </c:pt>
                <c:pt idx="10">
                  <c:v>0.45153521974714028</c:v>
                </c:pt>
                <c:pt idx="11">
                  <c:v>1.2040939193257074</c:v>
                </c:pt>
                <c:pt idx="12">
                  <c:v>1.2040939193257074</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formatCode="##0.0E+00">
                  <c:v>1.3546056592414208</c:v>
                </c:pt>
                <c:pt idx="25" formatCode="##0.0E+00">
                  <c:v>1.9566526189042746</c:v>
                </c:pt>
                <c:pt idx="26" formatCode="##0.0E+00">
                  <c:v>1.9566526189042746</c:v>
                </c:pt>
                <c:pt idx="27" formatCode="##0.0E+00">
                  <c:v>1.9566526189042746</c:v>
                </c:pt>
                <c:pt idx="28" formatCode="##0.0E+00">
                  <c:v>2.2576760987357014</c:v>
                </c:pt>
                <c:pt idx="29" formatCode="##0.0E+00">
                  <c:v>3.0102347983142685</c:v>
                </c:pt>
                <c:pt idx="30" formatCode="##0.0E+00">
                  <c:v>3.4617700180614088</c:v>
                </c:pt>
                <c:pt idx="31" formatCode="##0.0E+00">
                  <c:v>5.4184226369656834</c:v>
                </c:pt>
                <c:pt idx="32" formatCode="##0.0E+00">
                  <c:v>6.0204695966285371</c:v>
                </c:pt>
                <c:pt idx="33" formatCode="##0.0E+00">
                  <c:v>7.6760987357013848</c:v>
                </c:pt>
                <c:pt idx="34" formatCode="##0.0E+00">
                  <c:v>12.944009632751355</c:v>
                </c:pt>
                <c:pt idx="35" formatCode="##0.0E+00">
                  <c:v>17.459361830222758</c:v>
                </c:pt>
                <c:pt idx="36" formatCode="##0.0E+00">
                  <c:v>24.683925346177002</c:v>
                </c:pt>
                <c:pt idx="37" formatCode="##0.0E+00">
                  <c:v>31.155930162552679</c:v>
                </c:pt>
                <c:pt idx="38" formatCode="##0.0E+00">
                  <c:v>41.240216736905481</c:v>
                </c:pt>
                <c:pt idx="39" formatCode="##0.0E+00">
                  <c:v>48.464780252859725</c:v>
                </c:pt>
                <c:pt idx="40" formatCode="##0.0E+00">
                  <c:v>57.796508127633956</c:v>
                </c:pt>
                <c:pt idx="41" formatCode="##0.0E+00">
                  <c:v>69.084888621312459</c:v>
                </c:pt>
                <c:pt idx="42" formatCode="##0.0E+00">
                  <c:v>69.084888621312459</c:v>
                </c:pt>
                <c:pt idx="43" formatCode="##0.0E+00">
                  <c:v>120.71041541240217</c:v>
                </c:pt>
                <c:pt idx="44" formatCode="##0.0E+00">
                  <c:v>172.18543046357615</c:v>
                </c:pt>
                <c:pt idx="45" formatCode="##0.0E+00">
                  <c:v>172.33594220349187</c:v>
                </c:pt>
                <c:pt idx="46" formatCode="##0.0E+00">
                  <c:v>233.44370860927151</c:v>
                </c:pt>
                <c:pt idx="47" formatCode="##0.0E+00">
                  <c:v>295.0030102347983</c:v>
                </c:pt>
                <c:pt idx="48" formatCode="##0.0E+00">
                  <c:v>397.65201685731489</c:v>
                </c:pt>
                <c:pt idx="49" formatCode="##0.0E+00">
                  <c:v>408.78988561107764</c:v>
                </c:pt>
                <c:pt idx="50" formatCode="##0.0E+00">
                  <c:v>604.15412402167362</c:v>
                </c:pt>
                <c:pt idx="51" formatCode="##0.0E+00">
                  <c:v>762.64298615291989</c:v>
                </c:pt>
                <c:pt idx="52" formatCode="##0.0E+00">
                  <c:v>864.68994581577363</c:v>
                </c:pt>
                <c:pt idx="53" formatCode="##0.0E+00">
                  <c:v>1012.3419626730885</c:v>
                </c:pt>
                <c:pt idx="54" formatCode="##0.0E+00">
                  <c:v>1228.7778446718844</c:v>
                </c:pt>
                <c:pt idx="55">
                  <c:v>1450.9331727874774</c:v>
                </c:pt>
                <c:pt idx="56">
                  <c:v>1777.844671884407</c:v>
                </c:pt>
                <c:pt idx="57">
                  <c:v>2219.2956050571943</c:v>
                </c:pt>
                <c:pt idx="58">
                  <c:v>2605.6592414208308</c:v>
                </c:pt>
                <c:pt idx="59">
                  <c:v>2977.1222155328114</c:v>
                </c:pt>
                <c:pt idx="60">
                  <c:v>3379.4400963275134</c:v>
                </c:pt>
                <c:pt idx="61">
                  <c:v>3835.1896447922936</c:v>
                </c:pt>
                <c:pt idx="62">
                  <c:v>4495.0331125827815</c:v>
                </c:pt>
              </c:numCache>
            </c:numRef>
          </c:yVal>
          <c:smooth val="0"/>
        </c:ser>
        <c:ser>
          <c:idx val="6"/>
          <c:order val="9"/>
          <c:tx>
            <c:strRef>
              <c:f>myData!UKSeries</c:f>
              <c:strCache>
                <c:ptCount val="1"/>
                <c:pt idx="0">
                  <c:v>UK Limit 11.2 k</c:v>
                </c:pt>
              </c:strCache>
            </c:strRef>
          </c:tx>
          <c:spPr>
            <a:ln w="19050" cap="rnd">
              <a:solidFill>
                <a:schemeClr val="accent2">
                  <a:lumMod val="75000"/>
                </a:schemeClr>
              </a:solidFill>
              <a:prstDash val="sysDot"/>
              <a:round/>
            </a:ln>
            <a:effectLst/>
          </c:spPr>
          <c:marker>
            <c:symbol val="none"/>
          </c:marker>
          <c:xVal>
            <c:numRef>
              <c:f>myData!UKLogiDates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myData!UKLogi</c:f>
              <c:numCache>
                <c:formatCode>0</c:formatCode>
                <c:ptCount val="98"/>
                <c:pt idx="0">
                  <c:v>1.6394713045701451E-2</c:v>
                </c:pt>
                <c:pt idx="1">
                  <c:v>2.0300273623352568E-2</c:v>
                </c:pt>
                <c:pt idx="2">
                  <c:v>2.513621762483596E-2</c:v>
                </c:pt>
                <c:pt idx="3">
                  <c:v>3.1124180064646543E-2</c:v>
                </c:pt>
                <c:pt idx="4">
                  <c:v>3.8538593037630527E-2</c:v>
                </c:pt>
                <c:pt idx="5">
                  <c:v>4.771926252992257E-2</c:v>
                </c:pt>
                <c:pt idx="6">
                  <c:v>5.9086940987959448E-2</c:v>
                </c:pt>
                <c:pt idx="7">
                  <c:v>7.3162609136209672E-2</c:v>
                </c:pt>
                <c:pt idx="8">
                  <c:v>9.0591350416275321E-2</c:v>
                </c:pt>
                <c:pt idx="9">
                  <c:v>0.11217191172538585</c:v>
                </c:pt>
                <c:pt idx="10" formatCode="0.0">
                  <c:v>0.13889330446610954</c:v>
                </c:pt>
                <c:pt idx="11" formatCode="0.0">
                  <c:v>0.17198012216147326</c:v>
                </c:pt>
                <c:pt idx="12" formatCode="0.0">
                  <c:v>0.21294864973072</c:v>
                </c:pt>
                <c:pt idx="13" formatCode="0.0">
                  <c:v>0.26367633311943323</c:v>
                </c:pt>
                <c:pt idx="14" formatCode="0.0">
                  <c:v>0.32648778877108126</c:v>
                </c:pt>
                <c:pt idx="15" formatCode="0.0">
                  <c:v>0.40426128812519624</c:v>
                </c:pt>
                <c:pt idx="16" formatCode="0.0">
                  <c:v>0.50056058713054685</c:v>
                </c:pt>
                <c:pt idx="17" formatCode="0.0">
                  <c:v>0.61979812684708391</c:v>
                </c:pt>
                <c:pt idx="18" formatCode="0.0">
                  <c:v>0.76743706054231609</c:v>
                </c:pt>
                <c:pt idx="19" formatCode="0.0">
                  <c:v>0.95024132920995141</c:v>
                </c:pt>
                <c:pt idx="20" formatCode="0.0">
                  <c:v>1.1765851897160347</c:v>
                </c:pt>
                <c:pt idx="21" formatCode="0.0">
                  <c:v>1.456836294154068</c:v>
                </c:pt>
                <c:pt idx="22" formatCode="0.0">
                  <c:v>1.8038297433258359</c:v>
                </c:pt>
                <c:pt idx="23" formatCode="0.0">
                  <c:v>2.2334546352989726</c:v>
                </c:pt>
                <c:pt idx="24" formatCode="0.0">
                  <c:v>2.7653796763464915</c:v>
                </c:pt>
                <c:pt idx="25" formatCode="0.0">
                  <c:v>3.4239506273250937</c:v>
                </c:pt>
                <c:pt idx="26" formatCode="0.0">
                  <c:v>4.2392999771978745</c:v>
                </c:pt>
                <c:pt idx="27" formatCode="0.0">
                  <c:v>5.2487185688335396</c:v>
                </c:pt>
                <c:pt idx="28" formatCode="0.0">
                  <c:v>6.4983503058830658</c:v>
                </c:pt>
                <c:pt idx="29" formatCode="0.0">
                  <c:v>8.0452849556401276</c:v>
                </c:pt>
                <c:pt idx="30" formatCode="0.0">
                  <c:v>9.9601408991622016</c:v>
                </c:pt>
                <c:pt idx="31" formatCode="0.0">
                  <c:v>12.33024998114159</c:v>
                </c:pt>
                <c:pt idx="32" formatCode="0.0">
                  <c:v>15.263580917076496</c:v>
                </c:pt>
                <c:pt idx="33" formatCode="0.0">
                  <c:v>18.893566543100054</c:v>
                </c:pt>
                <c:pt idx="34" formatCode="0.0">
                  <c:v>23.385033962906551</c:v>
                </c:pt>
                <c:pt idx="35" formatCode="0.0">
                  <c:v>28.941475538388044</c:v>
                </c:pt>
                <c:pt idx="36" formatCode="0.0">
                  <c:v>35.813942408353284</c:v>
                </c:pt>
                <c:pt idx="37" formatCode="0.0">
                  <c:v>44.311889713398266</c:v>
                </c:pt>
                <c:pt idx="38" formatCode="0.0">
                  <c:v>54.816351507588429</c:v>
                </c:pt>
                <c:pt idx="39" formatCode="0.0">
                  <c:v>67.795868821417727</c:v>
                </c:pt>
                <c:pt idx="40" formatCode="0.0">
                  <c:v>83.825628484097436</c:v>
                </c:pt>
                <c:pt idx="41" formatCode="0.0">
                  <c:v>103.61027996207814</c:v>
                </c:pt>
                <c:pt idx="42" formatCode="0.0">
                  <c:v>128.01086192695243</c:v>
                </c:pt>
                <c:pt idx="43" formatCode="0.0">
                  <c:v>158.07615809794453</c:v>
                </c:pt>
                <c:pt idx="44" formatCode="0.0">
                  <c:v>195.07856700272814</c:v>
                </c:pt>
                <c:pt idx="45" formatCode="0.0">
                  <c:v>240.55414753897261</c:v>
                </c:pt>
                <c:pt idx="46" formatCode="0.0">
                  <c:v>296.34580376801972</c:v>
                </c:pt>
                <c:pt idx="47" formatCode="0.0">
                  <c:v>364.64748698878128</c:v>
                </c:pt>
                <c:pt idx="48" formatCode="0.0">
                  <c:v>448.0456928986485</c:v>
                </c:pt>
                <c:pt idx="49" formatCode="0.0">
                  <c:v>549.55229375108763</c:v>
                </c:pt>
                <c:pt idx="50" formatCode="0.0">
                  <c:v>672.61980067197101</c:v>
                </c:pt>
                <c:pt idx="51" formatCode="0.0">
                  <c:v>821.1265740074806</c:v>
                </c:pt>
                <c:pt idx="52" formatCode="0.0">
                  <c:v>999.31565197536906</c:v>
                </c:pt>
                <c:pt idx="53" formatCode="0.0">
                  <c:v>1211.6675974265554</c:v>
                </c:pt>
                <c:pt idx="54" formatCode="0.0">
                  <c:v>1462.6866100415684</c:v>
                </c:pt>
                <c:pt idx="55" formatCode="0.0">
                  <c:v>1756.582450245282</c:v>
                </c:pt>
                <c:pt idx="56" formatCode="0.0">
                  <c:v>2096.8413586092297</c:v>
                </c:pt>
                <c:pt idx="57" formatCode="0.0">
                  <c:v>2485.6996810482151</c:v>
                </c:pt>
                <c:pt idx="58" formatCode="0.0">
                  <c:v>2923.5647706382592</c:v>
                </c:pt>
                <c:pt idx="59" formatCode="0.0">
                  <c:v>3408.4648571893217</c:v>
                </c:pt>
                <c:pt idx="60" formatCode="0.0">
                  <c:v>3935.6424668727545</c:v>
                </c:pt>
                <c:pt idx="61" formatCode="0.0">
                  <c:v>4497.4185114322163</c:v>
                </c:pt>
                <c:pt idx="62" formatCode="0.000E+00">
                  <c:v>5083.43010968404</c:v>
                </c:pt>
                <c:pt idx="63" formatCode="0.000E+00">
                  <c:v>5681.278038767231</c:v>
                </c:pt>
                <c:pt idx="64" formatCode="0.000E+00">
                  <c:v>6277.5218466408705</c:v>
                </c:pt>
                <c:pt idx="65" formatCode="0.000E+00">
                  <c:v>9537.8604462936619</c:v>
                </c:pt>
                <c:pt idx="66" formatCode="0.000E+00">
                  <c:v>10794.102894719661</c:v>
                </c:pt>
                <c:pt idx="67" formatCode="0.000E+00">
                  <c:v>11122.373824810282</c:v>
                </c:pt>
                <c:pt idx="68" formatCode="0.000E+00">
                  <c:v>11198.691581068613</c:v>
                </c:pt>
                <c:pt idx="69" formatCode="0.000E+00">
                  <c:v>11215.937093692488</c:v>
                </c:pt>
                <c:pt idx="70" formatCode="0.000E+00">
                  <c:v>11219.808838453426</c:v>
                </c:pt>
                <c:pt idx="71" formatCode="0.000E+00">
                  <c:v>11220.676804317738</c:v>
                </c:pt>
                <c:pt idx="72" formatCode="0.000E+00">
                  <c:v>11220.87132071063</c:v>
                </c:pt>
                <c:pt idx="73" formatCode="0.000E+00">
                  <c:v>11220.914909806481</c:v>
                </c:pt>
                <c:pt idx="74" formatCode="0.000E+00">
                  <c:v>11220.924677507628</c:v>
                </c:pt>
                <c:pt idx="75" formatCode="0.000E+00">
                  <c:v>11220.926866303515</c:v>
                </c:pt>
                <c:pt idx="76" formatCode="0.000E+00">
                  <c:v>11220.927356779563</c:v>
                </c:pt>
                <c:pt idx="77" formatCode="0.000E+00">
                  <c:v>11220.927466687806</c:v>
                </c:pt>
                <c:pt idx="78" formatCode="0.000E+00">
                  <c:v>11220.927491316577</c:v>
                </c:pt>
                <c:pt idx="79" formatCode="0.000E+00">
                  <c:v>11220.927496835509</c:v>
                </c:pt>
                <c:pt idx="80" formatCode="0.000E+00">
                  <c:v>11220.927498072218</c:v>
                </c:pt>
                <c:pt idx="81" formatCode="0.000E+00">
                  <c:v>11220.927498349347</c:v>
                </c:pt>
                <c:pt idx="82" formatCode="0.000E+00">
                  <c:v>11220.927498411445</c:v>
                </c:pt>
                <c:pt idx="83" formatCode="0.000E+00">
                  <c:v>11220.927498425361</c:v>
                </c:pt>
                <c:pt idx="84" formatCode="0.000E+00">
                  <c:v>11220.92749842848</c:v>
                </c:pt>
                <c:pt idx="85" formatCode="0.000E+00">
                  <c:v>11220.927498429179</c:v>
                </c:pt>
                <c:pt idx="86" formatCode="0.000E+00">
                  <c:v>11220.927498429335</c:v>
                </c:pt>
                <c:pt idx="87" formatCode="0.000E+00">
                  <c:v>11220.927498429372</c:v>
                </c:pt>
                <c:pt idx="88" formatCode="0.000E+00">
                  <c:v>11220.927498429379</c:v>
                </c:pt>
                <c:pt idx="89" formatCode="0.000E+00">
                  <c:v>11220.927498429379</c:v>
                </c:pt>
                <c:pt idx="90" formatCode="0.000E+00">
                  <c:v>11220.927498429379</c:v>
                </c:pt>
                <c:pt idx="91" formatCode="0.000E+00">
                  <c:v>11220.927498429379</c:v>
                </c:pt>
                <c:pt idx="92" formatCode="0.000E+00">
                  <c:v>11220.927498429379</c:v>
                </c:pt>
                <c:pt idx="93" formatCode="0.000E+00">
                  <c:v>11220.927498429379</c:v>
                </c:pt>
                <c:pt idx="94" formatCode="0.000E+00">
                  <c:v>11220.927498429379</c:v>
                </c:pt>
                <c:pt idx="95" formatCode="0.000E+00">
                  <c:v>11220.927498429379</c:v>
                </c:pt>
                <c:pt idx="96" formatCode="0.000E+00">
                  <c:v>11220.927498429379</c:v>
                </c:pt>
                <c:pt idx="97" formatCode="0.000E+00">
                  <c:v>11220.927498429379</c:v>
                </c:pt>
              </c:numCache>
            </c:numRef>
          </c:yVal>
          <c:smooth val="0"/>
        </c:ser>
        <c:dLbls>
          <c:showLegendKey val="0"/>
          <c:showVal val="0"/>
          <c:showCatName val="0"/>
          <c:showSerName val="0"/>
          <c:showPercent val="0"/>
          <c:showBubbleSize val="0"/>
        </c:dLbls>
        <c:axId val="751232560"/>
        <c:axId val="751232952"/>
      </c:scatterChart>
      <c:valAx>
        <c:axId val="751232560"/>
        <c:scaling>
          <c:orientation val="minMax"/>
          <c:max val="43952"/>
          <c:min val="43852"/>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2952"/>
        <c:crossesAt val="1.0000000000000002E-2"/>
        <c:crossBetween val="midCat"/>
        <c:majorUnit val="7"/>
        <c:minorUnit val="1"/>
      </c:valAx>
      <c:valAx>
        <c:axId val="751232952"/>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2560"/>
        <c:crosses val="autoZero"/>
        <c:crossBetween val="midCat"/>
      </c:valAx>
      <c:spPr>
        <a:noFill/>
        <a:ln>
          <a:noFill/>
        </a:ln>
        <a:effectLst/>
      </c:spPr>
    </c:plotArea>
    <c:legend>
      <c:legendPos val="b"/>
      <c:layout>
        <c:manualLayout>
          <c:xMode val="edge"/>
          <c:yMode val="edge"/>
          <c:x val="0.59089354390468662"/>
          <c:y val="0.67728075969062929"/>
          <c:w val="0.40090796657555433"/>
          <c:h val="0.2160644258417659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myData!$DU$17</c:f>
          <c:strCache>
            <c:ptCount val="1"/>
            <c:pt idx="0">
              <c:v>COVID19 UK P(t) = b / {d+[( b/Po - d ) ]* exp(-b*t)}
b=0.214, d=2.87E-06, P0=.001, r2=999.E-3, Limit=11.2 k=&gt;74.6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UK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myData!UKDates</c:f>
              <c:numCache>
                <c:formatCode>m/d/yyyy</c:formatCode>
                <c:ptCount val="63"/>
                <c:pt idx="0">
                  <c:v>43860</c:v>
                </c:pt>
                <c:pt idx="1">
                  <c:v>43861</c:v>
                </c:pt>
                <c:pt idx="2">
                  <c:v>43862</c:v>
                </c:pt>
                <c:pt idx="3">
                  <c:v>43863</c:v>
                </c:pt>
                <c:pt idx="4">
                  <c:v>43864</c:v>
                </c:pt>
                <c:pt idx="5">
                  <c:v>43865</c:v>
                </c:pt>
                <c:pt idx="6">
                  <c:v>43866</c:v>
                </c:pt>
                <c:pt idx="7">
                  <c:v>43867</c:v>
                </c:pt>
                <c:pt idx="8">
                  <c:v>43868</c:v>
                </c:pt>
                <c:pt idx="9">
                  <c:v>43869</c:v>
                </c:pt>
                <c:pt idx="10">
                  <c:v>43870</c:v>
                </c:pt>
                <c:pt idx="11">
                  <c:v>43871</c:v>
                </c:pt>
                <c:pt idx="12">
                  <c:v>43872</c:v>
                </c:pt>
                <c:pt idx="13">
                  <c:v>43873</c:v>
                </c:pt>
                <c:pt idx="14">
                  <c:v>43874</c:v>
                </c:pt>
                <c:pt idx="15">
                  <c:v>43875</c:v>
                </c:pt>
                <c:pt idx="16">
                  <c:v>43876</c:v>
                </c:pt>
                <c:pt idx="17">
                  <c:v>43877</c:v>
                </c:pt>
                <c:pt idx="18">
                  <c:v>43878</c:v>
                </c:pt>
                <c:pt idx="19">
                  <c:v>43879</c:v>
                </c:pt>
                <c:pt idx="20">
                  <c:v>43880</c:v>
                </c:pt>
                <c:pt idx="21">
                  <c:v>43881</c:v>
                </c:pt>
                <c:pt idx="22">
                  <c:v>43882</c:v>
                </c:pt>
                <c:pt idx="23">
                  <c:v>43883</c:v>
                </c:pt>
                <c:pt idx="24">
                  <c:v>43884</c:v>
                </c:pt>
                <c:pt idx="25">
                  <c:v>43885</c:v>
                </c:pt>
                <c:pt idx="26">
                  <c:v>43886</c:v>
                </c:pt>
                <c:pt idx="27">
                  <c:v>43887</c:v>
                </c:pt>
                <c:pt idx="28">
                  <c:v>43888</c:v>
                </c:pt>
                <c:pt idx="29">
                  <c:v>43889</c:v>
                </c:pt>
                <c:pt idx="30">
                  <c:v>43890</c:v>
                </c:pt>
                <c:pt idx="31">
                  <c:v>43891</c:v>
                </c:pt>
                <c:pt idx="32">
                  <c:v>43892</c:v>
                </c:pt>
                <c:pt idx="33">
                  <c:v>43893</c:v>
                </c:pt>
                <c:pt idx="34">
                  <c:v>43894</c:v>
                </c:pt>
                <c:pt idx="35">
                  <c:v>43895</c:v>
                </c:pt>
                <c:pt idx="36">
                  <c:v>43896</c:v>
                </c:pt>
                <c:pt idx="37">
                  <c:v>43897</c:v>
                </c:pt>
                <c:pt idx="38">
                  <c:v>43898</c:v>
                </c:pt>
                <c:pt idx="39">
                  <c:v>43899</c:v>
                </c:pt>
                <c:pt idx="40">
                  <c:v>43900</c:v>
                </c:pt>
                <c:pt idx="41">
                  <c:v>43901</c:v>
                </c:pt>
                <c:pt idx="42">
                  <c:v>43902</c:v>
                </c:pt>
                <c:pt idx="43">
                  <c:v>43903</c:v>
                </c:pt>
                <c:pt idx="44">
                  <c:v>43904</c:v>
                </c:pt>
                <c:pt idx="45">
                  <c:v>43905</c:v>
                </c:pt>
                <c:pt idx="46">
                  <c:v>43906</c:v>
                </c:pt>
                <c:pt idx="47">
                  <c:v>43907</c:v>
                </c:pt>
                <c:pt idx="48">
                  <c:v>43908</c:v>
                </c:pt>
                <c:pt idx="49">
                  <c:v>43909</c:v>
                </c:pt>
                <c:pt idx="50">
                  <c:v>43910</c:v>
                </c:pt>
                <c:pt idx="51">
                  <c:v>43911</c:v>
                </c:pt>
                <c:pt idx="52">
                  <c:v>43912</c:v>
                </c:pt>
                <c:pt idx="53">
                  <c:v>43913</c:v>
                </c:pt>
                <c:pt idx="54">
                  <c:v>43914</c:v>
                </c:pt>
                <c:pt idx="55">
                  <c:v>43915</c:v>
                </c:pt>
                <c:pt idx="56">
                  <c:v>43916</c:v>
                </c:pt>
                <c:pt idx="57">
                  <c:v>43917</c:v>
                </c:pt>
                <c:pt idx="58">
                  <c:v>43918</c:v>
                </c:pt>
                <c:pt idx="59">
                  <c:v>43919</c:v>
                </c:pt>
                <c:pt idx="60">
                  <c:v>43920</c:v>
                </c:pt>
                <c:pt idx="61">
                  <c:v>43921</c:v>
                </c:pt>
                <c:pt idx="62">
                  <c:v>43922</c:v>
                </c:pt>
              </c:numCache>
            </c:numRef>
          </c:xVal>
          <c:yVal>
            <c:numRef>
              <c:f>myData!UKCases</c:f>
              <c:numCache>
                <c:formatCode>0.000</c:formatCode>
                <c:ptCount val="63"/>
                <c:pt idx="0">
                  <c:v>0</c:v>
                </c:pt>
                <c:pt idx="1">
                  <c:v>0.30102347983142685</c:v>
                </c:pt>
                <c:pt idx="2">
                  <c:v>0.30102347983142685</c:v>
                </c:pt>
                <c:pt idx="3">
                  <c:v>0.30102347983142685</c:v>
                </c:pt>
                <c:pt idx="4">
                  <c:v>0.30102347983142685</c:v>
                </c:pt>
                <c:pt idx="5">
                  <c:v>0.30102347983142685</c:v>
                </c:pt>
                <c:pt idx="6">
                  <c:v>0.30102347983142685</c:v>
                </c:pt>
                <c:pt idx="7">
                  <c:v>0.30102347983142685</c:v>
                </c:pt>
                <c:pt idx="8">
                  <c:v>0.45153521974714028</c:v>
                </c:pt>
                <c:pt idx="9">
                  <c:v>0.45153521974714028</c:v>
                </c:pt>
                <c:pt idx="10">
                  <c:v>0.45153521974714028</c:v>
                </c:pt>
                <c:pt idx="11">
                  <c:v>1.2040939193257074</c:v>
                </c:pt>
                <c:pt idx="12">
                  <c:v>1.2040939193257074</c:v>
                </c:pt>
                <c:pt idx="13">
                  <c:v>1.3546056592414208</c:v>
                </c:pt>
                <c:pt idx="14">
                  <c:v>1.3546056592414208</c:v>
                </c:pt>
                <c:pt idx="15">
                  <c:v>1.3546056592414208</c:v>
                </c:pt>
                <c:pt idx="16">
                  <c:v>1.3546056592414208</c:v>
                </c:pt>
                <c:pt idx="17">
                  <c:v>1.3546056592414208</c:v>
                </c:pt>
                <c:pt idx="18">
                  <c:v>1.3546056592414208</c:v>
                </c:pt>
                <c:pt idx="19">
                  <c:v>1.3546056592414208</c:v>
                </c:pt>
                <c:pt idx="20">
                  <c:v>1.3546056592414208</c:v>
                </c:pt>
                <c:pt idx="21">
                  <c:v>1.3546056592414208</c:v>
                </c:pt>
                <c:pt idx="22">
                  <c:v>1.3546056592414208</c:v>
                </c:pt>
                <c:pt idx="23">
                  <c:v>1.3546056592414208</c:v>
                </c:pt>
                <c:pt idx="24" formatCode="##0.0E+00">
                  <c:v>1.3546056592414208</c:v>
                </c:pt>
                <c:pt idx="25" formatCode="##0.0E+00">
                  <c:v>1.9566526189042746</c:v>
                </c:pt>
                <c:pt idx="26" formatCode="##0.0E+00">
                  <c:v>1.9566526189042746</c:v>
                </c:pt>
                <c:pt idx="27" formatCode="##0.0E+00">
                  <c:v>1.9566526189042746</c:v>
                </c:pt>
                <c:pt idx="28" formatCode="##0.0E+00">
                  <c:v>2.2576760987357014</c:v>
                </c:pt>
                <c:pt idx="29" formatCode="##0.0E+00">
                  <c:v>3.0102347983142685</c:v>
                </c:pt>
                <c:pt idx="30" formatCode="##0.0E+00">
                  <c:v>3.4617700180614088</c:v>
                </c:pt>
                <c:pt idx="31" formatCode="##0.0E+00">
                  <c:v>5.4184226369656834</c:v>
                </c:pt>
                <c:pt idx="32" formatCode="##0.0E+00">
                  <c:v>6.0204695966285371</c:v>
                </c:pt>
                <c:pt idx="33" formatCode="##0.0E+00">
                  <c:v>7.6760987357013848</c:v>
                </c:pt>
                <c:pt idx="34" formatCode="##0.0E+00">
                  <c:v>12.944009632751355</c:v>
                </c:pt>
                <c:pt idx="35" formatCode="##0.0E+00">
                  <c:v>17.459361830222758</c:v>
                </c:pt>
                <c:pt idx="36" formatCode="##0.0E+00">
                  <c:v>24.683925346177002</c:v>
                </c:pt>
                <c:pt idx="37" formatCode="##0.0E+00">
                  <c:v>31.155930162552679</c:v>
                </c:pt>
                <c:pt idx="38" formatCode="##0.0E+00">
                  <c:v>41.240216736905481</c:v>
                </c:pt>
                <c:pt idx="39" formatCode="##0.0E+00">
                  <c:v>48.464780252859725</c:v>
                </c:pt>
                <c:pt idx="40" formatCode="##0.0E+00">
                  <c:v>57.796508127633956</c:v>
                </c:pt>
                <c:pt idx="41" formatCode="##0.0E+00">
                  <c:v>69.084888621312459</c:v>
                </c:pt>
                <c:pt idx="42" formatCode="##0.0E+00">
                  <c:v>69.084888621312459</c:v>
                </c:pt>
                <c:pt idx="43" formatCode="##0.0E+00">
                  <c:v>120.71041541240217</c:v>
                </c:pt>
                <c:pt idx="44" formatCode="##0.0E+00">
                  <c:v>172.18543046357615</c:v>
                </c:pt>
                <c:pt idx="45" formatCode="##0.0E+00">
                  <c:v>172.33594220349187</c:v>
                </c:pt>
                <c:pt idx="46" formatCode="##0.0E+00">
                  <c:v>233.44370860927151</c:v>
                </c:pt>
                <c:pt idx="47" formatCode="##0.0E+00">
                  <c:v>295.0030102347983</c:v>
                </c:pt>
                <c:pt idx="48" formatCode="##0.0E+00">
                  <c:v>397.65201685731489</c:v>
                </c:pt>
                <c:pt idx="49" formatCode="##0.0E+00">
                  <c:v>408.78988561107764</c:v>
                </c:pt>
                <c:pt idx="50" formatCode="##0.0E+00">
                  <c:v>604.15412402167362</c:v>
                </c:pt>
                <c:pt idx="51" formatCode="##0.0E+00">
                  <c:v>762.64298615291989</c:v>
                </c:pt>
                <c:pt idx="52" formatCode="##0.0E+00">
                  <c:v>864.68994581577363</c:v>
                </c:pt>
                <c:pt idx="53" formatCode="##0.0E+00">
                  <c:v>1012.3419626730885</c:v>
                </c:pt>
                <c:pt idx="54" formatCode="##0.0E+00">
                  <c:v>1228.7778446718844</c:v>
                </c:pt>
                <c:pt idx="55">
                  <c:v>1450.9331727874774</c:v>
                </c:pt>
                <c:pt idx="56">
                  <c:v>1777.844671884407</c:v>
                </c:pt>
                <c:pt idx="57">
                  <c:v>2219.2956050571943</c:v>
                </c:pt>
                <c:pt idx="58">
                  <c:v>2605.6592414208308</c:v>
                </c:pt>
                <c:pt idx="59">
                  <c:v>2977.1222155328114</c:v>
                </c:pt>
                <c:pt idx="60">
                  <c:v>3379.4400963275134</c:v>
                </c:pt>
                <c:pt idx="61">
                  <c:v>3835.1896447922936</c:v>
                </c:pt>
                <c:pt idx="62">
                  <c:v>4495.0331125827815</c:v>
                </c:pt>
              </c:numCache>
            </c:numRef>
          </c:yVal>
          <c:smooth val="0"/>
        </c:ser>
        <c:ser>
          <c:idx val="0"/>
          <c:order val="1"/>
          <c:tx>
            <c:strRef>
              <c:f>myData!UKSeries</c:f>
              <c:strCache>
                <c:ptCount val="1"/>
                <c:pt idx="0">
                  <c:v>UK Limit 11.2 k</c:v>
                </c:pt>
              </c:strCache>
            </c:strRef>
          </c:tx>
          <c:spPr>
            <a:ln w="19050" cap="rnd">
              <a:solidFill>
                <a:schemeClr val="accent1"/>
              </a:solidFill>
              <a:prstDash val="sysDash"/>
              <a:round/>
            </a:ln>
            <a:effectLst/>
          </c:spPr>
          <c:marker>
            <c:symbol val="none"/>
          </c:marker>
          <c:xVal>
            <c:numRef>
              <c:f>myData!UKLogiDates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myData!UKLogi</c:f>
              <c:numCache>
                <c:formatCode>0</c:formatCode>
                <c:ptCount val="98"/>
                <c:pt idx="0">
                  <c:v>1.6394713045701451E-2</c:v>
                </c:pt>
                <c:pt idx="1">
                  <c:v>2.0300273623352568E-2</c:v>
                </c:pt>
                <c:pt idx="2">
                  <c:v>2.513621762483596E-2</c:v>
                </c:pt>
                <c:pt idx="3">
                  <c:v>3.1124180064646543E-2</c:v>
                </c:pt>
                <c:pt idx="4">
                  <c:v>3.8538593037630527E-2</c:v>
                </c:pt>
                <c:pt idx="5">
                  <c:v>4.771926252992257E-2</c:v>
                </c:pt>
                <c:pt idx="6">
                  <c:v>5.9086940987959448E-2</c:v>
                </c:pt>
                <c:pt idx="7">
                  <c:v>7.3162609136209672E-2</c:v>
                </c:pt>
                <c:pt idx="8">
                  <c:v>9.0591350416275321E-2</c:v>
                </c:pt>
                <c:pt idx="9">
                  <c:v>0.11217191172538585</c:v>
                </c:pt>
                <c:pt idx="10" formatCode="0.0">
                  <c:v>0.13889330446610954</c:v>
                </c:pt>
                <c:pt idx="11" formatCode="0.0">
                  <c:v>0.17198012216147326</c:v>
                </c:pt>
                <c:pt idx="12" formatCode="0.0">
                  <c:v>0.21294864973072</c:v>
                </c:pt>
                <c:pt idx="13" formatCode="0.0">
                  <c:v>0.26367633311943323</c:v>
                </c:pt>
                <c:pt idx="14" formatCode="0.0">
                  <c:v>0.32648778877108126</c:v>
                </c:pt>
                <c:pt idx="15" formatCode="0.0">
                  <c:v>0.40426128812519624</c:v>
                </c:pt>
                <c:pt idx="16" formatCode="0.0">
                  <c:v>0.50056058713054685</c:v>
                </c:pt>
                <c:pt idx="17" formatCode="0.0">
                  <c:v>0.61979812684708391</c:v>
                </c:pt>
                <c:pt idx="18" formatCode="0.0">
                  <c:v>0.76743706054231609</c:v>
                </c:pt>
                <c:pt idx="19" formatCode="0.0">
                  <c:v>0.95024132920995141</c:v>
                </c:pt>
                <c:pt idx="20" formatCode="0.0">
                  <c:v>1.1765851897160347</c:v>
                </c:pt>
                <c:pt idx="21" formatCode="0.0">
                  <c:v>1.456836294154068</c:v>
                </c:pt>
                <c:pt idx="22" formatCode="0.0">
                  <c:v>1.8038297433258359</c:v>
                </c:pt>
                <c:pt idx="23" formatCode="0.0">
                  <c:v>2.2334546352989726</c:v>
                </c:pt>
                <c:pt idx="24" formatCode="0.0">
                  <c:v>2.7653796763464915</c:v>
                </c:pt>
                <c:pt idx="25" formatCode="0.0">
                  <c:v>3.4239506273250937</c:v>
                </c:pt>
                <c:pt idx="26" formatCode="0.0">
                  <c:v>4.2392999771978745</c:v>
                </c:pt>
                <c:pt idx="27" formatCode="0.0">
                  <c:v>5.2487185688335396</c:v>
                </c:pt>
                <c:pt idx="28" formatCode="0.0">
                  <c:v>6.4983503058830658</c:v>
                </c:pt>
                <c:pt idx="29" formatCode="0.0">
                  <c:v>8.0452849556401276</c:v>
                </c:pt>
                <c:pt idx="30" formatCode="0.0">
                  <c:v>9.9601408991622016</c:v>
                </c:pt>
                <c:pt idx="31" formatCode="0.0">
                  <c:v>12.33024998114159</c:v>
                </c:pt>
                <c:pt idx="32" formatCode="0.0">
                  <c:v>15.263580917076496</c:v>
                </c:pt>
                <c:pt idx="33" formatCode="0.0">
                  <c:v>18.893566543100054</c:v>
                </c:pt>
                <c:pt idx="34" formatCode="0.0">
                  <c:v>23.385033962906551</c:v>
                </c:pt>
                <c:pt idx="35" formatCode="0.0">
                  <c:v>28.941475538388044</c:v>
                </c:pt>
                <c:pt idx="36" formatCode="0.0">
                  <c:v>35.813942408353284</c:v>
                </c:pt>
                <c:pt idx="37" formatCode="0.0">
                  <c:v>44.311889713398266</c:v>
                </c:pt>
                <c:pt idx="38" formatCode="0.0">
                  <c:v>54.816351507588429</c:v>
                </c:pt>
                <c:pt idx="39" formatCode="0.0">
                  <c:v>67.795868821417727</c:v>
                </c:pt>
                <c:pt idx="40" formatCode="0.0">
                  <c:v>83.825628484097436</c:v>
                </c:pt>
                <c:pt idx="41" formatCode="0.0">
                  <c:v>103.61027996207814</c:v>
                </c:pt>
                <c:pt idx="42" formatCode="0.0">
                  <c:v>128.01086192695243</c:v>
                </c:pt>
                <c:pt idx="43" formatCode="0.0">
                  <c:v>158.07615809794453</c:v>
                </c:pt>
                <c:pt idx="44" formatCode="0.0">
                  <c:v>195.07856700272814</c:v>
                </c:pt>
                <c:pt idx="45" formatCode="0.0">
                  <c:v>240.55414753897261</c:v>
                </c:pt>
                <c:pt idx="46" formatCode="0.0">
                  <c:v>296.34580376801972</c:v>
                </c:pt>
                <c:pt idx="47" formatCode="0.0">
                  <c:v>364.64748698878128</c:v>
                </c:pt>
                <c:pt idx="48" formatCode="0.0">
                  <c:v>448.0456928986485</c:v>
                </c:pt>
                <c:pt idx="49" formatCode="0.0">
                  <c:v>549.55229375108763</c:v>
                </c:pt>
                <c:pt idx="50" formatCode="0.0">
                  <c:v>672.61980067197101</c:v>
                </c:pt>
                <c:pt idx="51" formatCode="0.0">
                  <c:v>821.1265740074806</c:v>
                </c:pt>
                <c:pt idx="52" formatCode="0.0">
                  <c:v>999.31565197536906</c:v>
                </c:pt>
                <c:pt idx="53" formatCode="0.0">
                  <c:v>1211.6675974265554</c:v>
                </c:pt>
                <c:pt idx="54" formatCode="0.0">
                  <c:v>1462.6866100415684</c:v>
                </c:pt>
                <c:pt idx="55" formatCode="0.0">
                  <c:v>1756.582450245282</c:v>
                </c:pt>
                <c:pt idx="56" formatCode="0.0">
                  <c:v>2096.8413586092297</c:v>
                </c:pt>
                <c:pt idx="57" formatCode="0.0">
                  <c:v>2485.6996810482151</c:v>
                </c:pt>
                <c:pt idx="58" formatCode="0.0">
                  <c:v>2923.5647706382592</c:v>
                </c:pt>
                <c:pt idx="59" formatCode="0.0">
                  <c:v>3408.4648571893217</c:v>
                </c:pt>
                <c:pt idx="60" formatCode="0.0">
                  <c:v>3935.6424668727545</c:v>
                </c:pt>
                <c:pt idx="61" formatCode="0.0">
                  <c:v>4497.4185114322163</c:v>
                </c:pt>
                <c:pt idx="62" formatCode="0.000E+00">
                  <c:v>5083.43010968404</c:v>
                </c:pt>
                <c:pt idx="63" formatCode="0.000E+00">
                  <c:v>5681.278038767231</c:v>
                </c:pt>
                <c:pt idx="64" formatCode="0.000E+00">
                  <c:v>6277.5218466408705</c:v>
                </c:pt>
                <c:pt idx="65" formatCode="0.000E+00">
                  <c:v>9537.8604462936619</c:v>
                </c:pt>
                <c:pt idx="66" formatCode="0.000E+00">
                  <c:v>10794.102894719661</c:v>
                </c:pt>
                <c:pt idx="67" formatCode="0.000E+00">
                  <c:v>11122.373824810282</c:v>
                </c:pt>
                <c:pt idx="68" formatCode="0.000E+00">
                  <c:v>11198.691581068613</c:v>
                </c:pt>
                <c:pt idx="69" formatCode="0.000E+00">
                  <c:v>11215.937093692488</c:v>
                </c:pt>
                <c:pt idx="70" formatCode="0.000E+00">
                  <c:v>11219.808838453426</c:v>
                </c:pt>
                <c:pt idx="71" formatCode="0.000E+00">
                  <c:v>11220.676804317738</c:v>
                </c:pt>
                <c:pt idx="72" formatCode="0.000E+00">
                  <c:v>11220.87132071063</c:v>
                </c:pt>
                <c:pt idx="73" formatCode="0.000E+00">
                  <c:v>11220.914909806481</c:v>
                </c:pt>
                <c:pt idx="74" formatCode="0.000E+00">
                  <c:v>11220.924677507628</c:v>
                </c:pt>
                <c:pt idx="75" formatCode="0.000E+00">
                  <c:v>11220.926866303515</c:v>
                </c:pt>
                <c:pt idx="76" formatCode="0.000E+00">
                  <c:v>11220.927356779563</c:v>
                </c:pt>
                <c:pt idx="77" formatCode="0.000E+00">
                  <c:v>11220.927466687806</c:v>
                </c:pt>
                <c:pt idx="78" formatCode="0.000E+00">
                  <c:v>11220.927491316577</c:v>
                </c:pt>
                <c:pt idx="79" formatCode="0.000E+00">
                  <c:v>11220.927496835509</c:v>
                </c:pt>
                <c:pt idx="80" formatCode="0.000E+00">
                  <c:v>11220.927498072218</c:v>
                </c:pt>
                <c:pt idx="81" formatCode="0.000E+00">
                  <c:v>11220.927498349347</c:v>
                </c:pt>
                <c:pt idx="82" formatCode="0.000E+00">
                  <c:v>11220.927498411445</c:v>
                </c:pt>
                <c:pt idx="83" formatCode="0.000E+00">
                  <c:v>11220.927498425361</c:v>
                </c:pt>
                <c:pt idx="84" formatCode="0.000E+00">
                  <c:v>11220.92749842848</c:v>
                </c:pt>
                <c:pt idx="85" formatCode="0.000E+00">
                  <c:v>11220.927498429179</c:v>
                </c:pt>
                <c:pt idx="86" formatCode="0.000E+00">
                  <c:v>11220.927498429335</c:v>
                </c:pt>
                <c:pt idx="87" formatCode="0.000E+00">
                  <c:v>11220.927498429372</c:v>
                </c:pt>
                <c:pt idx="88" formatCode="0.000E+00">
                  <c:v>11220.927498429379</c:v>
                </c:pt>
                <c:pt idx="89" formatCode="0.000E+00">
                  <c:v>11220.927498429379</c:v>
                </c:pt>
                <c:pt idx="90" formatCode="0.000E+00">
                  <c:v>11220.927498429379</c:v>
                </c:pt>
                <c:pt idx="91" formatCode="0.000E+00">
                  <c:v>11220.927498429379</c:v>
                </c:pt>
                <c:pt idx="92" formatCode="0.000E+00">
                  <c:v>11220.927498429379</c:v>
                </c:pt>
                <c:pt idx="93" formatCode="0.000E+00">
                  <c:v>11220.927498429379</c:v>
                </c:pt>
                <c:pt idx="94" formatCode="0.000E+00">
                  <c:v>11220.927498429379</c:v>
                </c:pt>
                <c:pt idx="95" formatCode="0.000E+00">
                  <c:v>11220.927498429379</c:v>
                </c:pt>
                <c:pt idx="96" formatCode="0.000E+00">
                  <c:v>11220.927498429379</c:v>
                </c:pt>
                <c:pt idx="97" formatCode="0.000E+00">
                  <c:v>11220.927498429379</c:v>
                </c:pt>
              </c:numCache>
            </c:numRef>
          </c:yVal>
          <c:smooth val="0"/>
        </c:ser>
        <c:dLbls>
          <c:showLegendKey val="0"/>
          <c:showVal val="0"/>
          <c:showCatName val="0"/>
          <c:showSerName val="0"/>
          <c:showPercent val="0"/>
          <c:showBubbleSize val="0"/>
        </c:dLbls>
        <c:axId val="751223936"/>
        <c:axId val="751224328"/>
      </c:scatterChart>
      <c:valAx>
        <c:axId val="751223936"/>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4328"/>
        <c:crossesAt val="0.1"/>
        <c:crossBetween val="midCat"/>
        <c:majorUnit val="14"/>
        <c:minorUnit val="7"/>
      </c:valAx>
      <c:valAx>
        <c:axId val="751224328"/>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3936"/>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myData!$DU$16</c:f>
          <c:strCache>
            <c:ptCount val="1"/>
            <c:pt idx="0">
              <c:v>COVID19 Skorea P(t) = b / {d+[( b/Po - d ) ]* exp(-b*t)}
b=0.261, d=2.89E-05, P0=.001, r2=991.7E-3, Limit=1.76 k=&gt;9.04 k cases , log fit from 19th Feb 
 (Fit: Wed 19-Feb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21155919046030849"/>
          <c:w val="0.43460159270882204"/>
          <c:h val="0.65628108641116001"/>
        </c:manualLayout>
      </c:layout>
      <c:scatterChart>
        <c:scatterStyle val="lineMarker"/>
        <c:varyColors val="0"/>
        <c:ser>
          <c:idx val="1"/>
          <c:order val="0"/>
          <c:tx>
            <c:v>Skorea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myData!SKoreaDates</c:f>
              <c:numCache>
                <c:formatCode>m/d/yyyy</c:formatCode>
                <c:ptCount val="43"/>
                <c:pt idx="0">
                  <c:v>43880</c:v>
                </c:pt>
                <c:pt idx="1">
                  <c:v>43881</c:v>
                </c:pt>
                <c:pt idx="2">
                  <c:v>43882</c:v>
                </c:pt>
                <c:pt idx="3">
                  <c:v>43883</c:v>
                </c:pt>
                <c:pt idx="4">
                  <c:v>43884</c:v>
                </c:pt>
                <c:pt idx="5">
                  <c:v>43885</c:v>
                </c:pt>
                <c:pt idx="6">
                  <c:v>43886</c:v>
                </c:pt>
                <c:pt idx="7">
                  <c:v>43887</c:v>
                </c:pt>
                <c:pt idx="8">
                  <c:v>43888</c:v>
                </c:pt>
                <c:pt idx="9">
                  <c:v>43889</c:v>
                </c:pt>
                <c:pt idx="10">
                  <c:v>43890</c:v>
                </c:pt>
                <c:pt idx="11">
                  <c:v>43891</c:v>
                </c:pt>
                <c:pt idx="12">
                  <c:v>43892</c:v>
                </c:pt>
                <c:pt idx="13">
                  <c:v>43893</c:v>
                </c:pt>
                <c:pt idx="14">
                  <c:v>43894</c:v>
                </c:pt>
                <c:pt idx="15">
                  <c:v>43895</c:v>
                </c:pt>
                <c:pt idx="16">
                  <c:v>43896</c:v>
                </c:pt>
                <c:pt idx="17">
                  <c:v>43897</c:v>
                </c:pt>
                <c:pt idx="18">
                  <c:v>43898</c:v>
                </c:pt>
                <c:pt idx="19">
                  <c:v>43899</c:v>
                </c:pt>
                <c:pt idx="20">
                  <c:v>43900</c:v>
                </c:pt>
                <c:pt idx="21">
                  <c:v>43901</c:v>
                </c:pt>
                <c:pt idx="22">
                  <c:v>43902</c:v>
                </c:pt>
                <c:pt idx="23">
                  <c:v>43903</c:v>
                </c:pt>
                <c:pt idx="24">
                  <c:v>43904</c:v>
                </c:pt>
                <c:pt idx="25">
                  <c:v>43905</c:v>
                </c:pt>
                <c:pt idx="26">
                  <c:v>43906</c:v>
                </c:pt>
                <c:pt idx="27">
                  <c:v>43907</c:v>
                </c:pt>
                <c:pt idx="28">
                  <c:v>43908</c:v>
                </c:pt>
                <c:pt idx="29">
                  <c:v>43909</c:v>
                </c:pt>
                <c:pt idx="30">
                  <c:v>43910</c:v>
                </c:pt>
                <c:pt idx="31">
                  <c:v>43911</c:v>
                </c:pt>
                <c:pt idx="32">
                  <c:v>43912</c:v>
                </c:pt>
                <c:pt idx="33">
                  <c:v>43913</c:v>
                </c:pt>
                <c:pt idx="34">
                  <c:v>43914</c:v>
                </c:pt>
                <c:pt idx="35">
                  <c:v>43915</c:v>
                </c:pt>
                <c:pt idx="36">
                  <c:v>43916</c:v>
                </c:pt>
                <c:pt idx="37">
                  <c:v>43917</c:v>
                </c:pt>
                <c:pt idx="38">
                  <c:v>43918</c:v>
                </c:pt>
                <c:pt idx="39">
                  <c:v>43919</c:v>
                </c:pt>
                <c:pt idx="40">
                  <c:v>43920</c:v>
                </c:pt>
                <c:pt idx="41">
                  <c:v>43921</c:v>
                </c:pt>
                <c:pt idx="42">
                  <c:v>43922</c:v>
                </c:pt>
              </c:numCache>
            </c:numRef>
          </c:xVal>
          <c:yVal>
            <c:numRef>
              <c:f>myData!SKoreaCases</c:f>
              <c:numCache>
                <c:formatCode>0.00</c:formatCode>
                <c:ptCount val="43"/>
                <c:pt idx="0">
                  <c:v>6.0311284046692615</c:v>
                </c:pt>
                <c:pt idx="1">
                  <c:v>20.233463035019458</c:v>
                </c:pt>
                <c:pt idx="2">
                  <c:v>39.688715953307394</c:v>
                </c:pt>
                <c:pt idx="3">
                  <c:v>84.241245136186777</c:v>
                </c:pt>
                <c:pt idx="4" formatCode="##0.0E+00">
                  <c:v>117.1206225680934</c:v>
                </c:pt>
                <c:pt idx="5" formatCode="##0.0E+00">
                  <c:v>162.06225680933852</c:v>
                </c:pt>
                <c:pt idx="6" formatCode="##0.0E+00">
                  <c:v>190.07782101167317</c:v>
                </c:pt>
                <c:pt idx="7" formatCode="##0.0E+00">
                  <c:v>245.33073929961091</c:v>
                </c:pt>
                <c:pt idx="8" formatCode="##0.0E+00">
                  <c:v>343.579766536965</c:v>
                </c:pt>
                <c:pt idx="9" formatCode="##0.0E+00">
                  <c:v>454.66926070038915</c:v>
                </c:pt>
                <c:pt idx="10" formatCode="##0.0E+00">
                  <c:v>612.84046692607012</c:v>
                </c:pt>
                <c:pt idx="11" formatCode="##0.0E+00">
                  <c:v>726.84824902723744</c:v>
                </c:pt>
                <c:pt idx="12" formatCode="##0.0E+00">
                  <c:v>843.38521400778211</c:v>
                </c:pt>
                <c:pt idx="13" formatCode="##0.0E+00">
                  <c:v>1008.9494163424125</c:v>
                </c:pt>
                <c:pt idx="14" formatCode="##0.0E+00">
                  <c:v>1093.5797665369651</c:v>
                </c:pt>
                <c:pt idx="15" formatCode="##0.0E+00">
                  <c:v>1184.4357976653698</c:v>
                </c:pt>
                <c:pt idx="16" formatCode="##0.0E+00">
                  <c:v>1282.6848249027239</c:v>
                </c:pt>
                <c:pt idx="17" formatCode="##0.0E+00">
                  <c:v>1369.8443579766538</c:v>
                </c:pt>
                <c:pt idx="18" formatCode="##0.0E+00">
                  <c:v>1422.95719844358</c:v>
                </c:pt>
                <c:pt idx="19" formatCode="##0.0E+00">
                  <c:v>1454.8638132295721</c:v>
                </c:pt>
                <c:pt idx="20" formatCode="##0.0E+00">
                  <c:v>1461.6731517509729</c:v>
                </c:pt>
                <c:pt idx="21" formatCode="##0.0E+00">
                  <c:v>1508.7548638132296</c:v>
                </c:pt>
                <c:pt idx="22" formatCode="##0.0E+00">
                  <c:v>1530.933852140078</c:v>
                </c:pt>
                <c:pt idx="23" formatCode="##0.0E+00">
                  <c:v>1552.3346303501946</c:v>
                </c:pt>
                <c:pt idx="24" formatCode="##0.0E+00">
                  <c:v>1573.1517509727628</c:v>
                </c:pt>
                <c:pt idx="25" formatCode="##0.0E+00">
                  <c:v>1587.9377431906616</c:v>
                </c:pt>
                <c:pt idx="26" formatCode="##0.0E+00">
                  <c:v>1602.3346303501946</c:v>
                </c:pt>
                <c:pt idx="27" formatCode="##0.0E+00">
                  <c:v>1618.6770428015566</c:v>
                </c:pt>
                <c:pt idx="28" formatCode="##0.0E+00">
                  <c:v>1636.7704280155642</c:v>
                </c:pt>
                <c:pt idx="29" formatCode="##0.0E+00">
                  <c:v>1666.342412451362</c:v>
                </c:pt>
                <c:pt idx="30" formatCode="##0.0E+00">
                  <c:v>1683.2684824902724</c:v>
                </c:pt>
                <c:pt idx="31" formatCode="##0.0E+00">
                  <c:v>1711.8677042801557</c:v>
                </c:pt>
                <c:pt idx="32" formatCode="##0.0E+00">
                  <c:v>1743.3852140077822</c:v>
                </c:pt>
                <c:pt idx="33" formatCode="##0.0E+00">
                  <c:v>1743.3852140077822</c:v>
                </c:pt>
                <c:pt idx="34" formatCode="##0.0E+00">
                  <c:v>1758.1712062256811</c:v>
                </c:pt>
                <c:pt idx="35" formatCode="##0.0E+00">
                  <c:v>1777.626459143969</c:v>
                </c:pt>
                <c:pt idx="36">
                  <c:v>1797.8599221789884</c:v>
                </c:pt>
                <c:pt idx="37">
                  <c:v>1815.5642023346304</c:v>
                </c:pt>
                <c:pt idx="38">
                  <c:v>1843.9688715953309</c:v>
                </c:pt>
                <c:pt idx="39">
                  <c:v>1864.3968871595332</c:v>
                </c:pt>
                <c:pt idx="40">
                  <c:v>1879.5719844357977</c:v>
                </c:pt>
                <c:pt idx="41">
                  <c:v>1903.8910505836577</c:v>
                </c:pt>
                <c:pt idx="42">
                  <c:v>1923.5408560311284</c:v>
                </c:pt>
              </c:numCache>
            </c:numRef>
          </c:yVal>
          <c:smooth val="0"/>
        </c:ser>
        <c:ser>
          <c:idx val="0"/>
          <c:order val="1"/>
          <c:tx>
            <c:strRef>
              <c:f>myData!SKoreaSeries</c:f>
              <c:strCache>
                <c:ptCount val="1"/>
                <c:pt idx="0">
                  <c:v>Skorea Limit 1.76 k</c:v>
                </c:pt>
              </c:strCache>
            </c:strRef>
          </c:tx>
          <c:spPr>
            <a:ln w="19050" cap="rnd">
              <a:solidFill>
                <a:schemeClr val="accent1"/>
              </a:solidFill>
              <a:prstDash val="sysDash"/>
              <a:round/>
            </a:ln>
            <a:effectLst/>
          </c:spPr>
          <c:marker>
            <c:symbol val="none"/>
          </c:marker>
          <c:xVal>
            <c:numRef>
              <c:f>myData!SKoreaLogiDates</c:f>
              <c:numCache>
                <c:formatCode>m/d/yyyy</c:formatCode>
                <c:ptCount val="78"/>
                <c:pt idx="0">
                  <c:v>43881</c:v>
                </c:pt>
                <c:pt idx="1">
                  <c:v>43882</c:v>
                </c:pt>
                <c:pt idx="2">
                  <c:v>43883</c:v>
                </c:pt>
                <c:pt idx="3">
                  <c:v>43884</c:v>
                </c:pt>
                <c:pt idx="4">
                  <c:v>43885</c:v>
                </c:pt>
                <c:pt idx="5">
                  <c:v>43886</c:v>
                </c:pt>
                <c:pt idx="6">
                  <c:v>43887</c:v>
                </c:pt>
                <c:pt idx="7">
                  <c:v>43888</c:v>
                </c:pt>
                <c:pt idx="8">
                  <c:v>43889</c:v>
                </c:pt>
                <c:pt idx="9">
                  <c:v>43890</c:v>
                </c:pt>
                <c:pt idx="10">
                  <c:v>43891</c:v>
                </c:pt>
                <c:pt idx="11">
                  <c:v>43892</c:v>
                </c:pt>
                <c:pt idx="12">
                  <c:v>43893</c:v>
                </c:pt>
                <c:pt idx="13">
                  <c:v>43894</c:v>
                </c:pt>
                <c:pt idx="14">
                  <c:v>43895</c:v>
                </c:pt>
                <c:pt idx="15">
                  <c:v>43896</c:v>
                </c:pt>
                <c:pt idx="16">
                  <c:v>43897</c:v>
                </c:pt>
                <c:pt idx="17">
                  <c:v>43898</c:v>
                </c:pt>
                <c:pt idx="18">
                  <c:v>43899</c:v>
                </c:pt>
                <c:pt idx="19">
                  <c:v>43900</c:v>
                </c:pt>
                <c:pt idx="20">
                  <c:v>43901</c:v>
                </c:pt>
                <c:pt idx="21">
                  <c:v>43902</c:v>
                </c:pt>
                <c:pt idx="22">
                  <c:v>43903</c:v>
                </c:pt>
                <c:pt idx="23">
                  <c:v>43904</c:v>
                </c:pt>
                <c:pt idx="24">
                  <c:v>43905</c:v>
                </c:pt>
                <c:pt idx="25">
                  <c:v>43906</c:v>
                </c:pt>
                <c:pt idx="26">
                  <c:v>43907</c:v>
                </c:pt>
                <c:pt idx="27">
                  <c:v>43908</c:v>
                </c:pt>
                <c:pt idx="28">
                  <c:v>43909</c:v>
                </c:pt>
                <c:pt idx="29">
                  <c:v>43910</c:v>
                </c:pt>
                <c:pt idx="30">
                  <c:v>43911</c:v>
                </c:pt>
                <c:pt idx="31">
                  <c:v>43912</c:v>
                </c:pt>
                <c:pt idx="32">
                  <c:v>43913</c:v>
                </c:pt>
                <c:pt idx="33">
                  <c:v>43914</c:v>
                </c:pt>
                <c:pt idx="34">
                  <c:v>43915</c:v>
                </c:pt>
                <c:pt idx="35">
                  <c:v>43916</c:v>
                </c:pt>
                <c:pt idx="36">
                  <c:v>43917</c:v>
                </c:pt>
                <c:pt idx="37">
                  <c:v>43918</c:v>
                </c:pt>
                <c:pt idx="38">
                  <c:v>43919</c:v>
                </c:pt>
                <c:pt idx="39">
                  <c:v>43920</c:v>
                </c:pt>
                <c:pt idx="40">
                  <c:v>43921</c:v>
                </c:pt>
                <c:pt idx="41">
                  <c:v>43922</c:v>
                </c:pt>
                <c:pt idx="42">
                  <c:v>43923</c:v>
                </c:pt>
                <c:pt idx="43">
                  <c:v>43924</c:v>
                </c:pt>
                <c:pt idx="44">
                  <c:v>43925</c:v>
                </c:pt>
                <c:pt idx="45">
                  <c:v>43932</c:v>
                </c:pt>
                <c:pt idx="46">
                  <c:v>43939</c:v>
                </c:pt>
                <c:pt idx="47">
                  <c:v>43946</c:v>
                </c:pt>
                <c:pt idx="48">
                  <c:v>43953</c:v>
                </c:pt>
                <c:pt idx="49">
                  <c:v>43960</c:v>
                </c:pt>
                <c:pt idx="50">
                  <c:v>43967</c:v>
                </c:pt>
                <c:pt idx="51">
                  <c:v>43974</c:v>
                </c:pt>
                <c:pt idx="52">
                  <c:v>43981</c:v>
                </c:pt>
                <c:pt idx="53">
                  <c:v>43988</c:v>
                </c:pt>
                <c:pt idx="54">
                  <c:v>43995</c:v>
                </c:pt>
                <c:pt idx="55">
                  <c:v>44002</c:v>
                </c:pt>
                <c:pt idx="56">
                  <c:v>44009</c:v>
                </c:pt>
                <c:pt idx="57">
                  <c:v>44016</c:v>
                </c:pt>
                <c:pt idx="58">
                  <c:v>44023</c:v>
                </c:pt>
                <c:pt idx="59">
                  <c:v>44030</c:v>
                </c:pt>
                <c:pt idx="60">
                  <c:v>44037</c:v>
                </c:pt>
                <c:pt idx="61">
                  <c:v>44044</c:v>
                </c:pt>
                <c:pt idx="62">
                  <c:v>44051</c:v>
                </c:pt>
                <c:pt idx="63">
                  <c:v>44058</c:v>
                </c:pt>
                <c:pt idx="64">
                  <c:v>44065</c:v>
                </c:pt>
                <c:pt idx="65">
                  <c:v>44072</c:v>
                </c:pt>
                <c:pt idx="66">
                  <c:v>44079</c:v>
                </c:pt>
                <c:pt idx="67">
                  <c:v>44086</c:v>
                </c:pt>
                <c:pt idx="68">
                  <c:v>44093</c:v>
                </c:pt>
                <c:pt idx="69">
                  <c:v>44100</c:v>
                </c:pt>
                <c:pt idx="70">
                  <c:v>44107</c:v>
                </c:pt>
                <c:pt idx="71">
                  <c:v>44114</c:v>
                </c:pt>
                <c:pt idx="72">
                  <c:v>44121</c:v>
                </c:pt>
                <c:pt idx="73">
                  <c:v>44128</c:v>
                </c:pt>
                <c:pt idx="74">
                  <c:v>44135</c:v>
                </c:pt>
                <c:pt idx="75">
                  <c:v>44142</c:v>
                </c:pt>
                <c:pt idx="76">
                  <c:v>44149</c:v>
                </c:pt>
                <c:pt idx="77">
                  <c:v>44156</c:v>
                </c:pt>
              </c:numCache>
            </c:numRef>
          </c:xVal>
          <c:yVal>
            <c:numRef>
              <c:f>myData!SKoreaLogi</c:f>
              <c:numCache>
                <c:formatCode>0.0</c:formatCode>
                <c:ptCount val="78"/>
                <c:pt idx="0">
                  <c:v>78.891235734130049</c:v>
                </c:pt>
                <c:pt idx="1">
                  <c:v>101.10453431824787</c:v>
                </c:pt>
                <c:pt idx="2">
                  <c:v>129.09161133196611</c:v>
                </c:pt>
                <c:pt idx="3">
                  <c:v>164.05889711778798</c:v>
                </c:pt>
                <c:pt idx="4">
                  <c:v>207.29266189872871</c:v>
                </c:pt>
                <c:pt idx="5">
                  <c:v>260.06104647910689</c:v>
                </c:pt>
                <c:pt idx="6">
                  <c:v>323.46065168903391</c:v>
                </c:pt>
                <c:pt idx="7">
                  <c:v>398.20814060947419</c:v>
                </c:pt>
                <c:pt idx="8">
                  <c:v>484.39716593025872</c:v>
                </c:pt>
                <c:pt idx="9">
                  <c:v>581.26811689536476</c:v>
                </c:pt>
                <c:pt idx="10">
                  <c:v>687.06273900582437</c:v>
                </c:pt>
                <c:pt idx="11">
                  <c:v>799.04029851788516</c:v>
                </c:pt>
                <c:pt idx="12">
                  <c:v>913.70079866897515</c:v>
                </c:pt>
                <c:pt idx="13">
                  <c:v>1027.1948819782444</c:v>
                </c:pt>
                <c:pt idx="14">
                  <c:v>1135.8265529148296</c:v>
                </c:pt>
                <c:pt idx="15">
                  <c:v>1236.5146428246508</c:v>
                </c:pt>
                <c:pt idx="16">
                  <c:v>1327.0970806173489</c:v>
                </c:pt>
                <c:pt idx="17">
                  <c:v>1406.4270287830241</c:v>
                </c:pt>
                <c:pt idx="18">
                  <c:v>1474.2834076829465</c:v>
                </c:pt>
                <c:pt idx="19">
                  <c:v>1531.1648571208375</c:v>
                </c:pt>
                <c:pt idx="20">
                  <c:v>1578.0444837082048</c:v>
                </c:pt>
                <c:pt idx="21">
                  <c:v>1616.1438211092127</c:v>
                </c:pt>
                <c:pt idx="22">
                  <c:v>1646.7566046692691</c:v>
                </c:pt>
                <c:pt idx="23">
                  <c:v>1671.1295582482019</c:v>
                </c:pt>
                <c:pt idx="24">
                  <c:v>1690.3933488257162</c:v>
                </c:pt>
                <c:pt idx="25">
                  <c:v>1705.5312805474639</c:v>
                </c:pt>
                <c:pt idx="26">
                  <c:v>1717.3731058550541</c:v>
                </c:pt>
                <c:pt idx="27">
                  <c:v>1726.603640119703</c:v>
                </c:pt>
                <c:pt idx="28">
                  <c:v>1733.7787919118452</c:v>
                </c:pt>
                <c:pt idx="29">
                  <c:v>1739.3442280912836</c:v>
                </c:pt>
                <c:pt idx="30">
                  <c:v>1743.6538683940144</c:v>
                </c:pt>
                <c:pt idx="31">
                  <c:v>1746.9867533360677</c:v>
                </c:pt>
                <c:pt idx="32">
                  <c:v>1749.5616779969873</c:v>
                </c:pt>
                <c:pt idx="33">
                  <c:v>1751.5494773735138</c:v>
                </c:pt>
                <c:pt idx="34">
                  <c:v>1753.083108885518</c:v>
                </c:pt>
                <c:pt idx="35">
                  <c:v>1754.2657942835224</c:v>
                </c:pt>
                <c:pt idx="36">
                  <c:v>1755.1775174758047</c:v>
                </c:pt>
                <c:pt idx="37">
                  <c:v>1755.8801653000146</c:v>
                </c:pt>
                <c:pt idx="38">
                  <c:v>1756.4215682846466</c:v>
                </c:pt>
                <c:pt idx="39">
                  <c:v>1756.8386612626152</c:v>
                </c:pt>
                <c:pt idx="40">
                  <c:v>1757.1599464015069</c:v>
                </c:pt>
                <c:pt idx="41">
                  <c:v>1757.4074072147366</c:v>
                </c:pt>
                <c:pt idx="42">
                  <c:v>1757.597992740345</c:v>
                </c:pt>
                <c:pt idx="43">
                  <c:v>1757.7447665276741</c:v>
                </c:pt>
                <c:pt idx="44">
                  <c:v>1757.8577950155945</c:v>
                </c:pt>
                <c:pt idx="45">
                  <c:v>1758.1755108883076</c:v>
                </c:pt>
                <c:pt idx="46">
                  <c:v>1758.226497549482</c:v>
                </c:pt>
                <c:pt idx="47">
                  <c:v>1758.234678387015</c:v>
                </c:pt>
                <c:pt idx="48">
                  <c:v>1758.2359909697648</c:v>
                </c:pt>
                <c:pt idx="49">
                  <c:v>1758.2362015674767</c:v>
                </c:pt>
                <c:pt idx="50">
                  <c:v>1758.2362353568619</c:v>
                </c:pt>
                <c:pt idx="51">
                  <c:v>1758.2362407782048</c:v>
                </c:pt>
                <c:pt idx="52">
                  <c:v>1758.236241648033</c:v>
                </c:pt>
                <c:pt idx="53">
                  <c:v>1758.2362417875925</c:v>
                </c:pt>
                <c:pt idx="54">
                  <c:v>1758.2362418099844</c:v>
                </c:pt>
                <c:pt idx="55">
                  <c:v>1758.2362418135767</c:v>
                </c:pt>
                <c:pt idx="56">
                  <c:v>1758.2362418141531</c:v>
                </c:pt>
                <c:pt idx="57">
                  <c:v>1758.2362418142459</c:v>
                </c:pt>
                <c:pt idx="58">
                  <c:v>1758.2362418142604</c:v>
                </c:pt>
                <c:pt idx="59">
                  <c:v>1758.2362418142629</c:v>
                </c:pt>
                <c:pt idx="60">
                  <c:v>1758.2362418142636</c:v>
                </c:pt>
                <c:pt idx="61">
                  <c:v>1758.2362418142636</c:v>
                </c:pt>
                <c:pt idx="62">
                  <c:v>1758.2362418142636</c:v>
                </c:pt>
                <c:pt idx="63">
                  <c:v>1758.2362418142636</c:v>
                </c:pt>
                <c:pt idx="64">
                  <c:v>1758.2362418142636</c:v>
                </c:pt>
                <c:pt idx="65">
                  <c:v>1758.2362418142636</c:v>
                </c:pt>
                <c:pt idx="66">
                  <c:v>1758.2362418142636</c:v>
                </c:pt>
                <c:pt idx="67">
                  <c:v>1758.2362418142636</c:v>
                </c:pt>
                <c:pt idx="68">
                  <c:v>1758.2362418142636</c:v>
                </c:pt>
                <c:pt idx="69">
                  <c:v>1758.2362418142636</c:v>
                </c:pt>
                <c:pt idx="70">
                  <c:v>1758.2362418142636</c:v>
                </c:pt>
                <c:pt idx="71">
                  <c:v>1758.2362418142636</c:v>
                </c:pt>
                <c:pt idx="72">
                  <c:v>1758.2362418142636</c:v>
                </c:pt>
                <c:pt idx="73">
                  <c:v>1758.2362418142636</c:v>
                </c:pt>
                <c:pt idx="74">
                  <c:v>1758.2362418142636</c:v>
                </c:pt>
                <c:pt idx="75">
                  <c:v>1758.2362418142636</c:v>
                </c:pt>
                <c:pt idx="76">
                  <c:v>1758.2362418142636</c:v>
                </c:pt>
                <c:pt idx="77">
                  <c:v>1758.2362418142636</c:v>
                </c:pt>
              </c:numCache>
            </c:numRef>
          </c:yVal>
          <c:smooth val="0"/>
        </c:ser>
        <c:dLbls>
          <c:showLegendKey val="0"/>
          <c:showVal val="0"/>
          <c:showCatName val="0"/>
          <c:showSerName val="0"/>
          <c:showPercent val="0"/>
          <c:showBubbleSize val="0"/>
        </c:dLbls>
        <c:axId val="751230208"/>
        <c:axId val="751227072"/>
      </c:scatterChart>
      <c:valAx>
        <c:axId val="751230208"/>
        <c:scaling>
          <c:orientation val="minMax"/>
          <c:max val="43951"/>
          <c:min val="4385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7072"/>
        <c:crossesAt val="0.1"/>
        <c:crossBetween val="midCat"/>
        <c:majorUnit val="14"/>
        <c:minorUnit val="7"/>
      </c:valAx>
      <c:valAx>
        <c:axId val="751227072"/>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0208"/>
        <c:crosses val="autoZero"/>
        <c:crossBetween val="midCat"/>
      </c:valAx>
      <c:spPr>
        <a:noFill/>
        <a:ln>
          <a:noFill/>
        </a:ln>
        <a:effectLst/>
      </c:spPr>
    </c:plotArea>
    <c:legend>
      <c:legendPos val="b"/>
      <c:layout>
        <c:manualLayout>
          <c:xMode val="edge"/>
          <c:yMode val="edge"/>
          <c:x val="0.31275133186791321"/>
          <c:y val="0.58213656994533147"/>
          <c:w val="0.12878276497026317"/>
          <c:h val="0.237215237598062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myData!$DS$11</c:f>
          <c:strCache>
            <c:ptCount val="1"/>
            <c:pt idx="0">
              <c:v>Australia Limit 2.44 k</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1270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2"/>
          <c:order val="2"/>
          <c:tx>
            <c:v>US Confirmed Cases</c:v>
          </c:tx>
          <c:spPr>
            <a:ln w="19050"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5"/>
          <c:order val="3"/>
          <c:tx>
            <c:strRef>
              <c:f>myData!USSeries</c:f>
              <c:strCache>
                <c:ptCount val="1"/>
                <c:pt idx="0">
                  <c:v>USA Limit 19.2 k</c:v>
                </c:pt>
              </c:strCache>
            </c:strRef>
          </c:tx>
          <c:spPr>
            <a:ln w="19050" cap="rnd">
              <a:solidFill>
                <a:schemeClr val="accent6"/>
              </a:solidFill>
              <a:prstDash val="sysDash"/>
              <a:round/>
            </a:ln>
            <a:effectLst/>
          </c:spPr>
          <c:marker>
            <c:symbol val="none"/>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ser>
          <c:idx val="8"/>
          <c:order val="4"/>
          <c:tx>
            <c:v>Pop Limit</c:v>
          </c:tx>
          <c:spPr>
            <a:ln w="28575" cap="rnd">
              <a:solidFill>
                <a:srgbClr val="FF0000"/>
              </a:solidFill>
              <a:round/>
            </a:ln>
            <a:effectLst/>
          </c:spPr>
          <c:marker>
            <c:symbol val="none"/>
          </c:marker>
          <c:xVal>
            <c:numRef>
              <c:f>myData!$EO$11:$EO$12</c:f>
              <c:numCache>
                <c:formatCode>m/d/yyyy</c:formatCode>
                <c:ptCount val="2"/>
                <c:pt idx="0">
                  <c:v>43852</c:v>
                </c:pt>
                <c:pt idx="1">
                  <c:v>44004</c:v>
                </c:pt>
              </c:numCache>
            </c:numRef>
          </c:xVal>
          <c:yVal>
            <c:numRef>
              <c:f>myData!$EQ$11:$EQ$12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751227464"/>
        <c:axId val="751228248"/>
      </c:scatterChart>
      <c:valAx>
        <c:axId val="751227464"/>
        <c:scaling>
          <c:orientation val="minMax"/>
          <c:max val="43968"/>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8248"/>
        <c:crossesAt val="1.0000000000000002E-2"/>
        <c:crossBetween val="midCat"/>
        <c:majorUnit val="14"/>
        <c:minorUnit val="7"/>
      </c:valAx>
      <c:valAx>
        <c:axId val="751228248"/>
        <c:scaling>
          <c:logBase val="10"/>
          <c:orientation val="minMax"/>
          <c:max val="10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27464"/>
        <c:crosses val="autoZero"/>
        <c:crossBetween val="midCat"/>
      </c:valAx>
      <c:spPr>
        <a:noFill/>
        <a:ln>
          <a:noFill/>
        </a:ln>
        <a:effectLst/>
      </c:spPr>
    </c:plotArea>
    <c:legend>
      <c:legendPos val="b"/>
      <c:layout>
        <c:manualLayout>
          <c:xMode val="edge"/>
          <c:yMode val="edge"/>
          <c:x val="0.56219883231344037"/>
          <c:y val="0.75285835477749941"/>
          <c:w val="0.23194409490944076"/>
          <c:h val="0.2259366545523151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myData!$DS$12</c:f>
          <c:strCache>
            <c:ptCount val="1"/>
            <c:pt idx="0">
              <c:v>NSW Limit 3.71 k</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155249501375E-2"/>
          <c:y val="8.8784482050240948E-2"/>
          <c:w val="0.45877135106010902"/>
          <c:h val="0.76714659526682405"/>
        </c:manualLayout>
      </c:layout>
      <c:scatterChart>
        <c:scatterStyle val="lineMarker"/>
        <c:varyColors val="0"/>
        <c:ser>
          <c:idx val="3"/>
          <c:order val="0"/>
          <c:tx>
            <c:v>NSW Confirmed Cases</c:v>
          </c:tx>
          <c:spPr>
            <a:ln w="12700"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1"/>
          <c:order val="2"/>
          <c:tx>
            <c:v>Italy Confirmed Cases</c:v>
          </c:tx>
          <c:spPr>
            <a:ln w="12700" cap="rnd">
              <a:solidFill>
                <a:srgbClr val="FF0000"/>
              </a:solidFill>
              <a:round/>
            </a:ln>
            <a:effectLst/>
          </c:spPr>
          <c:marker>
            <c:symbol val="circle"/>
            <c:size val="4"/>
            <c:spPr>
              <a:solidFill>
                <a:srgbClr val="FF0000"/>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3"/>
          <c:tx>
            <c:strRef>
              <c:f>myData!ItalySeries</c:f>
              <c:strCache>
                <c:ptCount val="1"/>
                <c:pt idx="0">
                  <c:v>Italy Limit 16.1 k</c:v>
                </c:pt>
              </c:strCache>
            </c:strRef>
          </c:tx>
          <c:spPr>
            <a:ln w="19050" cap="rnd">
              <a:solidFill>
                <a:srgbClr val="FF0000"/>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ser>
          <c:idx val="2"/>
          <c:order val="4"/>
          <c:tx>
            <c:v>US Confirmed Cases</c:v>
          </c:tx>
          <c:spPr>
            <a:ln w="19050"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5"/>
          <c:order val="5"/>
          <c:tx>
            <c:strRef>
              <c:f>myData!USSeries</c:f>
              <c:strCache>
                <c:ptCount val="1"/>
                <c:pt idx="0">
                  <c:v>USA Limit 19.2 k</c:v>
                </c:pt>
              </c:strCache>
            </c:strRef>
          </c:tx>
          <c:spPr>
            <a:ln w="19050" cap="rnd">
              <a:solidFill>
                <a:schemeClr val="accent6"/>
              </a:solidFill>
              <a:prstDash val="sysDash"/>
              <a:round/>
            </a:ln>
            <a:effectLst/>
          </c:spPr>
          <c:marker>
            <c:symbol val="none"/>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ser>
          <c:idx val="6"/>
          <c:order val="6"/>
          <c:tx>
            <c:strRef>
              <c:f>myData!ChinaSeries</c:f>
              <c:strCache>
                <c:ptCount val="1"/>
                <c:pt idx="0">
                  <c:v>China Limit 564  </c:v>
                </c:pt>
              </c:strCache>
            </c:strRef>
          </c:tx>
          <c:spPr>
            <a:ln w="19050" cap="rnd">
              <a:solidFill>
                <a:schemeClr val="accent2">
                  <a:lumMod val="75000"/>
                </a:schemeClr>
              </a:solidFill>
              <a:prstDash val="sysDot"/>
              <a:round/>
            </a:ln>
            <a:effectLst/>
          </c:spPr>
          <c:marker>
            <c:symbol val="none"/>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7"/>
          <c:order val="7"/>
          <c:tx>
            <c:v>China Cases</c:v>
          </c:tx>
          <c:spPr>
            <a:ln w="19050" cap="rnd">
              <a:noFill/>
              <a:round/>
            </a:ln>
            <a:effectLst/>
          </c:spPr>
          <c:marker>
            <c:symbol val="x"/>
            <c:size val="3"/>
            <c:spPr>
              <a:noFill/>
              <a:ln w="9525">
                <a:solidFill>
                  <a:schemeClr val="accent2">
                    <a:lumMod val="60000"/>
                  </a:schemeClr>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ser>
          <c:idx val="8"/>
          <c:order val="8"/>
          <c:tx>
            <c:v>Pop Limit</c:v>
          </c:tx>
          <c:spPr>
            <a:ln w="28575" cap="rnd">
              <a:solidFill>
                <a:srgbClr val="FF0000"/>
              </a:solidFill>
              <a:round/>
            </a:ln>
            <a:effectLst/>
          </c:spPr>
          <c:marker>
            <c:symbol val="none"/>
          </c:marker>
          <c:xVal>
            <c:numRef>
              <c:f>myData!$EO$11:$EO$12</c:f>
              <c:numCache>
                <c:formatCode>m/d/yyyy</c:formatCode>
                <c:ptCount val="2"/>
                <c:pt idx="0">
                  <c:v>43852</c:v>
                </c:pt>
                <c:pt idx="1">
                  <c:v>44004</c:v>
                </c:pt>
              </c:numCache>
            </c:numRef>
          </c:xVal>
          <c:yVal>
            <c:numRef>
              <c:f>myData!$EQ$11:$EQ$12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751240792"/>
        <c:axId val="751241576"/>
      </c:scatterChart>
      <c:valAx>
        <c:axId val="751240792"/>
        <c:scaling>
          <c:orientation val="minMax"/>
          <c:max val="43968"/>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1576"/>
        <c:crossesAt val="1.0000000000000002E-2"/>
        <c:crossBetween val="midCat"/>
        <c:majorUnit val="14"/>
        <c:minorUnit val="7"/>
      </c:valAx>
      <c:valAx>
        <c:axId val="751241576"/>
        <c:scaling>
          <c:logBase val="10"/>
          <c:orientation val="minMax"/>
          <c:max val="100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0792"/>
        <c:crosses val="autoZero"/>
        <c:crossBetween val="midCat"/>
      </c:valAx>
      <c:spPr>
        <a:noFill/>
        <a:ln>
          <a:noFill/>
        </a:ln>
        <a:effectLst/>
      </c:spPr>
    </c:plotArea>
    <c:legend>
      <c:legendPos val="b"/>
      <c:layout>
        <c:manualLayout>
          <c:xMode val="edge"/>
          <c:yMode val="edge"/>
          <c:x val="0.56219883231344037"/>
          <c:y val="0.75285835477749941"/>
          <c:w val="0.35869968153221921"/>
          <c:h val="0.22593665455231515"/>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r2=998.6E-3, Limit=3.71 k=&gt;3.00 k cases 
 (Fit: Sat 25-Jan - Thu 02-Apr), Cases per 10 M population</c:v>
            </c:pt>
          </c:strCache>
        </c:strRef>
      </c:tx>
      <c:layout>
        <c:manualLayout>
          <c:xMode val="edge"/>
          <c:yMode val="edge"/>
          <c:x val="0.10423000727656354"/>
          <c:y val="2.0871700833257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7791892379594115"/>
          <c:w val="0.43460159270882204"/>
          <c:h val="0.68992130218377157"/>
        </c:manualLayout>
      </c:layout>
      <c:scatterChart>
        <c:scatterStyle val="lineMarker"/>
        <c:varyColors val="0"/>
        <c:ser>
          <c:idx val="1"/>
          <c:order val="0"/>
          <c:tx>
            <c:v>NSW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0"/>
          <c:order val="1"/>
          <c:tx>
            <c:strRef>
              <c:f>myData!$DS$12</c:f>
              <c:strCache>
                <c:ptCount val="1"/>
                <c:pt idx="0">
                  <c:v>NSW Limit 3.71 k</c:v>
                </c:pt>
              </c:strCache>
            </c:strRef>
          </c:tx>
          <c:spPr>
            <a:ln w="15875" cap="rnd">
              <a:solidFill>
                <a:schemeClr val="accent1"/>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myData!$EO$11:$EO$12</c:f>
              <c:numCache>
                <c:formatCode>m/d/yyyy</c:formatCode>
                <c:ptCount val="2"/>
                <c:pt idx="0">
                  <c:v>43852</c:v>
                </c:pt>
                <c:pt idx="1">
                  <c:v>44004</c:v>
                </c:pt>
              </c:numCache>
            </c:numRef>
          </c:xVal>
          <c:yVal>
            <c:numRef>
              <c:f>myData!$EP$11:$EP$12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751235304"/>
        <c:axId val="751234128"/>
      </c:scatterChart>
      <c:valAx>
        <c:axId val="751235304"/>
        <c:scaling>
          <c:orientation val="minMax"/>
          <c:max val="43928"/>
          <c:min val="43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out"/>
        <c:minorTickMark val="in"/>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4128"/>
        <c:crosses val="autoZero"/>
        <c:crossBetween val="midCat"/>
        <c:majorUnit val="7"/>
        <c:minorUnit val="1"/>
      </c:valAx>
      <c:valAx>
        <c:axId val="751234128"/>
        <c:scaling>
          <c:logBase val="10"/>
          <c:orientation val="minMax"/>
          <c:max val="1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5304"/>
        <c:crosses val="autoZero"/>
        <c:crossBetween val="midCat"/>
      </c:valAx>
      <c:spPr>
        <a:noFill/>
        <a:ln>
          <a:noFill/>
        </a:ln>
        <a:effectLst/>
      </c:spPr>
    </c:plotArea>
    <c:legend>
      <c:legendPos val="b"/>
      <c:layout>
        <c:manualLayout>
          <c:xMode val="edge"/>
          <c:yMode val="edge"/>
          <c:x val="0.31326873199651895"/>
          <c:y val="0.75918626004430056"/>
          <c:w val="0.20090832474950837"/>
          <c:h val="9.15748339220686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69409564235042309"/>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v>ItalyLogistic Prediction</c:v>
          </c:tx>
          <c:spPr>
            <a:ln w="19050" cap="rnd">
              <a:solidFill>
                <a:schemeClr val="accent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51243144"/>
        <c:axId val="751244320"/>
      </c:scatterChart>
      <c:valAx>
        <c:axId val="751243144"/>
        <c:scaling>
          <c:orientation val="minMax"/>
          <c:max val="43928"/>
          <c:min val="4386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4320"/>
        <c:crossesAt val="0.1"/>
        <c:crossBetween val="midCat"/>
        <c:majorUnit val="7"/>
        <c:minorUnit val="3.5"/>
      </c:valAx>
      <c:valAx>
        <c:axId val="751244320"/>
        <c:scaling>
          <c:logBase val="10"/>
          <c:orientation val="minMax"/>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3144"/>
        <c:crosses val="autoZero"/>
        <c:crossBetween val="midCat"/>
      </c:valAx>
      <c:spPr>
        <a:noFill/>
        <a:ln>
          <a:noFill/>
        </a:ln>
        <a:effectLst/>
      </c:spPr>
    </c:plotArea>
    <c:legend>
      <c:legendPos val="b"/>
      <c:layout>
        <c:manualLayout>
          <c:xMode val="edge"/>
          <c:yMode val="edge"/>
          <c:x val="8.9432251928890691E-2"/>
          <c:y val="0.16096157076147521"/>
          <c:w val="0.13601372844301224"/>
          <c:h val="0.1107572417406406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myData!$DU$13</c:f>
          <c:strCache>
            <c:ptCount val="1"/>
            <c:pt idx="0">
              <c:v>COVID19 Italy P(t) = b / {d+[( b/Po - d ) ]* exp(-b*t)}
b=0.257, d=2.64E-06, P0=.001, r2=968.E-3, Limit=16.1 k=&gt;97.3 k cases 
 (Fit: Thu 30-Jan - Wed 01-Apr),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4034986229607774"/>
          <c:w val="0.43460159270882204"/>
          <c:h val="0.72749036368363496"/>
        </c:manualLayout>
      </c:layout>
      <c:scatterChart>
        <c:scatterStyle val="lineMarker"/>
        <c:varyColors val="0"/>
        <c:ser>
          <c:idx val="1"/>
          <c:order val="0"/>
          <c:tx>
            <c:v>Italy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1"/>
          <c:tx>
            <c:strRef>
              <c:f>myData!ItalySeries</c:f>
              <c:strCache>
                <c:ptCount val="1"/>
                <c:pt idx="0">
                  <c:v>Italy Limit 16.1 k</c:v>
                </c:pt>
              </c:strCache>
            </c:strRef>
          </c:tx>
          <c:spPr>
            <a:ln w="19050" cap="rnd">
              <a:solidFill>
                <a:schemeClr val="accent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dLbls>
          <c:showLegendKey val="0"/>
          <c:showVal val="0"/>
          <c:showCatName val="0"/>
          <c:showSerName val="0"/>
          <c:showPercent val="0"/>
          <c:showBubbleSize val="0"/>
        </c:dLbls>
        <c:axId val="751233736"/>
        <c:axId val="751236088"/>
      </c:scatterChart>
      <c:valAx>
        <c:axId val="751233736"/>
        <c:scaling>
          <c:orientation val="minMax"/>
          <c:max val="43951"/>
          <c:min val="43882"/>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6088"/>
        <c:crossesAt val="0.1"/>
        <c:crossBetween val="midCat"/>
        <c:majorUnit val="14"/>
        <c:minorUnit val="7"/>
      </c:valAx>
      <c:valAx>
        <c:axId val="751236088"/>
        <c:scaling>
          <c:logBase val="10"/>
          <c:orientation val="minMax"/>
          <c:max val="1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3736"/>
        <c:crosses val="autoZero"/>
        <c:crossBetween val="midCat"/>
      </c:valAx>
      <c:spPr>
        <a:noFill/>
        <a:ln>
          <a:noFill/>
        </a:ln>
        <a:effectLst/>
      </c:spPr>
    </c:plotArea>
    <c:legend>
      <c:legendPos val="b"/>
      <c:layout>
        <c:manualLayout>
          <c:xMode val="edge"/>
          <c:yMode val="edge"/>
          <c:x val="0.31275133186791321"/>
          <c:y val="0.63370188801795979"/>
          <c:w val="0.19456695891080134"/>
          <c:h val="8.9885519216343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myData!$DU$14</c:f>
          <c:strCache>
            <c:ptCount val="1"/>
            <c:pt idx="0">
              <c:v>COVID19 USA P(t) = b / {d+[( b/Po - d ) ]* exp(-b*t)}
b=0.284, d=4.48E-07, P0=.001, r2=976.1E-3, Limit=19.2 k=&gt;633 k cases 
 (Fit: Wed 22-Jan - Wed 01-Apr), Cases per 10 M population</c:v>
            </c:pt>
          </c:strCache>
        </c:strRef>
      </c:tx>
      <c:layout>
        <c:manualLayout>
          <c:xMode val="edge"/>
          <c:yMode val="edge"/>
          <c:x val="0.11754775083740615"/>
          <c:y val="1.6697360666605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670345454587287"/>
          <c:w val="0.43460159270882204"/>
          <c:h val="0.63774205010062779"/>
        </c:manualLayout>
      </c:layout>
      <c:scatterChart>
        <c:scatterStyle val="lineMarker"/>
        <c:varyColors val="0"/>
        <c:ser>
          <c:idx val="1"/>
          <c:order val="0"/>
          <c:tx>
            <c:v>US Confirmed Cases</c:v>
          </c:tx>
          <c:spPr>
            <a:ln w="19050" cap="rnd">
              <a:solidFill>
                <a:schemeClr val="accent2">
                  <a:alpha val="99000"/>
                </a:schemeClr>
              </a:solidFill>
              <a:round/>
            </a:ln>
            <a:effectLst/>
          </c:spPr>
          <c:marker>
            <c:symbol val="circle"/>
            <c:size val="5"/>
            <c:spPr>
              <a:solidFill>
                <a:schemeClr val="accent2"/>
              </a:solidFill>
              <a:ln w="9525">
                <a:solidFill>
                  <a:schemeClr val="accent2"/>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0"/>
          <c:order val="1"/>
          <c:tx>
            <c:v>US Logistic Prediction</c:v>
          </c:tx>
          <c:spPr>
            <a:ln w="19050" cap="rnd">
              <a:solidFill>
                <a:schemeClr val="accent1"/>
              </a:solidFill>
              <a:prstDash val="sysDash"/>
              <a:round/>
            </a:ln>
            <a:effectLst/>
          </c:spPr>
          <c:marker>
            <c:symbol val="x"/>
            <c:size val="5"/>
            <c:spPr>
              <a:noFill/>
              <a:ln w="9525">
                <a:solidFill>
                  <a:schemeClr val="accent1"/>
                </a:solidFill>
              </a:ln>
              <a:effectLst/>
            </c:spPr>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dLbls>
          <c:showLegendKey val="0"/>
          <c:showVal val="0"/>
          <c:showCatName val="0"/>
          <c:showSerName val="0"/>
          <c:showPercent val="0"/>
          <c:showBubbleSize val="0"/>
        </c:dLbls>
        <c:axId val="751241968"/>
        <c:axId val="751238440"/>
      </c:scatterChart>
      <c:valAx>
        <c:axId val="751241968"/>
        <c:scaling>
          <c:orientation val="minMax"/>
          <c:max val="43925"/>
          <c:min val="43883"/>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8440"/>
        <c:crosses val="autoZero"/>
        <c:crossBetween val="midCat"/>
        <c:majorUnit val="7"/>
        <c:minorUnit val="3.5"/>
      </c:valAx>
      <c:valAx>
        <c:axId val="751238440"/>
        <c:scaling>
          <c:logBase val="10"/>
          <c:orientation val="minMax"/>
          <c:max val="1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1968"/>
        <c:crosses val="autoZero"/>
        <c:crossBetween val="midCat"/>
      </c:valAx>
      <c:spPr>
        <a:noFill/>
        <a:ln>
          <a:noFill/>
        </a:ln>
        <a:effectLst/>
      </c:spPr>
    </c:plotArea>
    <c:legend>
      <c:legendPos val="b"/>
      <c:layout>
        <c:manualLayout>
          <c:xMode val="edge"/>
          <c:yMode val="edge"/>
          <c:x val="0.34312540860868151"/>
          <c:y val="0.69945145225951777"/>
          <c:w val="0.13601372844301224"/>
          <c:h val="8.9885519216343163E-2"/>
        </c:manualLayout>
      </c:layout>
      <c:overlay val="0"/>
      <c:spPr>
        <a:solidFill>
          <a:schemeClr val="bg1">
            <a:alpha val="59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myData!$DU$14</c:f>
          <c:strCache>
            <c:ptCount val="1"/>
            <c:pt idx="0">
              <c:v>COVID19 USA P(t) = b / {d+[( b/Po - d ) ]* exp(-b*t)}
b=0.284, d=4.48E-07, P0=.001, r2=976.1E-3, Limit=19.2 k=&gt;633 k cases 
 (Fit: Wed 22-Jan - Wed 01-Apr), Cases per 10 M population</c:v>
            </c:pt>
          </c:strCache>
        </c:strRef>
      </c:tx>
      <c:layout>
        <c:manualLayout>
          <c:xMode val="edge"/>
          <c:yMode val="edge"/>
          <c:x val="0.127094481924999"/>
          <c:y val="8.348680333302984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252911437922138"/>
          <c:w val="0.43460159270882204"/>
          <c:h val="0.64191639026727931"/>
        </c:manualLayout>
      </c:layout>
      <c:scatterChart>
        <c:scatterStyle val="lineMarker"/>
        <c:varyColors val="0"/>
        <c:ser>
          <c:idx val="1"/>
          <c:order val="0"/>
          <c:tx>
            <c:v>US Confirmed Cases</c:v>
          </c:tx>
          <c:spPr>
            <a:ln w="19050" cap="rnd">
              <a:solidFill>
                <a:schemeClr val="accent2">
                  <a:alpha val="99000"/>
                </a:schemeClr>
              </a:solidFill>
              <a:round/>
            </a:ln>
            <a:effectLst/>
          </c:spPr>
          <c:marker>
            <c:symbol val="circle"/>
            <c:size val="5"/>
            <c:spPr>
              <a:solidFill>
                <a:schemeClr val="accent2"/>
              </a:solidFill>
              <a:ln w="9525">
                <a:solidFill>
                  <a:schemeClr val="accent2"/>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0"/>
          <c:order val="1"/>
          <c:tx>
            <c:strRef>
              <c:f>myData!$DS$14</c:f>
              <c:strCache>
                <c:ptCount val="1"/>
                <c:pt idx="0">
                  <c:v>USA Limit 19.2 k</c:v>
                </c:pt>
              </c:strCache>
            </c:strRef>
          </c:tx>
          <c:spPr>
            <a:ln w="19050" cap="rnd">
              <a:solidFill>
                <a:schemeClr val="accent1"/>
              </a:solidFill>
              <a:prstDash val="sysDash"/>
              <a:round/>
            </a:ln>
            <a:effectLst/>
          </c:spPr>
          <c:marker>
            <c:symbol val="x"/>
            <c:size val="5"/>
            <c:spPr>
              <a:noFill/>
              <a:ln w="9525">
                <a:solidFill>
                  <a:schemeClr val="accent1"/>
                </a:solidFill>
              </a:ln>
              <a:effectLst/>
            </c:spPr>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dLbls>
          <c:showLegendKey val="0"/>
          <c:showVal val="0"/>
          <c:showCatName val="0"/>
          <c:showSerName val="0"/>
          <c:showPercent val="0"/>
          <c:showBubbleSize val="0"/>
        </c:dLbls>
        <c:axId val="751243536"/>
        <c:axId val="751238832"/>
      </c:scatterChart>
      <c:valAx>
        <c:axId val="751243536"/>
        <c:scaling>
          <c:orientation val="minMax"/>
          <c:max val="43972"/>
          <c:min val="43883"/>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8832"/>
        <c:crosses val="autoZero"/>
        <c:crossBetween val="midCat"/>
        <c:majorUnit val="7"/>
        <c:minorUnit val="3.5"/>
      </c:valAx>
      <c:valAx>
        <c:axId val="751238832"/>
        <c:scaling>
          <c:logBase val="10"/>
          <c:orientation val="minMax"/>
          <c:max val="1000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3536"/>
        <c:crosses val="autoZero"/>
        <c:crossBetween val="midCat"/>
      </c:valAx>
      <c:spPr>
        <a:noFill/>
        <a:ln>
          <a:noFill/>
        </a:ln>
        <a:effectLst/>
      </c:spPr>
    </c:plotArea>
    <c:legend>
      <c:legendPos val="b"/>
      <c:layout>
        <c:manualLayout>
          <c:xMode val="edge"/>
          <c:yMode val="edge"/>
          <c:x val="0.34994450224267637"/>
          <c:y val="0.68066692150958596"/>
          <c:w val="0.15510721118614859"/>
          <c:h val="0.12119309215726942"/>
        </c:manualLayout>
      </c:layout>
      <c:overlay val="0"/>
      <c:spPr>
        <a:solidFill>
          <a:schemeClr val="bg1">
            <a:alpha val="7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myData!$DU$15</c:f>
          <c:strCache>
            <c:ptCount val="1"/>
            <c:pt idx="0">
              <c:v>COVID19 China P(t) = b / {d+[( b/Po - d ) ]* exp(-b*t)}
b=0.221, d=2.72E-06, P0=.001, r2=995.4E-3, Limit=564  =&gt;81.2 k cases 
 (Fit: Wed 22-Jan - Wed 01-Apr), Cases per 10 M population</c:v>
            </c:pt>
          </c:strCache>
        </c:strRef>
      </c:tx>
      <c:layout>
        <c:manualLayout>
          <c:xMode val="edge"/>
          <c:yMode val="edge"/>
          <c:x val="0.33870089262443082"/>
          <c:y val="3.3394721333211939E-2"/>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636011458196639E-2"/>
          <c:y val="0.16483581859961077"/>
          <c:w val="0.88715308130366799"/>
          <c:h val="0.67768374738733961"/>
        </c:manualLayout>
      </c:layout>
      <c:scatterChart>
        <c:scatterStyle val="lineMarker"/>
        <c:varyColors val="0"/>
        <c:ser>
          <c:idx val="0"/>
          <c:order val="0"/>
          <c:tx>
            <c:v>China Logi Prediction</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1"/>
          <c:order val="1"/>
          <c:tx>
            <c:v>China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dLbls>
          <c:showLegendKey val="0"/>
          <c:showVal val="0"/>
          <c:showCatName val="0"/>
          <c:showSerName val="0"/>
          <c:showPercent val="0"/>
          <c:showBubbleSize val="0"/>
        </c:dLbls>
        <c:axId val="751239224"/>
        <c:axId val="751237264"/>
      </c:scatterChart>
      <c:valAx>
        <c:axId val="751239224"/>
        <c:scaling>
          <c:orientation val="minMax"/>
          <c:max val="43920"/>
          <c:min val="438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7264"/>
        <c:crosses val="autoZero"/>
        <c:crossBetween val="midCat"/>
        <c:majorUnit val="14"/>
        <c:minorUnit val="7"/>
      </c:valAx>
      <c:valAx>
        <c:axId val="751237264"/>
        <c:scaling>
          <c:logBase val="10"/>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9224"/>
        <c:crosses val="autoZero"/>
        <c:crossBetween val="midCat"/>
      </c:valAx>
      <c:spPr>
        <a:noFill/>
        <a:ln>
          <a:noFill/>
        </a:ln>
        <a:effectLst/>
      </c:spPr>
    </c:plotArea>
    <c:legend>
      <c:legendPos val="r"/>
      <c:layout>
        <c:manualLayout>
          <c:xMode val="edge"/>
          <c:yMode val="edge"/>
          <c:x val="0.79090512430477899"/>
          <c:y val="0.33565589895072867"/>
          <c:w val="0.12872628493749097"/>
          <c:h val="0.18523683792746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myData!$DU$11</c:f>
          <c:strCache>
            <c:ptCount val="1"/>
            <c:pt idx="0">
              <c:v>COVID19 Australia P(t) = b / {d+[( b/Po - d ) ]* exp(-b*t)}
b=0.253, d=4.10E-05, P0=.001, r2=999.4E-3, Limit=2.44 k=&gt;6.18 k cases 
 (Fit: Sat 25-Jan - Sat 21-Nov), Cases per 10 M population</c:v>
            </c:pt>
          </c:strCache>
        </c:strRef>
      </c:tx>
      <c:layout>
        <c:manualLayout>
          <c:xMode val="edge"/>
          <c:yMode val="edge"/>
          <c:x val="8.1045088920980987E-2"/>
          <c:y val="1.25230204999544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36203827507146E-2"/>
          <c:y val="0.19461628446254714"/>
          <c:w val="0.43460159270882204"/>
          <c:h val="0.67322394151716547"/>
        </c:manualLayout>
      </c:layout>
      <c:scatterChart>
        <c:scatterStyle val="lineMarker"/>
        <c:varyColors val="0"/>
        <c:ser>
          <c:idx val="1"/>
          <c:order val="0"/>
          <c:tx>
            <c:v>Au Confirmed Cases</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myData!AuDates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myData!AuCases</c:f>
              <c:numCache>
                <c:formatCode>0.000</c:formatCode>
                <c:ptCount val="68"/>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2013.8779372338747</c:v>
                </c:pt>
              </c:numCache>
            </c:numRef>
          </c:yVal>
          <c:smooth val="0"/>
        </c:ser>
        <c:ser>
          <c:idx val="0"/>
          <c:order val="1"/>
          <c:tx>
            <c:strRef>
              <c:f>myData!AuSeries</c:f>
              <c:strCache>
                <c:ptCount val="1"/>
                <c:pt idx="0">
                  <c:v>Australia Limit 2.44 k</c:v>
                </c:pt>
              </c:strCache>
            </c:strRef>
          </c:tx>
          <c:spPr>
            <a:ln w="19050" cap="rnd">
              <a:solidFill>
                <a:schemeClr val="accent1"/>
              </a:solidFill>
              <a:prstDash val="sysDash"/>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5.0780158348501107E-4</c:v>
                </c:pt>
                <c:pt idx="1">
                  <c:v>6.5404230481095292E-4</c:v>
                </c:pt>
                <c:pt idx="2">
                  <c:v>8.4239857259244824E-4</c:v>
                </c:pt>
                <c:pt idx="3">
                  <c:v>1.0849991416250304E-3</c:v>
                </c:pt>
                <c:pt idx="4">
                  <c:v>1.3974656912655325E-3</c:v>
                </c:pt>
                <c:pt idx="5">
                  <c:v>1.7999187383778831E-3</c:v>
                </c:pt>
                <c:pt idx="6">
                  <c:v>2.3182732362566857E-3</c:v>
                </c:pt>
                <c:pt idx="7">
                  <c:v>2.9859072824000464E-3</c:v>
                </c:pt>
                <c:pt idx="8">
                  <c:v>3.8458113806717582E-3</c:v>
                </c:pt>
                <c:pt idx="9">
                  <c:v>4.9533566429069307E-3</c:v>
                </c:pt>
                <c:pt idx="10">
                  <c:v>6.379860162423789E-3</c:v>
                </c:pt>
                <c:pt idx="11">
                  <c:v>8.2171771110498126E-3</c:v>
                </c:pt>
                <c:pt idx="12">
                  <c:v>1.0583615203345937E-2</c:v>
                </c:pt>
                <c:pt idx="13">
                  <c:v>1.3631552286949062E-2</c:v>
                </c:pt>
                <c:pt idx="14">
                  <c:v>1.7557247427833086E-2</c:v>
                </c:pt>
                <c:pt idx="15">
                  <c:v>2.2613477006429773E-2</c:v>
                </c:pt>
                <c:pt idx="16">
                  <c:v>2.9125809088155249E-2</c:v>
                </c:pt>
                <c:pt idx="17">
                  <c:v>3.7513563340633591E-2</c:v>
                </c:pt>
                <c:pt idx="18">
                  <c:v>4.8316805037684707E-2</c:v>
                </c:pt>
                <c:pt idx="19">
                  <c:v>6.2231109499340589E-2</c:v>
                </c:pt>
                <c:pt idx="20">
                  <c:v>8.0152332445696792E-2</c:v>
                </c:pt>
                <c:pt idx="21">
                  <c:v>0.10323426400850313</c:v>
                </c:pt>
                <c:pt idx="22">
                  <c:v>0.13296287037121177</c:v>
                </c:pt>
                <c:pt idx="23">
                  <c:v>0.17125188951301457</c:v>
                </c:pt>
                <c:pt idx="24">
                  <c:v>0.22056591326410149</c:v>
                </c:pt>
                <c:pt idx="25">
                  <c:v>0.28407884234612357</c:v>
                </c:pt>
                <c:pt idx="26">
                  <c:v>0.36587785321200644</c:v>
                </c:pt>
                <c:pt idx="27">
                  <c:v>0.47122590364440897</c:v>
                </c:pt>
                <c:pt idx="28">
                  <c:v>0.60689950311346952</c:v>
                </c:pt>
                <c:pt idx="29">
                  <c:v>0.7816232036645312</c:v>
                </c:pt>
                <c:pt idx="30">
                  <c:v>1.0066283017744495</c:v>
                </c:pt>
                <c:pt idx="31">
                  <c:v>1.2963709194815802</c:v>
                </c:pt>
                <c:pt idx="32">
                  <c:v>1.6694543654176943</c:v>
                </c:pt>
                <c:pt idx="33">
                  <c:v>2.1498129525199996</c:v>
                </c:pt>
                <c:pt idx="34">
                  <c:v>2.7682298331535495</c:v>
                </c:pt>
                <c:pt idx="35">
                  <c:v>3.5642805217006082</c:v>
                </c:pt>
                <c:pt idx="36">
                  <c:v>4.5888172268410514</c:v>
                </c:pt>
                <c:pt idx="37">
                  <c:v>5.9071374162777035</c:v>
                </c:pt>
                <c:pt idx="38">
                  <c:v>7.6030133674683569</c:v>
                </c:pt>
                <c:pt idx="39">
                  <c:v>9.7837972992689277</c:v>
                </c:pt>
                <c:pt idx="40">
                  <c:v>12.586857161961168</c:v>
                </c:pt>
                <c:pt idx="41">
                  <c:v>16.187636995451786</c:v>
                </c:pt>
                <c:pt idx="42">
                  <c:v>20.809664516482755</c:v>
                </c:pt>
                <c:pt idx="43">
                  <c:v>26.736832045718604</c:v>
                </c:pt>
                <c:pt idx="44">
                  <c:v>34.328229126351808</c:v>
                </c:pt>
                <c:pt idx="45">
                  <c:v>44.03566425113214</c:v>
                </c:pt>
                <c:pt idx="46">
                  <c:v>56.423714355462373</c:v>
                </c:pt>
                <c:pt idx="47">
                  <c:v>72.191590317657884</c:v>
                </c:pt>
                <c:pt idx="48">
                  <c:v>92.195179179570601</c:v>
                </c:pt>
                <c:pt idx="49">
                  <c:v>117.46617251868628</c:v>
                </c:pt>
                <c:pt idx="50">
                  <c:v>149.22308751631024</c:v>
                </c:pt>
                <c:pt idx="51">
                  <c:v>188.86621970870678</c:v>
                </c:pt>
                <c:pt idx="52">
                  <c:v>237.94541939955033</c:v>
                </c:pt>
                <c:pt idx="53">
                  <c:v>298.08692497497566</c:v>
                </c:pt>
                <c:pt idx="54">
                  <c:v>370.86508683149322</c:v>
                </c:pt>
                <c:pt idx="55">
                  <c:v>457.60946513200952</c:v>
                </c:pt>
                <c:pt idx="56">
                  <c:v>559.15070131983191</c:v>
                </c:pt>
                <c:pt idx="57">
                  <c:v>675.53146881117766</c:v>
                </c:pt>
                <c:pt idx="58">
                  <c:v>805.73857376856859</c:v>
                </c:pt>
                <c:pt idx="59">
                  <c:v>947.53778679735046</c:v>
                </c:pt>
                <c:pt idx="60">
                  <c:v>1097.4962153921856</c:v>
                </c:pt>
                <c:pt idx="61">
                  <c:v>1251.2422517287348</c:v>
                </c:pt>
                <c:pt idx="62">
                  <c:v>1403.9419710971692</c:v>
                </c:pt>
                <c:pt idx="63">
                  <c:v>1550.8908420790906</c:v>
                </c:pt>
                <c:pt idx="64">
                  <c:v>1688.0726128690712</c:v>
                </c:pt>
                <c:pt idx="65">
                  <c:v>1812.5508892753742</c:v>
                </c:pt>
                <c:pt idx="66">
                  <c:v>1922.6250070724</c:v>
                </c:pt>
                <c:pt idx="67">
                  <c:v>2017.7628524309123</c:v>
                </c:pt>
                <c:pt idx="68">
                  <c:v>2098.3806987716216</c:v>
                </c:pt>
                <c:pt idx="69" formatCode="0.00E+00">
                  <c:v>2165.5574447218241</c:v>
                </c:pt>
                <c:pt idx="70" formatCode="0.00E+00">
                  <c:v>2385.6529412551895</c:v>
                </c:pt>
                <c:pt idx="71" formatCode="0.00E+00">
                  <c:v>2427.6132070388553</c:v>
                </c:pt>
                <c:pt idx="72" formatCode="0.00E+00">
                  <c:v>2434.8965165482655</c:v>
                </c:pt>
                <c:pt idx="73" formatCode="0.00E+00">
                  <c:v>2436.1395096568326</c:v>
                </c:pt>
                <c:pt idx="74" formatCode="0.00E+00">
                  <c:v>2436.3510266989711</c:v>
                </c:pt>
                <c:pt idx="75" formatCode="0.00E+00">
                  <c:v>2436.38700219365</c:v>
                </c:pt>
                <c:pt idx="76" formatCode="0.00E+00">
                  <c:v>2436.3931205049316</c:v>
                </c:pt>
                <c:pt idx="77" formatCode="0.00E+00">
                  <c:v>2436.3941610242223</c:v>
                </c:pt>
                <c:pt idx="78" formatCode="0.00E+00">
                  <c:v>2436.3943379811799</c:v>
                </c:pt>
                <c:pt idx="79" formatCode="0.00E+00">
                  <c:v>2436.3943680755301</c:v>
                </c:pt>
                <c:pt idx="80" formatCode="0.00E+00">
                  <c:v>2436.3943731935537</c:v>
                </c:pt>
                <c:pt idx="81" formatCode="0.00E+00">
                  <c:v>2436.3943740639552</c:v>
                </c:pt>
                <c:pt idx="82" formatCode="0.00E+00">
                  <c:v>2436.3943742119809</c:v>
                </c:pt>
                <c:pt idx="83" formatCode="0.00E+00">
                  <c:v>2436.3943742371548</c:v>
                </c:pt>
                <c:pt idx="84" formatCode="0.00E+00">
                  <c:v>2436.3943742414363</c:v>
                </c:pt>
                <c:pt idx="85" formatCode="0.00E+00">
                  <c:v>2436.3943742421643</c:v>
                </c:pt>
                <c:pt idx="86" formatCode="0.00E+00">
                  <c:v>2436.394374242288</c:v>
                </c:pt>
                <c:pt idx="87" formatCode="0.00E+00">
                  <c:v>2436.3943742423089</c:v>
                </c:pt>
                <c:pt idx="88" formatCode="0.00E+00">
                  <c:v>2436.3943742423126</c:v>
                </c:pt>
                <c:pt idx="89" formatCode="0.00E+00">
                  <c:v>2436.3943742423135</c:v>
                </c:pt>
                <c:pt idx="90" formatCode="0.00E+00">
                  <c:v>2436.3943742423135</c:v>
                </c:pt>
                <c:pt idx="91" formatCode="0.00E+00">
                  <c:v>2436.3943742423135</c:v>
                </c:pt>
                <c:pt idx="92" formatCode="0.00E+00">
                  <c:v>2436.3943742423135</c:v>
                </c:pt>
                <c:pt idx="93" formatCode="0.00E+00">
                  <c:v>2436.3943742423135</c:v>
                </c:pt>
                <c:pt idx="94" formatCode="0.00E+00">
                  <c:v>2436.3943742423135</c:v>
                </c:pt>
                <c:pt idx="95" formatCode="0.00E+00">
                  <c:v>2436.3943742423135</c:v>
                </c:pt>
                <c:pt idx="96" formatCode="0.00E+00">
                  <c:v>2436.3943742423135</c:v>
                </c:pt>
                <c:pt idx="97" formatCode="0.00E+00">
                  <c:v>2436.3943742423135</c:v>
                </c:pt>
                <c:pt idx="98" formatCode="0.00E+00">
                  <c:v>2436.3943742423135</c:v>
                </c:pt>
                <c:pt idx="99" formatCode="0.00E+00">
                  <c:v>2436.3943742423135</c:v>
                </c:pt>
                <c:pt idx="100" formatCode="0.00E+00">
                  <c:v>2436.3943742423135</c:v>
                </c:pt>
                <c:pt idx="101" formatCode="0.00E+00">
                  <c:v>2436.3943742423135</c:v>
                </c:pt>
                <c:pt idx="102" formatCode="0.00E+00">
                  <c:v>2436.3943742423135</c:v>
                </c:pt>
              </c:numCache>
            </c:numRef>
          </c:yVal>
          <c:smooth val="0"/>
        </c:ser>
        <c:ser>
          <c:idx val="2"/>
          <c:order val="2"/>
          <c:tx>
            <c:v>NSW Population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myData!$EO$11:$EO$12</c:f>
              <c:numCache>
                <c:formatCode>m/d/yyyy</c:formatCode>
                <c:ptCount val="2"/>
                <c:pt idx="0">
                  <c:v>43852</c:v>
                </c:pt>
                <c:pt idx="1">
                  <c:v>44004</c:v>
                </c:pt>
              </c:numCache>
            </c:numRef>
          </c:xVal>
          <c:yVal>
            <c:numRef>
              <c:f>myData!$EP$11:$EP$12</c:f>
              <c:numCache>
                <c:formatCode>0.00E+00</c:formatCode>
                <c:ptCount val="2"/>
                <c:pt idx="0">
                  <c:v>8080000</c:v>
                </c:pt>
                <c:pt idx="1">
                  <c:v>8080000</c:v>
                </c:pt>
              </c:numCache>
            </c:numRef>
          </c:yVal>
          <c:smooth val="0"/>
        </c:ser>
        <c:dLbls>
          <c:showLegendKey val="0"/>
          <c:showVal val="0"/>
          <c:showCatName val="0"/>
          <c:showSerName val="0"/>
          <c:showPercent val="0"/>
          <c:showBubbleSize val="0"/>
        </c:dLbls>
        <c:axId val="751211000"/>
        <c:axId val="751244712"/>
      </c:scatterChart>
      <c:valAx>
        <c:axId val="751211000"/>
        <c:scaling>
          <c:orientation val="minMax"/>
          <c:max val="43967"/>
          <c:min val="43855"/>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4712"/>
        <c:crosses val="autoZero"/>
        <c:crossBetween val="midCat"/>
        <c:majorUnit val="14"/>
        <c:minorUnit val="7"/>
      </c:valAx>
      <c:valAx>
        <c:axId val="751244712"/>
        <c:scaling>
          <c:logBase val="10"/>
          <c:orientation val="minMax"/>
          <c:max val="10000000"/>
          <c:min val="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11000"/>
        <c:crosses val="autoZero"/>
        <c:crossBetween val="midCat"/>
      </c:valAx>
      <c:spPr>
        <a:noFill/>
        <a:ln>
          <a:noFill/>
        </a:ln>
        <a:effectLst/>
      </c:spPr>
    </c:plotArea>
    <c:legend>
      <c:legendPos val="b"/>
      <c:layout>
        <c:manualLayout>
          <c:xMode val="edge"/>
          <c:yMode val="edge"/>
          <c:x val="0.29673269840233468"/>
          <c:y val="0.69945145225951777"/>
          <c:w val="0.19566127381957732"/>
          <c:h val="0.13803096703027251"/>
        </c:manualLayout>
      </c:layout>
      <c:overlay val="0"/>
      <c:spPr>
        <a:solidFill>
          <a:schemeClr val="bg1">
            <a:alpha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myData!$DU$12</c:f>
          <c:strCache>
            <c:ptCount val="1"/>
            <c:pt idx="0">
              <c:v>COVID19 NSW P(t) = b / {d+[( b/Po - d ) ]* exp(-b*t)}
b=0.238, d=7.93E-05, P0=.001, r2=998.6E-3, Limit=3.71 k=&gt;3.00 k cases 
 (Fit: Sat 25-Jan - Thu 02-Apr), Cases per 10 M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012874199786517E-2"/>
          <c:y val="0.21199674298138474"/>
          <c:w val="0.45877135106010902"/>
          <c:h val="0.70994083660334528"/>
        </c:manualLayout>
      </c:layout>
      <c:scatterChart>
        <c:scatterStyle val="lineMarker"/>
        <c:varyColors val="0"/>
        <c:ser>
          <c:idx val="3"/>
          <c:order val="0"/>
          <c:tx>
            <c:v>NSW Confirmed Cases</c:v>
          </c:tx>
          <c:spPr>
            <a:ln w="9525" cap="rnd">
              <a:solidFill>
                <a:schemeClr val="accent1">
                  <a:lumMod val="75000"/>
                </a:schemeClr>
              </a:solidFill>
              <a:round/>
            </a:ln>
            <a:effectLst/>
          </c:spPr>
          <c:marker>
            <c:symbol val="x"/>
            <c:size val="3"/>
            <c:spPr>
              <a:noFill/>
              <a:ln w="9525">
                <a:solidFill>
                  <a:schemeClr val="accent1">
                    <a:lumMod val="75000"/>
                  </a:schemeClr>
                </a:solidFill>
              </a:ln>
              <a:effectLst/>
            </c:spPr>
          </c:marker>
          <c:xVal>
            <c:numRef>
              <c:f>myData!NSWDates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myData!NSWCases</c:f>
              <c:numCache>
                <c:formatCode>0.000</c:formatCode>
                <c:ptCount val="68"/>
                <c:pt idx="0">
                  <c:v>3.7128712871287126</c:v>
                </c:pt>
                <c:pt idx="1">
                  <c:v>4.9504950495049505</c:v>
                </c:pt>
                <c:pt idx="2">
                  <c:v>4.9504950495049505</c:v>
                </c:pt>
                <c:pt idx="3">
                  <c:v>4.9504950495049505</c:v>
                </c:pt>
                <c:pt idx="4">
                  <c:v>4.9504950495049505</c:v>
                </c:pt>
                <c:pt idx="5">
                  <c:v>4.9504950495049505</c:v>
                </c:pt>
                <c:pt idx="6">
                  <c:v>4.9504950495049505</c:v>
                </c:pt>
                <c:pt idx="7">
                  <c:v>4.9504950495049505</c:v>
                </c:pt>
                <c:pt idx="8">
                  <c:v>4.9504950495049505</c:v>
                </c:pt>
                <c:pt idx="9">
                  <c:v>4.9504950495049505</c:v>
                </c:pt>
                <c:pt idx="10">
                  <c:v>4.9504950495049505</c:v>
                </c:pt>
                <c:pt idx="11">
                  <c:v>4.9504950495049505</c:v>
                </c:pt>
                <c:pt idx="12">
                  <c:v>4.9504950495049505</c:v>
                </c:pt>
                <c:pt idx="13">
                  <c:v>4.9504950495049505</c:v>
                </c:pt>
                <c:pt idx="14">
                  <c:v>4.9504950495049505</c:v>
                </c:pt>
                <c:pt idx="15">
                  <c:v>4.9504950495049505</c:v>
                </c:pt>
                <c:pt idx="16">
                  <c:v>4.9504950495049505</c:v>
                </c:pt>
                <c:pt idx="17">
                  <c:v>4.9504950495049505</c:v>
                </c:pt>
                <c:pt idx="18">
                  <c:v>4.9504950495049505</c:v>
                </c:pt>
                <c:pt idx="19">
                  <c:v>4.9504950495049505</c:v>
                </c:pt>
                <c:pt idx="20">
                  <c:v>4.9504950495049505</c:v>
                </c:pt>
                <c:pt idx="21">
                  <c:v>4.9504950495049505</c:v>
                </c:pt>
                <c:pt idx="22">
                  <c:v>4.9504950495049505</c:v>
                </c:pt>
                <c:pt idx="23">
                  <c:v>4.9504950495049505</c:v>
                </c:pt>
                <c:pt idx="24">
                  <c:v>4.9504950495049505</c:v>
                </c:pt>
                <c:pt idx="25">
                  <c:v>4.9504950495049505</c:v>
                </c:pt>
                <c:pt idx="26">
                  <c:v>4.9504950495049505</c:v>
                </c:pt>
                <c:pt idx="27">
                  <c:v>4.9504950495049505</c:v>
                </c:pt>
                <c:pt idx="28">
                  <c:v>4.9504950495049505</c:v>
                </c:pt>
                <c:pt idx="29">
                  <c:v>4.9504950495049505</c:v>
                </c:pt>
                <c:pt idx="30">
                  <c:v>4.9504950495049505</c:v>
                </c:pt>
                <c:pt idx="31">
                  <c:v>4.9504950495049505</c:v>
                </c:pt>
                <c:pt idx="32">
                  <c:v>4.9504950495049505</c:v>
                </c:pt>
                <c:pt idx="33">
                  <c:v>4.9504950495049505</c:v>
                </c:pt>
                <c:pt idx="34">
                  <c:v>4.9504950495049505</c:v>
                </c:pt>
                <c:pt idx="35">
                  <c:v>7.4257425742574252</c:v>
                </c:pt>
                <c:pt idx="36">
                  <c:v>7.4257425742574252</c:v>
                </c:pt>
                <c:pt idx="37">
                  <c:v>16.089108910891088</c:v>
                </c:pt>
                <c:pt idx="38">
                  <c:v>27.227722772277225</c:v>
                </c:pt>
                <c:pt idx="39">
                  <c:v>27.227722772277225</c:v>
                </c:pt>
                <c:pt idx="40">
                  <c:v>32.178217821782177</c:v>
                </c:pt>
                <c:pt idx="41">
                  <c:v>34.653465346534652</c:v>
                </c:pt>
                <c:pt idx="42">
                  <c:v>47.029702970297024</c:v>
                </c:pt>
                <c:pt idx="43">
                  <c:v>59.405940594059402</c:v>
                </c:pt>
                <c:pt idx="44">
                  <c:v>68.06930693069306</c:v>
                </c:pt>
                <c:pt idx="45">
                  <c:v>80.445544554455438</c:v>
                </c:pt>
                <c:pt idx="46">
                  <c:v>94.059405940594047</c:v>
                </c:pt>
                <c:pt idx="47">
                  <c:v>113.86138613861385</c:v>
                </c:pt>
                <c:pt idx="48">
                  <c:v>138.61386138613861</c:v>
                </c:pt>
                <c:pt idx="49">
                  <c:v>165.84158415841583</c:v>
                </c:pt>
                <c:pt idx="50">
                  <c:v>211.63366336633663</c:v>
                </c:pt>
                <c:pt idx="51">
                  <c:v>259.9009900990099</c:v>
                </c:pt>
                <c:pt idx="52">
                  <c:v>330.44554455445541</c:v>
                </c:pt>
                <c:pt idx="53">
                  <c:v>379.95049504950492</c:v>
                </c:pt>
                <c:pt idx="54">
                  <c:v>436.88118811881185</c:v>
                </c:pt>
                <c:pt idx="55">
                  <c:v>539.60396039603961</c:v>
                </c:pt>
                <c:pt idx="56">
                  <c:v>827.97029702970292</c:v>
                </c:pt>
                <c:pt idx="57">
                  <c:v>827.97029702970292</c:v>
                </c:pt>
                <c:pt idx="58">
                  <c:v>1012.3762376237623</c:v>
                </c:pt>
                <c:pt idx="59">
                  <c:v>1273.5148514851485</c:v>
                </c:pt>
                <c:pt idx="60">
                  <c:v>1508.6633663366335</c:v>
                </c:pt>
                <c:pt idx="61">
                  <c:v>1738.8613861386139</c:v>
                </c:pt>
                <c:pt idx="62">
                  <c:v>2001.2376237623762</c:v>
                </c:pt>
                <c:pt idx="63">
                  <c:v>2216.5841584158416</c:v>
                </c:pt>
                <c:pt idx="64">
                  <c:v>2373.7623762376238</c:v>
                </c:pt>
                <c:pt idx="65">
                  <c:v>2514.8514851485147</c:v>
                </c:pt>
                <c:pt idx="66">
                  <c:v>2700.4950495049502</c:v>
                </c:pt>
                <c:pt idx="67">
                  <c:v>2844.0594059405939</c:v>
                </c:pt>
              </c:numCache>
            </c:numRef>
          </c:yVal>
          <c:smooth val="0"/>
        </c:ser>
        <c:ser>
          <c:idx val="4"/>
          <c:order val="1"/>
          <c:tx>
            <c:strRef>
              <c:f>myData!NSWSeries</c:f>
              <c:strCache>
                <c:ptCount val="1"/>
                <c:pt idx="0">
                  <c:v>NSW Limit 3.71 k</c:v>
                </c:pt>
              </c:strCache>
            </c:strRef>
          </c:tx>
          <c:spPr>
            <a:ln w="19050" cap="rnd">
              <a:solidFill>
                <a:schemeClr val="accent1">
                  <a:lumMod val="75000"/>
                </a:schemeClr>
              </a:solidFill>
              <a:prstDash val="sysDash"/>
              <a:round/>
            </a:ln>
            <a:effectLst/>
          </c:spPr>
          <c:marker>
            <c:symbol val="none"/>
          </c:marker>
          <c:xVal>
            <c:numRef>
              <c:f>myData!NSWLogiDates</c:f>
              <c:numCache>
                <c:formatCode>m/d/yyyy</c:formatCode>
                <c:ptCount val="103"/>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pt idx="68">
                  <c:v>43924</c:v>
                </c:pt>
                <c:pt idx="69">
                  <c:v>43925</c:v>
                </c:pt>
                <c:pt idx="70">
                  <c:v>43932</c:v>
                </c:pt>
                <c:pt idx="71">
                  <c:v>43939</c:v>
                </c:pt>
                <c:pt idx="72">
                  <c:v>43946</c:v>
                </c:pt>
                <c:pt idx="73">
                  <c:v>43953</c:v>
                </c:pt>
                <c:pt idx="74">
                  <c:v>43960</c:v>
                </c:pt>
                <c:pt idx="75">
                  <c:v>43967</c:v>
                </c:pt>
                <c:pt idx="76">
                  <c:v>43974</c:v>
                </c:pt>
                <c:pt idx="77">
                  <c:v>43981</c:v>
                </c:pt>
                <c:pt idx="78">
                  <c:v>43988</c:v>
                </c:pt>
                <c:pt idx="79">
                  <c:v>43995</c:v>
                </c:pt>
                <c:pt idx="80">
                  <c:v>44002</c:v>
                </c:pt>
                <c:pt idx="81">
                  <c:v>44009</c:v>
                </c:pt>
                <c:pt idx="82">
                  <c:v>44016</c:v>
                </c:pt>
                <c:pt idx="83">
                  <c:v>44023</c:v>
                </c:pt>
                <c:pt idx="84">
                  <c:v>44030</c:v>
                </c:pt>
                <c:pt idx="85">
                  <c:v>44037</c:v>
                </c:pt>
                <c:pt idx="86">
                  <c:v>44044</c:v>
                </c:pt>
                <c:pt idx="87">
                  <c:v>44051</c:v>
                </c:pt>
                <c:pt idx="88">
                  <c:v>44058</c:v>
                </c:pt>
                <c:pt idx="89">
                  <c:v>44065</c:v>
                </c:pt>
                <c:pt idx="90">
                  <c:v>44072</c:v>
                </c:pt>
                <c:pt idx="91">
                  <c:v>44079</c:v>
                </c:pt>
                <c:pt idx="92">
                  <c:v>44086</c:v>
                </c:pt>
                <c:pt idx="93">
                  <c:v>44093</c:v>
                </c:pt>
                <c:pt idx="94">
                  <c:v>44100</c:v>
                </c:pt>
                <c:pt idx="95">
                  <c:v>44107</c:v>
                </c:pt>
                <c:pt idx="96">
                  <c:v>44114</c:v>
                </c:pt>
                <c:pt idx="97">
                  <c:v>44121</c:v>
                </c:pt>
                <c:pt idx="98">
                  <c:v>44128</c:v>
                </c:pt>
                <c:pt idx="99">
                  <c:v>44135</c:v>
                </c:pt>
                <c:pt idx="100">
                  <c:v>44142</c:v>
                </c:pt>
                <c:pt idx="101">
                  <c:v>44149</c:v>
                </c:pt>
                <c:pt idx="102">
                  <c:v>44156</c:v>
                </c:pt>
              </c:numCache>
            </c:numRef>
          </c:xVal>
          <c:yVal>
            <c:numRef>
              <c:f>myData!NSWLogi</c:f>
              <c:numCache>
                <c:formatCode>0.000</c:formatCode>
                <c:ptCount val="103"/>
                <c:pt idx="0">
                  <c:v>1.5698705854840598E-3</c:v>
                </c:pt>
                <c:pt idx="1">
                  <c:v>1.991310825543117E-3</c:v>
                </c:pt>
                <c:pt idx="2">
                  <c:v>2.5258888979581128E-3</c:v>
                </c:pt>
                <c:pt idx="3">
                  <c:v>3.2039771975347921E-3</c:v>
                </c:pt>
                <c:pt idx="4">
                  <c:v>4.0641017058843402E-3</c:v>
                </c:pt>
                <c:pt idx="5">
                  <c:v>5.1551308359418634E-3</c:v>
                </c:pt>
                <c:pt idx="6">
                  <c:v>6.5390518650070804E-3</c:v>
                </c:pt>
                <c:pt idx="7">
                  <c:v>8.2944926861776881E-3</c:v>
                </c:pt>
                <c:pt idx="8">
                  <c:v>1.0521188944484505E-2</c:v>
                </c:pt>
                <c:pt idx="9">
                  <c:v>1.3345650321653212E-2</c:v>
                </c:pt>
                <c:pt idx="10">
                  <c:v>1.6928347839577973E-2</c:v>
                </c:pt>
                <c:pt idx="11">
                  <c:v>2.1472830431162784E-2</c:v>
                </c:pt>
                <c:pt idx="12">
                  <c:v>2.7237288576758872E-2</c:v>
                </c:pt>
                <c:pt idx="13">
                  <c:v>3.4549221734541988E-2</c:v>
                </c:pt>
                <c:pt idx="14">
                  <c:v>4.3824042473760663E-2</c:v>
                </c:pt>
                <c:pt idx="15">
                  <c:v>5.5588673622875305E-2</c:v>
                </c:pt>
                <c:pt idx="16">
                  <c:v>7.0511478002196995E-2</c:v>
                </c:pt>
                <c:pt idx="17">
                  <c:v>8.9440219418358363E-2</c:v>
                </c:pt>
                <c:pt idx="18">
                  <c:v>0.11345020880135852</c:v>
                </c:pt>
                <c:pt idx="19">
                  <c:v>0.14390536627347272</c:v>
                </c:pt>
                <c:pt idx="20">
                  <c:v>0.18253566092308898</c:v>
                </c:pt>
                <c:pt idx="21">
                  <c:v>0.23153531599158078</c:v>
                </c:pt>
                <c:pt idx="22">
                  <c:v>0.29368733962130816</c:v>
                </c:pt>
                <c:pt idx="23">
                  <c:v>0.37252142517570475</c:v>
                </c:pt>
                <c:pt idx="24">
                  <c:v>0.47251414200922709</c:v>
                </c:pt>
                <c:pt idx="25">
                  <c:v>0.59934270968914838</c:v>
                </c:pt>
                <c:pt idx="26">
                  <c:v>0.76020664378306368</c:v>
                </c:pt>
                <c:pt idx="27">
                  <c:v>0.96423533827642915</c:v>
                </c:pt>
                <c:pt idx="28">
                  <c:v>1.223004404881854</c:v>
                </c:pt>
                <c:pt idx="29">
                  <c:v>1.5511895639227617</c:v>
                </c:pt>
                <c:pt idx="30">
                  <c:v>1.9673943677111392</c:v>
                </c:pt>
                <c:pt idx="31">
                  <c:v>2.4951973856024421</c:v>
                </c:pt>
                <c:pt idx="32">
                  <c:v>3.1644761009652451</c:v>
                </c:pt>
                <c:pt idx="33">
                  <c:v>4.0130791317901373</c:v>
                </c:pt>
                <c:pt idx="34">
                  <c:v>5.0889359967463914</c:v>
                </c:pt>
                <c:pt idx="35">
                  <c:v>6.4527150167898011</c:v>
                </c:pt>
                <c:pt idx="36">
                  <c:v>8.1811655018734069</c:v>
                </c:pt>
                <c:pt idx="37">
                  <c:v>10.371310336054863</c:v>
                </c:pt>
                <c:pt idx="38">
                  <c:v>13.145689187063066</c:v>
                </c:pt>
                <c:pt idx="39">
                  <c:v>16.658889688906545</c:v>
                </c:pt>
                <c:pt idx="40">
                  <c:v>21.105641381719035</c:v>
                </c:pt>
                <c:pt idx="41">
                  <c:v>26.730779628091511</c:v>
                </c:pt>
                <c:pt idx="42">
                  <c:v>33.84140461232149</c:v>
                </c:pt>
                <c:pt idx="43">
                  <c:v>42.821547709561635</c:v>
                </c:pt>
                <c:pt idx="44">
                  <c:v>54.149587883589525</c:v>
                </c:pt>
                <c:pt idx="45">
                  <c:v>68.418493942221474</c:v>
                </c:pt>
                <c:pt idx="46">
                  <c:v>86.358644747102346</c:v>
                </c:pt>
                <c:pt idx="47">
                  <c:v>108.86241543140586</c:v>
                </c:pt>
                <c:pt idx="48">
                  <c:v>137.00880562667018</c:v>
                </c:pt>
                <c:pt idx="49">
                  <c:v>172.08500346295597</c:v>
                </c:pt>
                <c:pt idx="50">
                  <c:v>215.59982198262188</c:v>
                </c:pt>
                <c:pt idx="51">
                  <c:v>269.2813973143592</c:v>
                </c:pt>
                <c:pt idx="52">
                  <c:v>335.04860749033986</c:v>
                </c:pt>
                <c:pt idx="53">
                  <c:v>414.94299071128785</c:v>
                </c:pt>
                <c:pt idx="54">
                  <c:v>511.00681486527998</c:v>
                </c:pt>
                <c:pt idx="55">
                  <c:v>625.09549490105485</c:v>
                </c:pt>
                <c:pt idx="56">
                  <c:v>758.62146372722509</c:v>
                </c:pt>
                <c:pt idx="57">
                  <c:v>912.24408578586895</c:v>
                </c:pt>
                <c:pt idx="58">
                  <c:v>1085.545841970566</c:v>
                </c:pt>
                <c:pt idx="59">
                  <c:v>1276.7630439126124</c:v>
                </c:pt>
                <c:pt idx="60">
                  <c:v>1482.6573484580329</c:v>
                </c:pt>
                <c:pt idx="61">
                  <c:v>1698.6065328149805</c:v>
                </c:pt>
                <c:pt idx="62">
                  <c:v>1918.9494278680702</c:v>
                </c:pt>
                <c:pt idx="63">
                  <c:v>2137.5477557733293</c:v>
                </c:pt>
                <c:pt idx="64">
                  <c:v>2348.4543597872535</c:v>
                </c:pt>
                <c:pt idx="65">
                  <c:v>2546.5383231592164</c:v>
                </c:pt>
                <c:pt idx="66">
                  <c:v>2727.9334930860759</c:v>
                </c:pt>
                <c:pt idx="67">
                  <c:v>2890.2392978419266</c:v>
                </c:pt>
                <c:pt idx="68">
                  <c:v>3032.4796839404457</c:v>
                </c:pt>
                <c:pt idx="69" formatCode="0.00E+00">
                  <c:v>3154.8841562536404</c:v>
                </c:pt>
                <c:pt idx="70" formatCode="0.00E+00">
                  <c:v>3592.8546941598006</c:v>
                </c:pt>
                <c:pt idx="71" formatCode="0.00E+00">
                  <c:v>3689.8024663291067</c:v>
                </c:pt>
                <c:pt idx="72" formatCode="0.00E+00">
                  <c:v>3708.7432606241837</c:v>
                </c:pt>
                <c:pt idx="73" formatCode="0.00E+00">
                  <c:v>3712.3500204610295</c:v>
                </c:pt>
                <c:pt idx="74" formatCode="0.00E+00">
                  <c:v>3713.0334481236378</c:v>
                </c:pt>
                <c:pt idx="75" formatCode="0.00E+00">
                  <c:v>3713.1628262529675</c:v>
                </c:pt>
                <c:pt idx="76" formatCode="0.00E+00">
                  <c:v>3713.1873141844335</c:v>
                </c:pt>
                <c:pt idx="77" formatCode="0.00E+00">
                  <c:v>3713.1919489603806</c:v>
                </c:pt>
                <c:pt idx="78" formatCode="0.00E+00">
                  <c:v>3713.1928261684666</c:v>
                </c:pt>
                <c:pt idx="79" formatCode="0.00E+00">
                  <c:v>3713.1929921944206</c:v>
                </c:pt>
                <c:pt idx="80" formatCode="0.00E+00">
                  <c:v>3713.1930236175363</c:v>
                </c:pt>
                <c:pt idx="81" formatCode="0.00E+00">
                  <c:v>3713.1930295648731</c:v>
                </c:pt>
                <c:pt idx="82" formatCode="0.00E+00">
                  <c:v>3713.1930306905033</c:v>
                </c:pt>
                <c:pt idx="83" formatCode="0.00E+00">
                  <c:v>3713.193030903547</c:v>
                </c:pt>
                <c:pt idx="84" formatCode="0.00E+00">
                  <c:v>3713.193030943869</c:v>
                </c:pt>
                <c:pt idx="85" formatCode="0.00E+00">
                  <c:v>3713.1930309515005</c:v>
                </c:pt>
                <c:pt idx="86" formatCode="0.00E+00">
                  <c:v>3713.1930309529448</c:v>
                </c:pt>
                <c:pt idx="87" formatCode="0.00E+00">
                  <c:v>3713.1930309532177</c:v>
                </c:pt>
                <c:pt idx="88" formatCode="0.00E+00">
                  <c:v>3713.19303095327</c:v>
                </c:pt>
                <c:pt idx="89" formatCode="0.00E+00">
                  <c:v>3713.1930309532795</c:v>
                </c:pt>
                <c:pt idx="90" formatCode="0.00E+00">
                  <c:v>3713.1930309532813</c:v>
                </c:pt>
                <c:pt idx="91" formatCode="0.00E+00">
                  <c:v>3713.1930309532818</c:v>
                </c:pt>
                <c:pt idx="92" formatCode="0.00E+00">
                  <c:v>3713.1930309532818</c:v>
                </c:pt>
                <c:pt idx="93" formatCode="0.00E+00">
                  <c:v>3713.1930309532818</c:v>
                </c:pt>
                <c:pt idx="94" formatCode="0.00E+00">
                  <c:v>3713.1930309532818</c:v>
                </c:pt>
                <c:pt idx="95" formatCode="0.00E+00">
                  <c:v>3713.1930309532818</c:v>
                </c:pt>
                <c:pt idx="96" formatCode="0.00E+00">
                  <c:v>3713.1930309532818</c:v>
                </c:pt>
                <c:pt idx="97" formatCode="0.00E+00">
                  <c:v>3713.1930309532818</c:v>
                </c:pt>
                <c:pt idx="98" formatCode="0.00E+00">
                  <c:v>3713.1930309532818</c:v>
                </c:pt>
                <c:pt idx="99" formatCode="0.00E+00">
                  <c:v>3713.1930309532818</c:v>
                </c:pt>
                <c:pt idx="100" formatCode="0.00E+00">
                  <c:v>3713.1930309532818</c:v>
                </c:pt>
                <c:pt idx="101" formatCode="0.00E+00">
                  <c:v>3713.1930309532818</c:v>
                </c:pt>
                <c:pt idx="102" formatCode="0.00E+00">
                  <c:v>3713.1930309532818</c:v>
                </c:pt>
              </c:numCache>
            </c:numRef>
          </c:yVal>
          <c:smooth val="0"/>
        </c:ser>
        <c:ser>
          <c:idx val="1"/>
          <c:order val="2"/>
          <c:tx>
            <c:v>Italy Confirmed Cases</c:v>
          </c:tx>
          <c:spPr>
            <a:ln w="6350" cap="rnd">
              <a:solidFill>
                <a:schemeClr val="tx1"/>
              </a:solidFill>
              <a:round/>
            </a:ln>
            <a:effectLst/>
          </c:spPr>
          <c:marker>
            <c:symbol val="diamond"/>
            <c:size val="4"/>
            <c:spPr>
              <a:noFill/>
              <a:ln w="9525">
                <a:solidFill>
                  <a:schemeClr val="tx1"/>
                </a:solidFill>
              </a:ln>
              <a:effectLst/>
            </c:spPr>
          </c:marker>
          <c:xVal>
            <c:numRef>
              <c:f>myData!ItalyDates</c:f>
              <c:numCache>
                <c:formatCode>m/d/yyyy</c:formatCode>
                <c:ptCount val="62"/>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numCache>
            </c:numRef>
          </c:xVal>
          <c:yVal>
            <c:numRef>
              <c:f>myData!ItalyCases</c:f>
              <c:numCache>
                <c:formatCode>0.0000</c:formatCode>
                <c:ptCount val="62"/>
                <c:pt idx="0">
                  <c:v>0.33066049433743905</c:v>
                </c:pt>
                <c:pt idx="1">
                  <c:v>0.33066049433743905</c:v>
                </c:pt>
                <c:pt idx="2">
                  <c:v>0.33066049433743905</c:v>
                </c:pt>
                <c:pt idx="3">
                  <c:v>0.33066049433743905</c:v>
                </c:pt>
                <c:pt idx="4">
                  <c:v>0.33066049433743905</c:v>
                </c:pt>
                <c:pt idx="5">
                  <c:v>0.33066049433743905</c:v>
                </c:pt>
                <c:pt idx="6">
                  <c:v>0.33066049433743905</c:v>
                </c:pt>
                <c:pt idx="7">
                  <c:v>0.49599074150615857</c:v>
                </c:pt>
                <c:pt idx="8">
                  <c:v>0.49599074150615857</c:v>
                </c:pt>
                <c:pt idx="9">
                  <c:v>0.49599074150615857</c:v>
                </c:pt>
                <c:pt idx="10">
                  <c:v>0.49599074150615857</c:v>
                </c:pt>
                <c:pt idx="11">
                  <c:v>0.49599074150615857</c:v>
                </c:pt>
                <c:pt idx="12">
                  <c:v>0.49599074150615857</c:v>
                </c:pt>
                <c:pt idx="13">
                  <c:v>0.49599074150615857</c:v>
                </c:pt>
                <c:pt idx="14">
                  <c:v>0.49599074150615857</c:v>
                </c:pt>
                <c:pt idx="15">
                  <c:v>0.49599074150615857</c:v>
                </c:pt>
                <c:pt idx="16">
                  <c:v>0.49599074150615857</c:v>
                </c:pt>
                <c:pt idx="17">
                  <c:v>0.49599074150615857</c:v>
                </c:pt>
                <c:pt idx="18">
                  <c:v>0.49599074150615857</c:v>
                </c:pt>
                <c:pt idx="19">
                  <c:v>0.49599074150615857</c:v>
                </c:pt>
                <c:pt idx="20">
                  <c:v>0.49599074150615857</c:v>
                </c:pt>
                <c:pt idx="21">
                  <c:v>3.3066049433743903</c:v>
                </c:pt>
                <c:pt idx="22" formatCode="##0.0E+00">
                  <c:v>10.250475324460611</c:v>
                </c:pt>
                <c:pt idx="23" formatCode="##0.0E+00">
                  <c:v>25.626188311151527</c:v>
                </c:pt>
                <c:pt idx="24" formatCode="##0.0E+00">
                  <c:v>37.860626601636774</c:v>
                </c:pt>
                <c:pt idx="25" formatCode="##0.0E+00">
                  <c:v>53.236339588327688</c:v>
                </c:pt>
                <c:pt idx="26" formatCode="##0.0E+00">
                  <c:v>74.894601967429949</c:v>
                </c:pt>
                <c:pt idx="27" formatCode="##0.0E+00">
                  <c:v>108.29131189551129</c:v>
                </c:pt>
                <c:pt idx="28" formatCode="##0.0E+00">
                  <c:v>146.81325948582293</c:v>
                </c:pt>
                <c:pt idx="29" formatCode="##0.0E+00">
                  <c:v>186.49251880631562</c:v>
                </c:pt>
                <c:pt idx="30" formatCode="##0.0E+00">
                  <c:v>280.06943870381087</c:v>
                </c:pt>
                <c:pt idx="31" formatCode="##0.0E+00">
                  <c:v>336.61238323551294</c:v>
                </c:pt>
                <c:pt idx="32" formatCode="##0.0E+00">
                  <c:v>413.65627841613627</c:v>
                </c:pt>
                <c:pt idx="33" formatCode="##0.0E+00">
                  <c:v>510.70513350417463</c:v>
                </c:pt>
                <c:pt idx="34" formatCode="##0.0E+00">
                  <c:v>637.84409357691993</c:v>
                </c:pt>
                <c:pt idx="35" formatCode="##0.0E+00">
                  <c:v>766.47102587418374</c:v>
                </c:pt>
                <c:pt idx="36" formatCode="##0.0E+00">
                  <c:v>972.63784409357697</c:v>
                </c:pt>
                <c:pt idx="37" formatCode="##0.0E+00">
                  <c:v>1219.3105728693065</c:v>
                </c:pt>
                <c:pt idx="38" formatCode="##0.0E+00">
                  <c:v>1516.4090270314955</c:v>
                </c:pt>
                <c:pt idx="39" formatCode="##0.0E+00">
                  <c:v>1677.9366785153345</c:v>
                </c:pt>
                <c:pt idx="40" formatCode="##0.0E+00">
                  <c:v>2060.3455402165828</c:v>
                </c:pt>
                <c:pt idx="41" formatCode="##0.0E+00">
                  <c:v>2060.3455402165828</c:v>
                </c:pt>
                <c:pt idx="42" formatCode="##0.0E+00">
                  <c:v>2919.732164999587</c:v>
                </c:pt>
                <c:pt idx="43" formatCode="##0.0E+00">
                  <c:v>3497.8920393485992</c:v>
                </c:pt>
                <c:pt idx="44" formatCode="##0.0E+00">
                  <c:v>4091.4276266843021</c:v>
                </c:pt>
                <c:pt idx="45" formatCode="##0.0E+00">
                  <c:v>4625.9403157807719</c:v>
                </c:pt>
                <c:pt idx="46" formatCode="##0.0E+00">
                  <c:v>5208.8947672976774</c:v>
                </c:pt>
                <c:pt idx="47" formatCode="##0.0E+00">
                  <c:v>5904.4391171364805</c:v>
                </c:pt>
                <c:pt idx="48" formatCode="##0.0E+00">
                  <c:v>6784.3266925684056</c:v>
                </c:pt>
                <c:pt idx="49" formatCode="##0.0E+00">
                  <c:v>7773.9935521203606</c:v>
                </c:pt>
                <c:pt idx="50" formatCode="##0.0E+00">
                  <c:v>8858.0639828056555</c:v>
                </c:pt>
                <c:pt idx="51" formatCode="##0.0E+00">
                  <c:v>9777.3001570637352</c:v>
                </c:pt>
                <c:pt idx="52" formatCode="##0.0E+00">
                  <c:v>10569.066710754732</c:v>
                </c:pt>
                <c:pt idx="53" formatCode="##0.0E+00">
                  <c:v>11436.885178143342</c:v>
                </c:pt>
                <c:pt idx="54" formatCode="##0.0E+00">
                  <c:v>12298.255765892371</c:v>
                </c:pt>
                <c:pt idx="55" formatCode="##0.0E+00">
                  <c:v>13323.799289079938</c:v>
                </c:pt>
                <c:pt idx="56" formatCode="##0.0E+00">
                  <c:v>14300.735719599901</c:v>
                </c:pt>
                <c:pt idx="57" formatCode="##0.0E+00">
                  <c:v>15288.418616185832</c:v>
                </c:pt>
                <c:pt idx="58" formatCode="##0.0E+00">
                  <c:v>16150.946515665042</c:v>
                </c:pt>
                <c:pt idx="59" formatCode="##0.0E+00">
                  <c:v>16820.534016698355</c:v>
                </c:pt>
                <c:pt idx="60" formatCode="##0.0E+00">
                  <c:v>17490.617508473177</c:v>
                </c:pt>
                <c:pt idx="61" formatCode="##0.0E+00">
                  <c:v>18281.226750433994</c:v>
                </c:pt>
              </c:numCache>
            </c:numRef>
          </c:yVal>
          <c:smooth val="0"/>
        </c:ser>
        <c:ser>
          <c:idx val="0"/>
          <c:order val="3"/>
          <c:tx>
            <c:strRef>
              <c:f>myData!ItalySeries</c:f>
              <c:strCache>
                <c:ptCount val="1"/>
                <c:pt idx="0">
                  <c:v>Italy Limit 16.1 k</c:v>
                </c:pt>
              </c:strCache>
            </c:strRef>
          </c:tx>
          <c:spPr>
            <a:ln w="12700" cap="rnd">
              <a:solidFill>
                <a:schemeClr val="tx1"/>
              </a:solidFill>
              <a:prstDash val="sysDash"/>
              <a:round/>
            </a:ln>
            <a:effectLst/>
          </c:spPr>
          <c:marker>
            <c:symbol val="none"/>
          </c:marker>
          <c:xVal>
            <c:numRef>
              <c:f>myData!ItalyLogiDates</c:f>
              <c:numCache>
                <c:formatCode>m/d/yyyy</c:formatCode>
                <c:ptCount val="98"/>
                <c:pt idx="0">
                  <c:v>43861</c:v>
                </c:pt>
                <c:pt idx="1">
                  <c:v>43862</c:v>
                </c:pt>
                <c:pt idx="2">
                  <c:v>43863</c:v>
                </c:pt>
                <c:pt idx="3">
                  <c:v>43864</c:v>
                </c:pt>
                <c:pt idx="4">
                  <c:v>43865</c:v>
                </c:pt>
                <c:pt idx="5">
                  <c:v>43866</c:v>
                </c:pt>
                <c:pt idx="6">
                  <c:v>43867</c:v>
                </c:pt>
                <c:pt idx="7">
                  <c:v>43868</c:v>
                </c:pt>
                <c:pt idx="8">
                  <c:v>43869</c:v>
                </c:pt>
                <c:pt idx="9">
                  <c:v>43870</c:v>
                </c:pt>
                <c:pt idx="10">
                  <c:v>43871</c:v>
                </c:pt>
                <c:pt idx="11">
                  <c:v>43872</c:v>
                </c:pt>
                <c:pt idx="12">
                  <c:v>43873</c:v>
                </c:pt>
                <c:pt idx="13">
                  <c:v>43874</c:v>
                </c:pt>
                <c:pt idx="14">
                  <c:v>43875</c:v>
                </c:pt>
                <c:pt idx="15">
                  <c:v>43876</c:v>
                </c:pt>
                <c:pt idx="16">
                  <c:v>43877</c:v>
                </c:pt>
                <c:pt idx="17">
                  <c:v>43878</c:v>
                </c:pt>
                <c:pt idx="18">
                  <c:v>43879</c:v>
                </c:pt>
                <c:pt idx="19">
                  <c:v>43880</c:v>
                </c:pt>
                <c:pt idx="20">
                  <c:v>43881</c:v>
                </c:pt>
                <c:pt idx="21">
                  <c:v>43882</c:v>
                </c:pt>
                <c:pt idx="22">
                  <c:v>43883</c:v>
                </c:pt>
                <c:pt idx="23">
                  <c:v>43884</c:v>
                </c:pt>
                <c:pt idx="24">
                  <c:v>43885</c:v>
                </c:pt>
                <c:pt idx="25">
                  <c:v>43886</c:v>
                </c:pt>
                <c:pt idx="26">
                  <c:v>43887</c:v>
                </c:pt>
                <c:pt idx="27">
                  <c:v>43888</c:v>
                </c:pt>
                <c:pt idx="28">
                  <c:v>43889</c:v>
                </c:pt>
                <c:pt idx="29">
                  <c:v>43890</c:v>
                </c:pt>
                <c:pt idx="30">
                  <c:v>43891</c:v>
                </c:pt>
                <c:pt idx="31">
                  <c:v>43892</c:v>
                </c:pt>
                <c:pt idx="32">
                  <c:v>43893</c:v>
                </c:pt>
                <c:pt idx="33">
                  <c:v>43894</c:v>
                </c:pt>
                <c:pt idx="34">
                  <c:v>43895</c:v>
                </c:pt>
                <c:pt idx="35">
                  <c:v>43896</c:v>
                </c:pt>
                <c:pt idx="36">
                  <c:v>43897</c:v>
                </c:pt>
                <c:pt idx="37">
                  <c:v>43898</c:v>
                </c:pt>
                <c:pt idx="38">
                  <c:v>43899</c:v>
                </c:pt>
                <c:pt idx="39">
                  <c:v>43900</c:v>
                </c:pt>
                <c:pt idx="40">
                  <c:v>43901</c:v>
                </c:pt>
                <c:pt idx="41">
                  <c:v>43902</c:v>
                </c:pt>
                <c:pt idx="42">
                  <c:v>43903</c:v>
                </c:pt>
                <c:pt idx="43">
                  <c:v>43904</c:v>
                </c:pt>
                <c:pt idx="44">
                  <c:v>43905</c:v>
                </c:pt>
                <c:pt idx="45">
                  <c:v>43906</c:v>
                </c:pt>
                <c:pt idx="46">
                  <c:v>43907</c:v>
                </c:pt>
                <c:pt idx="47">
                  <c:v>43908</c:v>
                </c:pt>
                <c:pt idx="48">
                  <c:v>43909</c:v>
                </c:pt>
                <c:pt idx="49">
                  <c:v>43910</c:v>
                </c:pt>
                <c:pt idx="50">
                  <c:v>43911</c:v>
                </c:pt>
                <c:pt idx="51">
                  <c:v>43912</c:v>
                </c:pt>
                <c:pt idx="52">
                  <c:v>43913</c:v>
                </c:pt>
                <c:pt idx="53">
                  <c:v>43914</c:v>
                </c:pt>
                <c:pt idx="54">
                  <c:v>43915</c:v>
                </c:pt>
                <c:pt idx="55">
                  <c:v>43916</c:v>
                </c:pt>
                <c:pt idx="56">
                  <c:v>43917</c:v>
                </c:pt>
                <c:pt idx="57">
                  <c:v>43918</c:v>
                </c:pt>
                <c:pt idx="58">
                  <c:v>43919</c:v>
                </c:pt>
                <c:pt idx="59">
                  <c:v>43920</c:v>
                </c:pt>
                <c:pt idx="60">
                  <c:v>43921</c:v>
                </c:pt>
                <c:pt idx="61">
                  <c:v>43922</c:v>
                </c:pt>
                <c:pt idx="62">
                  <c:v>43923</c:v>
                </c:pt>
                <c:pt idx="63">
                  <c:v>43924</c:v>
                </c:pt>
                <c:pt idx="64">
                  <c:v>43925</c:v>
                </c:pt>
                <c:pt idx="65">
                  <c:v>43932</c:v>
                </c:pt>
                <c:pt idx="66">
                  <c:v>43939</c:v>
                </c:pt>
                <c:pt idx="67">
                  <c:v>43946</c:v>
                </c:pt>
                <c:pt idx="68">
                  <c:v>43953</c:v>
                </c:pt>
                <c:pt idx="69">
                  <c:v>43960</c:v>
                </c:pt>
                <c:pt idx="70">
                  <c:v>43967</c:v>
                </c:pt>
                <c:pt idx="71">
                  <c:v>43974</c:v>
                </c:pt>
                <c:pt idx="72">
                  <c:v>43981</c:v>
                </c:pt>
                <c:pt idx="73">
                  <c:v>43988</c:v>
                </c:pt>
                <c:pt idx="74">
                  <c:v>43995</c:v>
                </c:pt>
                <c:pt idx="75">
                  <c:v>44002</c:v>
                </c:pt>
                <c:pt idx="76">
                  <c:v>44009</c:v>
                </c:pt>
                <c:pt idx="77">
                  <c:v>44016</c:v>
                </c:pt>
                <c:pt idx="78">
                  <c:v>44023</c:v>
                </c:pt>
                <c:pt idx="79">
                  <c:v>44030</c:v>
                </c:pt>
                <c:pt idx="80">
                  <c:v>44037</c:v>
                </c:pt>
                <c:pt idx="81">
                  <c:v>44044</c:v>
                </c:pt>
                <c:pt idx="82">
                  <c:v>44051</c:v>
                </c:pt>
                <c:pt idx="83">
                  <c:v>44058</c:v>
                </c:pt>
                <c:pt idx="84">
                  <c:v>44065</c:v>
                </c:pt>
                <c:pt idx="85">
                  <c:v>44072</c:v>
                </c:pt>
                <c:pt idx="86">
                  <c:v>44079</c:v>
                </c:pt>
                <c:pt idx="87">
                  <c:v>44086</c:v>
                </c:pt>
                <c:pt idx="88">
                  <c:v>44093</c:v>
                </c:pt>
                <c:pt idx="89">
                  <c:v>44100</c:v>
                </c:pt>
                <c:pt idx="90">
                  <c:v>44107</c:v>
                </c:pt>
                <c:pt idx="91">
                  <c:v>44114</c:v>
                </c:pt>
                <c:pt idx="92">
                  <c:v>44121</c:v>
                </c:pt>
                <c:pt idx="93">
                  <c:v>44128</c:v>
                </c:pt>
                <c:pt idx="94">
                  <c:v>44135</c:v>
                </c:pt>
                <c:pt idx="95">
                  <c:v>44142</c:v>
                </c:pt>
                <c:pt idx="96">
                  <c:v>44149</c:v>
                </c:pt>
                <c:pt idx="97">
                  <c:v>44156</c:v>
                </c:pt>
              </c:numCache>
            </c:numRef>
          </c:xVal>
          <c:yVal>
            <c:numRef>
              <c:f>myData!ItalyLogi</c:f>
              <c:numCache>
                <c:formatCode>0.00E+00</c:formatCode>
                <c:ptCount val="98"/>
                <c:pt idx="0">
                  <c:v>9.4710249227487678E-2</c:v>
                </c:pt>
                <c:pt idx="1">
                  <c:v>0.12241971444820525</c:v>
                </c:pt>
                <c:pt idx="2">
                  <c:v>0.15823608376944373</c:v>
                </c:pt>
                <c:pt idx="3">
                  <c:v>0.20453112478026134</c:v>
                </c:pt>
                <c:pt idx="4">
                  <c:v>0.26437045693901412</c:v>
                </c:pt>
                <c:pt idx="5">
                  <c:v>0.34171651131083974</c:v>
                </c:pt>
                <c:pt idx="6">
                  <c:v>0.44169084224299343</c:v>
                </c:pt>
                <c:pt idx="7">
                  <c:v>0.57091313655951625</c:v>
                </c:pt>
                <c:pt idx="8">
                  <c:v>0.73793932783184657</c:v>
                </c:pt>
                <c:pt idx="9">
                  <c:v>0.95382775762234118</c:v>
                </c:pt>
                <c:pt idx="10">
                  <c:v>1.2328707572919062</c:v>
                </c:pt>
                <c:pt idx="11">
                  <c:v>1.5935398984644138</c:v>
                </c:pt>
                <c:pt idx="12">
                  <c:v>2.0597071761187049</c:v>
                </c:pt>
                <c:pt idx="13">
                  <c:v>2.6622224376909078</c:v>
                </c:pt>
                <c:pt idx="14">
                  <c:v>3.440950589686973</c:v>
                </c:pt>
                <c:pt idx="15">
                  <c:v>4.4474019373961546</c:v>
                </c:pt>
                <c:pt idx="16">
                  <c:v>5.748127251105454</c:v>
                </c:pt>
                <c:pt idx="17">
                  <c:v>7.4290980570842891</c:v>
                </c:pt>
                <c:pt idx="18">
                  <c:v>9.6013549975864088</c:v>
                </c:pt>
                <c:pt idx="19">
                  <c:v>12.40828624669135</c:v>
                </c:pt>
                <c:pt idx="20">
                  <c:v>16.034997863488968</c:v>
                </c:pt>
                <c:pt idx="21">
                  <c:v>20.720363092088625</c:v>
                </c:pt>
                <c:pt idx="22">
                  <c:v>26.772492729422463</c:v>
                </c:pt>
                <c:pt idx="23">
                  <c:v>34.588558204082979</c:v>
                </c:pt>
                <c:pt idx="24">
                  <c:v>44.680125864042282</c:v>
                </c:pt>
                <c:pt idx="25">
                  <c:v>57.705424383749452</c:v>
                </c:pt>
                <c:pt idx="26">
                  <c:v>74.51025884280925</c:v>
                </c:pt>
                <c:pt idx="27">
                  <c:v>96.17958247179125</c:v>
                </c:pt>
                <c:pt idx="28">
                  <c:v>124.10199305801184</c:v>
                </c:pt>
                <c:pt idx="29">
                  <c:v>160.04954653776946</c:v>
                </c:pt>
                <c:pt idx="30">
                  <c:v>206.27511890988049</c:v>
                </c:pt>
                <c:pt idx="31">
                  <c:v>265.62883867770449</c:v>
                </c:pt>
                <c:pt idx="32">
                  <c:v>341.69344281069021</c:v>
                </c:pt>
                <c:pt idx="33">
                  <c:v>438.93516169495808</c:v>
                </c:pt>
                <c:pt idx="34">
                  <c:v>562.86105264390915</c:v>
                </c:pt>
                <c:pt idx="35">
                  <c:v>720.16450722314983</c:v>
                </c:pt>
                <c:pt idx="36">
                  <c:v>918.82688256448307</c:v>
                </c:pt>
                <c:pt idx="37">
                  <c:v>1168.1243424393117</c:v>
                </c:pt>
                <c:pt idx="38">
                  <c:v>1478.4662672968843</c:v>
                </c:pt>
                <c:pt idx="39">
                  <c:v>1860.9699320075119</c:v>
                </c:pt>
                <c:pt idx="40">
                  <c:v>2326.666699400379</c:v>
                </c:pt>
                <c:pt idx="41">
                  <c:v>2885.2567593485564</c:v>
                </c:pt>
                <c:pt idx="42">
                  <c:v>3543.4067999961553</c:v>
                </c:pt>
                <c:pt idx="43">
                  <c:v>4302.7358163772924</c:v>
                </c:pt>
                <c:pt idx="44">
                  <c:v>5157.8463380586218</c:v>
                </c:pt>
                <c:pt idx="45">
                  <c:v>6094.9626210705965</c:v>
                </c:pt>
                <c:pt idx="46">
                  <c:v>7091.8056572618543</c:v>
                </c:pt>
                <c:pt idx="47">
                  <c:v>8119.1368191166539</c:v>
                </c:pt>
                <c:pt idx="48">
                  <c:v>9143.9171663282941</c:v>
                </c:pt>
                <c:pt idx="49">
                  <c:v>10133.43211521681</c:v>
                </c:pt>
                <c:pt idx="50">
                  <c:v>11059.331560442512</c:v>
                </c:pt>
                <c:pt idx="51">
                  <c:v>11900.571635215421</c:v>
                </c:pt>
                <c:pt idx="52">
                  <c:v>12644.693836517701</c:v>
                </c:pt>
                <c:pt idx="53">
                  <c:v>13287.475975550067</c:v>
                </c:pt>
                <c:pt idx="54">
                  <c:v>13831.43683196342</c:v>
                </c:pt>
                <c:pt idx="55">
                  <c:v>14283.828559199304</c:v>
                </c:pt>
                <c:pt idx="56">
                  <c:v>14654.652487350791</c:v>
                </c:pt>
                <c:pt idx="57">
                  <c:v>14955.021432864407</c:v>
                </c:pt>
                <c:pt idx="58">
                  <c:v>15195.986041361031</c:v>
                </c:pt>
                <c:pt idx="59">
                  <c:v>15387.803316081347</c:v>
                </c:pt>
                <c:pt idx="60">
                  <c:v>15539.558090583221</c:v>
                </c:pt>
                <c:pt idx="61">
                  <c:v>15659.03267718982</c:v>
                </c:pt>
                <c:pt idx="62">
                  <c:v>15752.732254697597</c:v>
                </c:pt>
                <c:pt idx="63">
                  <c:v>15825.995916358999</c:v>
                </c:pt>
                <c:pt idx="64">
                  <c:v>15883.145637574864</c:v>
                </c:pt>
                <c:pt idx="65">
                  <c:v>16048.366150617348</c:v>
                </c:pt>
                <c:pt idx="66">
                  <c:v>16076.107170520339</c:v>
                </c:pt>
                <c:pt idx="67">
                  <c:v>16080.718340456229</c:v>
                </c:pt>
                <c:pt idx="68">
                  <c:v>16081.483532469018</c:v>
                </c:pt>
                <c:pt idx="69">
                  <c:v>16081.61047542423</c:v>
                </c:pt>
                <c:pt idx="70">
                  <c:v>16081.631533887918</c:v>
                </c:pt>
                <c:pt idx="71">
                  <c:v>16081.635027232529</c:v>
                </c:pt>
                <c:pt idx="72">
                  <c:v>16081.635606735443</c:v>
                </c:pt>
                <c:pt idx="73">
                  <c:v>16081.635702867829</c:v>
                </c:pt>
                <c:pt idx="74">
                  <c:v>16081.635718815009</c:v>
                </c:pt>
                <c:pt idx="75">
                  <c:v>16081.635721460445</c:v>
                </c:pt>
                <c:pt idx="76">
                  <c:v>16081.635721899289</c:v>
                </c:pt>
                <c:pt idx="77">
                  <c:v>16081.635721972089</c:v>
                </c:pt>
                <c:pt idx="78">
                  <c:v>16081.635721984168</c:v>
                </c:pt>
                <c:pt idx="79">
                  <c:v>16081.635721986171</c:v>
                </c:pt>
                <c:pt idx="80">
                  <c:v>16081.635721986502</c:v>
                </c:pt>
                <c:pt idx="81">
                  <c:v>16081.635721986559</c:v>
                </c:pt>
                <c:pt idx="82">
                  <c:v>16081.635721986566</c:v>
                </c:pt>
                <c:pt idx="83">
                  <c:v>16081.635721986569</c:v>
                </c:pt>
                <c:pt idx="84">
                  <c:v>16081.635721986569</c:v>
                </c:pt>
                <c:pt idx="85">
                  <c:v>16081.635721986569</c:v>
                </c:pt>
                <c:pt idx="86">
                  <c:v>16081.635721986569</c:v>
                </c:pt>
                <c:pt idx="87">
                  <c:v>16081.635721986569</c:v>
                </c:pt>
                <c:pt idx="88">
                  <c:v>16081.635721986569</c:v>
                </c:pt>
                <c:pt idx="89">
                  <c:v>16081.635721986569</c:v>
                </c:pt>
                <c:pt idx="90">
                  <c:v>16081.635721986569</c:v>
                </c:pt>
                <c:pt idx="91">
                  <c:v>16081.635721986569</c:v>
                </c:pt>
                <c:pt idx="92">
                  <c:v>16081.635721986569</c:v>
                </c:pt>
                <c:pt idx="93">
                  <c:v>16081.635721986569</c:v>
                </c:pt>
                <c:pt idx="94">
                  <c:v>16081.635721986569</c:v>
                </c:pt>
                <c:pt idx="95">
                  <c:v>16081.635721986569</c:v>
                </c:pt>
                <c:pt idx="96">
                  <c:v>16081.635721986569</c:v>
                </c:pt>
                <c:pt idx="97">
                  <c:v>16081.635721986569</c:v>
                </c:pt>
              </c:numCache>
            </c:numRef>
          </c:yVal>
          <c:smooth val="0"/>
        </c:ser>
        <c:ser>
          <c:idx val="2"/>
          <c:order val="4"/>
          <c:tx>
            <c:v>US Confirmed Cases</c:v>
          </c:tx>
          <c:spPr>
            <a:ln w="9525" cap="rnd">
              <a:solidFill>
                <a:schemeClr val="accent6">
                  <a:lumMod val="75000"/>
                </a:schemeClr>
              </a:solidFill>
              <a:round/>
            </a:ln>
            <a:effectLst/>
          </c:spPr>
          <c:marker>
            <c:symbol val="circle"/>
            <c:size val="4"/>
            <c:spPr>
              <a:solidFill>
                <a:schemeClr val="accent6">
                  <a:lumMod val="75000"/>
                </a:schemeClr>
              </a:solidFill>
              <a:ln w="9525">
                <a:solidFill>
                  <a:schemeClr val="accent3"/>
                </a:solidFill>
              </a:ln>
              <a:effectLst/>
            </c:spPr>
          </c:marker>
          <c:xVal>
            <c:numRef>
              <c:f>myData!USDates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myData!USCases</c:f>
              <c:numCache>
                <c:formatCode>##0.0E+00</c:formatCode>
                <c:ptCount val="71"/>
                <c:pt idx="0">
                  <c:v>3.037411069235945E-2</c:v>
                </c:pt>
                <c:pt idx="1">
                  <c:v>3.037411069235945E-2</c:v>
                </c:pt>
                <c:pt idx="2">
                  <c:v>6.0748221384718901E-2</c:v>
                </c:pt>
                <c:pt idx="3">
                  <c:v>6.0748221384718901E-2</c:v>
                </c:pt>
                <c:pt idx="4">
                  <c:v>0.15187055346179726</c:v>
                </c:pt>
                <c:pt idx="5">
                  <c:v>0.15187055346179726</c:v>
                </c:pt>
                <c:pt idx="6">
                  <c:v>0.15187055346179726</c:v>
                </c:pt>
                <c:pt idx="7">
                  <c:v>0.15187055346179726</c:v>
                </c:pt>
                <c:pt idx="8">
                  <c:v>0.15187055346179726</c:v>
                </c:pt>
                <c:pt idx="9">
                  <c:v>0.21261877484651615</c:v>
                </c:pt>
                <c:pt idx="10">
                  <c:v>0.2429928855388756</c:v>
                </c:pt>
                <c:pt idx="11">
                  <c:v>0.2429928855388756</c:v>
                </c:pt>
                <c:pt idx="12">
                  <c:v>0.33411521761595392</c:v>
                </c:pt>
                <c:pt idx="13">
                  <c:v>0.33411521761595392</c:v>
                </c:pt>
                <c:pt idx="14">
                  <c:v>0.33411521761595392</c:v>
                </c:pt>
                <c:pt idx="15">
                  <c:v>0.33411521761595392</c:v>
                </c:pt>
                <c:pt idx="16">
                  <c:v>0.33411521761595392</c:v>
                </c:pt>
                <c:pt idx="17">
                  <c:v>0.33411521761595392</c:v>
                </c:pt>
                <c:pt idx="18">
                  <c:v>0.33411521761595392</c:v>
                </c:pt>
                <c:pt idx="19">
                  <c:v>0.33411521761595392</c:v>
                </c:pt>
                <c:pt idx="20">
                  <c:v>0.36448932830831338</c:v>
                </c:pt>
                <c:pt idx="21">
                  <c:v>0.36448932830831338</c:v>
                </c:pt>
                <c:pt idx="22">
                  <c:v>0.39486343900067283</c:v>
                </c:pt>
                <c:pt idx="23">
                  <c:v>0.39486343900067283</c:v>
                </c:pt>
                <c:pt idx="24">
                  <c:v>0.39486343900067283</c:v>
                </c:pt>
                <c:pt idx="25">
                  <c:v>0.39486343900067283</c:v>
                </c:pt>
                <c:pt idx="26">
                  <c:v>0.39486343900067283</c:v>
                </c:pt>
                <c:pt idx="27">
                  <c:v>0.39486343900067283</c:v>
                </c:pt>
                <c:pt idx="28">
                  <c:v>0.39486343900067283</c:v>
                </c:pt>
                <c:pt idx="29">
                  <c:v>0.39486343900067283</c:v>
                </c:pt>
                <c:pt idx="30">
                  <c:v>0.45561166038539175</c:v>
                </c:pt>
                <c:pt idx="31">
                  <c:v>0.45561166038539175</c:v>
                </c:pt>
                <c:pt idx="32">
                  <c:v>0.45561166038539175</c:v>
                </c:pt>
                <c:pt idx="33">
                  <c:v>1.5490796453103319</c:v>
                </c:pt>
                <c:pt idx="34">
                  <c:v>1.5490796453103319</c:v>
                </c:pt>
                <c:pt idx="35">
                  <c:v>1.7313243094644886</c:v>
                </c:pt>
                <c:pt idx="36">
                  <c:v>1.761698420156848</c:v>
                </c:pt>
                <c:pt idx="37">
                  <c:v>1.822446641541567</c:v>
                </c:pt>
                <c:pt idx="38">
                  <c:v>2.0654395270804424</c:v>
                </c:pt>
                <c:pt idx="39">
                  <c:v>2.2476841912345993</c:v>
                </c:pt>
                <c:pt idx="40">
                  <c:v>2.9766628478512263</c:v>
                </c:pt>
                <c:pt idx="41">
                  <c:v>3.5841450616984152</c:v>
                </c:pt>
                <c:pt idx="42">
                  <c:v>4.525742493161558</c:v>
                </c:pt>
                <c:pt idx="43">
                  <c:v>6.5911820202420008</c:v>
                </c:pt>
                <c:pt idx="44">
                  <c:v>7.9580170013981757</c:v>
                </c:pt>
                <c:pt idx="45">
                  <c:v>12.210392498328499</c:v>
                </c:pt>
                <c:pt idx="46">
                  <c:v>15.733789338642195</c:v>
                </c:pt>
                <c:pt idx="47">
                  <c:v>17.708106533645559</c:v>
                </c:pt>
                <c:pt idx="48">
                  <c:v>29.128772153972712</c:v>
                </c:pt>
                <c:pt idx="49">
                  <c:v>38.909235796912455</c:v>
                </c:pt>
                <c:pt idx="50">
                  <c:v>50.512146081393766</c:v>
                </c:pt>
                <c:pt idx="51">
                  <c:v>66.185187198651235</c:v>
                </c:pt>
                <c:pt idx="52">
                  <c:v>82.830199858064219</c:v>
                </c:pt>
                <c:pt idx="53">
                  <c:v>106.27901331256571</c:v>
                </c:pt>
                <c:pt idx="54">
                  <c:v>140.69288072700897</c:v>
                </c:pt>
                <c:pt idx="55">
                  <c:v>195.03216475564003</c:v>
                </c:pt>
                <c:pt idx="56">
                  <c:v>236.40170351863358</c:v>
                </c:pt>
                <c:pt idx="57">
                  <c:v>415.42671193940021</c:v>
                </c:pt>
                <c:pt idx="58">
                  <c:v>580.14551422406544</c:v>
                </c:pt>
                <c:pt idx="59">
                  <c:v>774.20570743755002</c:v>
                </c:pt>
                <c:pt idx="60">
                  <c:v>1010.7289073989531</c:v>
                </c:pt>
                <c:pt idx="61">
                  <c:v>1331.8136315278848</c:v>
                </c:pt>
                <c:pt idx="62">
                  <c:v>1632.3047086073968</c:v>
                </c:pt>
                <c:pt idx="63">
                  <c:v>1997.9482531220199</c:v>
                </c:pt>
                <c:pt idx="64">
                  <c:v>2546.4439440046467</c:v>
                </c:pt>
                <c:pt idx="65">
                  <c:v>3087.7409706531844</c:v>
                </c:pt>
                <c:pt idx="66">
                  <c:v>3689.7862186864413</c:v>
                </c:pt>
                <c:pt idx="67">
                  <c:v>4279.2869590037535</c:v>
                </c:pt>
                <c:pt idx="68">
                  <c:v>4914.7437287986058</c:v>
                </c:pt>
                <c:pt idx="69">
                  <c:v>5715.557157202662</c:v>
                </c:pt>
                <c:pt idx="70">
                  <c:v>6480.9847466501205</c:v>
                </c:pt>
              </c:numCache>
            </c:numRef>
          </c:yVal>
          <c:smooth val="0"/>
        </c:ser>
        <c:ser>
          <c:idx val="5"/>
          <c:order val="5"/>
          <c:tx>
            <c:strRef>
              <c:f>myData!USSeries</c:f>
              <c:strCache>
                <c:ptCount val="1"/>
                <c:pt idx="0">
                  <c:v>USA Limit 19.2 k</c:v>
                </c:pt>
              </c:strCache>
            </c:strRef>
          </c:tx>
          <c:spPr>
            <a:ln w="19050" cap="rnd">
              <a:solidFill>
                <a:schemeClr val="accent6"/>
              </a:solidFill>
              <a:prstDash val="sysDash"/>
              <a:round/>
            </a:ln>
            <a:effectLst/>
          </c:spPr>
          <c:marker>
            <c:symbol val="none"/>
          </c:marker>
          <c:xVal>
            <c:numRef>
              <c:f>myData!USLogiDates</c:f>
              <c:numCache>
                <c:formatCode>m/d/yyyy</c:formatCode>
                <c:ptCount val="106"/>
                <c:pt idx="0">
                  <c:v>43853</c:v>
                </c:pt>
                <c:pt idx="1">
                  <c:v>43854</c:v>
                </c:pt>
                <c:pt idx="2">
                  <c:v>43855</c:v>
                </c:pt>
                <c:pt idx="3">
                  <c:v>43856</c:v>
                </c:pt>
                <c:pt idx="4">
                  <c:v>43857</c:v>
                </c:pt>
                <c:pt idx="5">
                  <c:v>43858</c:v>
                </c:pt>
                <c:pt idx="6">
                  <c:v>43859</c:v>
                </c:pt>
                <c:pt idx="7">
                  <c:v>43860</c:v>
                </c:pt>
                <c:pt idx="8">
                  <c:v>43861</c:v>
                </c:pt>
                <c:pt idx="9">
                  <c:v>43862</c:v>
                </c:pt>
                <c:pt idx="10">
                  <c:v>43863</c:v>
                </c:pt>
                <c:pt idx="11">
                  <c:v>43864</c:v>
                </c:pt>
                <c:pt idx="12">
                  <c:v>43865</c:v>
                </c:pt>
                <c:pt idx="13">
                  <c:v>43866</c:v>
                </c:pt>
                <c:pt idx="14">
                  <c:v>43867</c:v>
                </c:pt>
                <c:pt idx="15">
                  <c:v>43868</c:v>
                </c:pt>
                <c:pt idx="16">
                  <c:v>43869</c:v>
                </c:pt>
                <c:pt idx="17">
                  <c:v>43870</c:v>
                </c:pt>
                <c:pt idx="18">
                  <c:v>43871</c:v>
                </c:pt>
                <c:pt idx="19">
                  <c:v>43872</c:v>
                </c:pt>
                <c:pt idx="20">
                  <c:v>43873</c:v>
                </c:pt>
                <c:pt idx="21">
                  <c:v>43874</c:v>
                </c:pt>
                <c:pt idx="22">
                  <c:v>43875</c:v>
                </c:pt>
                <c:pt idx="23">
                  <c:v>43876</c:v>
                </c:pt>
                <c:pt idx="24">
                  <c:v>43877</c:v>
                </c:pt>
                <c:pt idx="25">
                  <c:v>43878</c:v>
                </c:pt>
                <c:pt idx="26">
                  <c:v>43879</c:v>
                </c:pt>
                <c:pt idx="27">
                  <c:v>43880</c:v>
                </c:pt>
                <c:pt idx="28">
                  <c:v>43881</c:v>
                </c:pt>
                <c:pt idx="29">
                  <c:v>43882</c:v>
                </c:pt>
                <c:pt idx="30">
                  <c:v>43883</c:v>
                </c:pt>
                <c:pt idx="31">
                  <c:v>43884</c:v>
                </c:pt>
                <c:pt idx="32">
                  <c:v>43885</c:v>
                </c:pt>
                <c:pt idx="33">
                  <c:v>43886</c:v>
                </c:pt>
                <c:pt idx="34">
                  <c:v>43887</c:v>
                </c:pt>
                <c:pt idx="35">
                  <c:v>43888</c:v>
                </c:pt>
                <c:pt idx="36">
                  <c:v>43889</c:v>
                </c:pt>
                <c:pt idx="37">
                  <c:v>43890</c:v>
                </c:pt>
                <c:pt idx="38">
                  <c:v>43891</c:v>
                </c:pt>
                <c:pt idx="39">
                  <c:v>43892</c:v>
                </c:pt>
                <c:pt idx="40">
                  <c:v>43893</c:v>
                </c:pt>
                <c:pt idx="41">
                  <c:v>43894</c:v>
                </c:pt>
                <c:pt idx="42">
                  <c:v>43895</c:v>
                </c:pt>
                <c:pt idx="43">
                  <c:v>43896</c:v>
                </c:pt>
                <c:pt idx="44">
                  <c:v>43897</c:v>
                </c:pt>
                <c:pt idx="45">
                  <c:v>43898</c:v>
                </c:pt>
                <c:pt idx="46">
                  <c:v>43899</c:v>
                </c:pt>
                <c:pt idx="47">
                  <c:v>43900</c:v>
                </c:pt>
                <c:pt idx="48">
                  <c:v>43901</c:v>
                </c:pt>
                <c:pt idx="49">
                  <c:v>43902</c:v>
                </c:pt>
                <c:pt idx="50">
                  <c:v>43903</c:v>
                </c:pt>
                <c:pt idx="51">
                  <c:v>43904</c:v>
                </c:pt>
                <c:pt idx="52">
                  <c:v>43905</c:v>
                </c:pt>
                <c:pt idx="53">
                  <c:v>43906</c:v>
                </c:pt>
                <c:pt idx="54">
                  <c:v>43907</c:v>
                </c:pt>
                <c:pt idx="55">
                  <c:v>43908</c:v>
                </c:pt>
                <c:pt idx="56">
                  <c:v>43909</c:v>
                </c:pt>
                <c:pt idx="57">
                  <c:v>43910</c:v>
                </c:pt>
                <c:pt idx="58">
                  <c:v>43911</c:v>
                </c:pt>
                <c:pt idx="59">
                  <c:v>43912</c:v>
                </c:pt>
                <c:pt idx="60">
                  <c:v>43913</c:v>
                </c:pt>
                <c:pt idx="61">
                  <c:v>43914</c:v>
                </c:pt>
                <c:pt idx="62">
                  <c:v>43915</c:v>
                </c:pt>
                <c:pt idx="63">
                  <c:v>43916</c:v>
                </c:pt>
                <c:pt idx="64">
                  <c:v>43917</c:v>
                </c:pt>
                <c:pt idx="65">
                  <c:v>43918</c:v>
                </c:pt>
                <c:pt idx="66">
                  <c:v>43919</c:v>
                </c:pt>
                <c:pt idx="67">
                  <c:v>43920</c:v>
                </c:pt>
                <c:pt idx="68">
                  <c:v>43921</c:v>
                </c:pt>
                <c:pt idx="69">
                  <c:v>43922</c:v>
                </c:pt>
                <c:pt idx="70">
                  <c:v>43923</c:v>
                </c:pt>
                <c:pt idx="71">
                  <c:v>43924</c:v>
                </c:pt>
                <c:pt idx="72">
                  <c:v>43925</c:v>
                </c:pt>
                <c:pt idx="73">
                  <c:v>43932</c:v>
                </c:pt>
                <c:pt idx="74">
                  <c:v>43939</c:v>
                </c:pt>
                <c:pt idx="75">
                  <c:v>43946</c:v>
                </c:pt>
                <c:pt idx="76">
                  <c:v>43953</c:v>
                </c:pt>
                <c:pt idx="77">
                  <c:v>43960</c:v>
                </c:pt>
                <c:pt idx="78">
                  <c:v>43967</c:v>
                </c:pt>
                <c:pt idx="79">
                  <c:v>43974</c:v>
                </c:pt>
                <c:pt idx="80">
                  <c:v>43981</c:v>
                </c:pt>
                <c:pt idx="81">
                  <c:v>43988</c:v>
                </c:pt>
                <c:pt idx="82">
                  <c:v>43995</c:v>
                </c:pt>
                <c:pt idx="83">
                  <c:v>44002</c:v>
                </c:pt>
                <c:pt idx="84">
                  <c:v>44009</c:v>
                </c:pt>
                <c:pt idx="85">
                  <c:v>44016</c:v>
                </c:pt>
                <c:pt idx="86">
                  <c:v>44023</c:v>
                </c:pt>
                <c:pt idx="87">
                  <c:v>44030</c:v>
                </c:pt>
                <c:pt idx="88">
                  <c:v>44037</c:v>
                </c:pt>
                <c:pt idx="89">
                  <c:v>44044</c:v>
                </c:pt>
                <c:pt idx="90">
                  <c:v>44051</c:v>
                </c:pt>
                <c:pt idx="91">
                  <c:v>44058</c:v>
                </c:pt>
                <c:pt idx="92">
                  <c:v>44065</c:v>
                </c:pt>
                <c:pt idx="93">
                  <c:v>44072</c:v>
                </c:pt>
                <c:pt idx="94">
                  <c:v>44079</c:v>
                </c:pt>
                <c:pt idx="95">
                  <c:v>44086</c:v>
                </c:pt>
                <c:pt idx="96">
                  <c:v>44093</c:v>
                </c:pt>
                <c:pt idx="97">
                  <c:v>44100</c:v>
                </c:pt>
                <c:pt idx="98">
                  <c:v>44107</c:v>
                </c:pt>
                <c:pt idx="99">
                  <c:v>44114</c:v>
                </c:pt>
                <c:pt idx="100">
                  <c:v>44121</c:v>
                </c:pt>
                <c:pt idx="101">
                  <c:v>44128</c:v>
                </c:pt>
                <c:pt idx="102">
                  <c:v>44135</c:v>
                </c:pt>
                <c:pt idx="103">
                  <c:v>44142</c:v>
                </c:pt>
                <c:pt idx="104">
                  <c:v>44149</c:v>
                </c:pt>
                <c:pt idx="105">
                  <c:v>44156</c:v>
                </c:pt>
              </c:numCache>
            </c:numRef>
          </c:xVal>
          <c:yVal>
            <c:numRef>
              <c:f>myData!USLogi</c:f>
              <c:numCache>
                <c:formatCode>##0.00E+00</c:formatCode>
                <c:ptCount val="106"/>
                <c:pt idx="0">
                  <c:v>4.0340654732828477E-5</c:v>
                </c:pt>
                <c:pt idx="1">
                  <c:v>5.3577483814395792E-5</c:v>
                </c:pt>
                <c:pt idx="2">
                  <c:v>7.1157664401950513E-5</c:v>
                </c:pt>
                <c:pt idx="3">
                  <c:v>9.4506364262320861E-5</c:v>
                </c:pt>
                <c:pt idx="4">
                  <c:v>1.2551638614883662E-4</c:v>
                </c:pt>
                <c:pt idx="5">
                  <c:v>1.6670161111900742E-4</c:v>
                </c:pt>
                <c:pt idx="6">
                  <c:v>2.2140079062819184E-4</c:v>
                </c:pt>
                <c:pt idx="7">
                  <c:v>2.9404820814868225E-4</c:v>
                </c:pt>
                <c:pt idx="8">
                  <c:v>3.9053315195014348E-4</c:v>
                </c:pt>
                <c:pt idx="9">
                  <c:v>5.186773402949277E-4</c:v>
                </c:pt>
                <c:pt idx="10">
                  <c:v>6.8886900229558586E-4</c:v>
                </c:pt>
                <c:pt idx="11">
                  <c:v>9.1490501720388224E-4</c:v>
                </c:pt>
                <c:pt idx="12">
                  <c:v>1.2151093814460839E-3</c:v>
                </c:pt>
                <c:pt idx="13">
                  <c:v>1.6138186735802347E-3</c:v>
                </c:pt>
                <c:pt idx="14">
                  <c:v>2.1433549384502911E-3</c:v>
                </c:pt>
                <c:pt idx="15">
                  <c:v>2.8466459248999479E-3</c:v>
                </c:pt>
                <c:pt idx="16">
                  <c:v>3.7807050895523869E-3</c:v>
                </c:pt>
                <c:pt idx="17">
                  <c:v>5.0212534763629749E-3</c:v>
                </c:pt>
                <c:pt idx="18">
                  <c:v>6.6688581476291482E-3</c:v>
                </c:pt>
                <c:pt idx="19">
                  <c:v>8.8570847802019927E-3</c:v>
                </c:pt>
                <c:pt idx="20">
                  <c:v>1.1763325315713327E-2</c:v>
                </c:pt>
                <c:pt idx="21">
                  <c:v>1.5623178399662773E-2</c:v>
                </c:pt>
                <c:pt idx="22">
                  <c:v>2.0749548336277946E-2</c:v>
                </c:pt>
                <c:pt idx="23">
                  <c:v>2.7558010763823842E-2</c:v>
                </c:pt>
                <c:pt idx="24">
                  <c:v>3.6600501212511731E-2</c:v>
                </c:pt>
                <c:pt idx="25">
                  <c:v>4.8610057301267856E-2</c:v>
                </c:pt>
                <c:pt idx="26">
                  <c:v>6.456024120953284E-2</c:v>
                </c:pt>
                <c:pt idx="27">
                  <c:v>8.5744058785048871E-2</c:v>
                </c:pt>
                <c:pt idx="28">
                  <c:v>0.11387877154720731</c:v>
                </c:pt>
                <c:pt idx="29">
                  <c:v>0.15124509578679154</c:v>
                </c:pt>
                <c:pt idx="30">
                  <c:v>0.20087206865253288</c:v>
                </c:pt>
                <c:pt idx="31">
                  <c:v>0.26678255973122067</c:v>
                </c:pt>
                <c:pt idx="32">
                  <c:v>0.35431931686239626</c:v>
                </c:pt>
                <c:pt idx="33">
                  <c:v>0.47057795282079012</c:v>
                </c:pt>
                <c:pt idx="34">
                  <c:v>0.62498192987688794</c:v>
                </c:pt>
                <c:pt idx="35">
                  <c:v>0.83004607709333522</c:v>
                </c:pt>
                <c:pt idx="36">
                  <c:v>1.1023903999422531</c:v>
                </c:pt>
                <c:pt idx="37">
                  <c:v>1.4640861281499387</c:v>
                </c:pt>
                <c:pt idx="38">
                  <c:v>1.9444426976421361</c:v>
                </c:pt>
                <c:pt idx="39">
                  <c:v>2.5823797839888929</c:v>
                </c:pt>
                <c:pt idx="40">
                  <c:v>3.4295753625064642</c:v>
                </c:pt>
                <c:pt idx="41">
                  <c:v>4.5546426745396005</c:v>
                </c:pt>
                <c:pt idx="42">
                  <c:v>6.0486706172860085</c:v>
                </c:pt>
                <c:pt idx="43">
                  <c:v>8.0325694803568997</c:v>
                </c:pt>
                <c:pt idx="44">
                  <c:v>10.666804806487798</c:v>
                </c:pt>
                <c:pt idx="45">
                  <c:v>14.16428607055507</c:v>
                </c:pt>
                <c:pt idx="46">
                  <c:v>18.807415592028608</c:v>
                </c:pt>
                <c:pt idx="47">
                  <c:v>24.970610421024229</c:v>
                </c:pt>
                <c:pt idx="48">
                  <c:v>33.150001069134554</c:v>
                </c:pt>
                <c:pt idx="49">
                  <c:v>44.002500661538654</c:v>
                </c:pt>
                <c:pt idx="50">
                  <c:v>58.397036631149248</c:v>
                </c:pt>
                <c:pt idx="51">
                  <c:v>77.481442094603864</c:v>
                </c:pt>
                <c:pt idx="52">
                  <c:v>102.7692853268171</c:v>
                </c:pt>
                <c:pt idx="53">
                  <c:v>136.25168800335746</c:v>
                </c:pt>
                <c:pt idx="54">
                  <c:v>180.53975913683729</c:v>
                </c:pt>
                <c:pt idx="55">
                  <c:v>239.04328691648033</c:v>
                </c:pt>
                <c:pt idx="56">
                  <c:v>316.19012408539459</c:v>
                </c:pt>
                <c:pt idx="57">
                  <c:v>417.68715009515614</c:v>
                </c:pt>
                <c:pt idx="58">
                  <c:v>550.8160046356353</c:v>
                </c:pt>
                <c:pt idx="59">
                  <c:v>724.74233819515337</c:v>
                </c:pt>
                <c:pt idx="60">
                  <c:v>950.79273543089312</c:v>
                </c:pt>
                <c:pt idx="61">
                  <c:v>1242.6153853309324</c:v>
                </c:pt>
                <c:pt idx="62">
                  <c:v>1616.0880154202396</c:v>
                </c:pt>
                <c:pt idx="63">
                  <c:v>2088.775983050813</c:v>
                </c:pt>
                <c:pt idx="64">
                  <c:v>2678.6968059916544</c:v>
                </c:pt>
                <c:pt idx="65">
                  <c:v>3402.1616547178478</c:v>
                </c:pt>
                <c:pt idx="66">
                  <c:v>4270.6110644155324</c:v>
                </c:pt>
                <c:pt idx="67">
                  <c:v>5286.7091283127156</c:v>
                </c:pt>
                <c:pt idx="68">
                  <c:v>6440.4958486647802</c:v>
                </c:pt>
                <c:pt idx="69">
                  <c:v>7706.9284268088677</c:v>
                </c:pt>
                <c:pt idx="70">
                  <c:v>9046.2757703239786</c:v>
                </c:pt>
                <c:pt idx="71">
                  <c:v>10408.182702564816</c:v>
                </c:pt>
                <c:pt idx="72">
                  <c:v>11738.830322108066</c:v>
                </c:pt>
                <c:pt idx="73">
                  <c:v>17683.551438642571</c:v>
                </c:pt>
                <c:pt idx="74">
                  <c:v>19003.851645308037</c:v>
                </c:pt>
                <c:pt idx="75">
                  <c:v>19200.522794141212</c:v>
                </c:pt>
                <c:pt idx="76">
                  <c:v>19227.822220469352</c:v>
                </c:pt>
                <c:pt idx="77">
                  <c:v>19231.573502231575</c:v>
                </c:pt>
                <c:pt idx="78">
                  <c:v>19232.088257061798</c:v>
                </c:pt>
                <c:pt idx="79">
                  <c:v>19232.158878742517</c:v>
                </c:pt>
                <c:pt idx="80">
                  <c:v>19232.168567414708</c:v>
                </c:pt>
                <c:pt idx="81">
                  <c:v>19232.169896610358</c:v>
                </c:pt>
                <c:pt idx="82">
                  <c:v>19232.170078963536</c:v>
                </c:pt>
                <c:pt idx="83">
                  <c:v>19232.170103980683</c:v>
                </c:pt>
                <c:pt idx="84">
                  <c:v>19232.1701074128</c:v>
                </c:pt>
                <c:pt idx="85">
                  <c:v>19232.170107883652</c:v>
                </c:pt>
                <c:pt idx="86">
                  <c:v>19232.170107948252</c:v>
                </c:pt>
                <c:pt idx="87">
                  <c:v>19232.170107957114</c:v>
                </c:pt>
                <c:pt idx="88">
                  <c:v>19232.170107958329</c:v>
                </c:pt>
                <c:pt idx="89">
                  <c:v>19232.170107958496</c:v>
                </c:pt>
                <c:pt idx="90">
                  <c:v>19232.170107958518</c:v>
                </c:pt>
                <c:pt idx="91">
                  <c:v>19232.170107958522</c:v>
                </c:pt>
                <c:pt idx="92">
                  <c:v>19232.170107958522</c:v>
                </c:pt>
                <c:pt idx="93">
                  <c:v>19232.170107958522</c:v>
                </c:pt>
                <c:pt idx="94">
                  <c:v>19232.170107958522</c:v>
                </c:pt>
                <c:pt idx="95">
                  <c:v>19232.170107958522</c:v>
                </c:pt>
                <c:pt idx="96">
                  <c:v>19232.170107958522</c:v>
                </c:pt>
                <c:pt idx="97">
                  <c:v>19232.170107958522</c:v>
                </c:pt>
                <c:pt idx="98">
                  <c:v>19232.170107958522</c:v>
                </c:pt>
                <c:pt idx="99">
                  <c:v>19232.170107958522</c:v>
                </c:pt>
                <c:pt idx="100">
                  <c:v>19232.170107958522</c:v>
                </c:pt>
                <c:pt idx="101">
                  <c:v>19232.170107958522</c:v>
                </c:pt>
                <c:pt idx="102">
                  <c:v>19232.170107958522</c:v>
                </c:pt>
                <c:pt idx="103">
                  <c:v>19232.170107958522</c:v>
                </c:pt>
                <c:pt idx="104">
                  <c:v>19232.170107958522</c:v>
                </c:pt>
                <c:pt idx="105">
                  <c:v>19232.170107958522</c:v>
                </c:pt>
              </c:numCache>
            </c:numRef>
          </c:yVal>
          <c:smooth val="0"/>
        </c:ser>
        <c:ser>
          <c:idx val="7"/>
          <c:order val="6"/>
          <c:tx>
            <c:v>China Cases</c:v>
          </c:tx>
          <c:spPr>
            <a:ln w="6350" cap="rnd">
              <a:solidFill>
                <a:schemeClr val="accent2">
                  <a:lumMod val="75000"/>
                </a:schemeClr>
              </a:solidFill>
              <a:round/>
            </a:ln>
            <a:effectLst/>
          </c:spPr>
          <c:marker>
            <c:symbol val="x"/>
            <c:size val="3"/>
            <c:spPr>
              <a:noFill/>
              <a:ln w="9525">
                <a:solidFill>
                  <a:schemeClr val="accent2">
                    <a:lumMod val="60000"/>
                  </a:schemeClr>
                </a:solidFill>
              </a:ln>
              <a:effectLst/>
            </c:spPr>
          </c:marker>
          <c:xVal>
            <c:numRef>
              <c:f>myData!ChinaDates</c:f>
              <c:numCache>
                <c:formatCode>m/d/yyyy</c:formatCode>
                <c:ptCount val="71"/>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numCache>
            </c:numRef>
          </c:xVal>
          <c:yVal>
            <c:numRef>
              <c:f>myData!ChinaCases</c:f>
              <c:numCache>
                <c:formatCode>0.0</c:formatCode>
                <c:ptCount val="107"/>
                <c:pt idx="0">
                  <c:v>3.8073434840556684</c:v>
                </c:pt>
                <c:pt idx="1">
                  <c:v>4.4673756573864862</c:v>
                </c:pt>
                <c:pt idx="2">
                  <c:v>6.391890520677399</c:v>
                </c:pt>
                <c:pt idx="3">
                  <c:v>9.7684761652961125</c:v>
                </c:pt>
                <c:pt idx="4">
                  <c:v>14.416492206962612</c:v>
                </c:pt>
                <c:pt idx="5">
                  <c:v>19.988553291292259</c:v>
                </c:pt>
                <c:pt idx="6">
                  <c:v>38.274918346099774</c:v>
                </c:pt>
                <c:pt idx="7">
                  <c:v>42.290693042786231</c:v>
                </c:pt>
                <c:pt idx="8">
                  <c:v>56.561283400907293</c:v>
                </c:pt>
                <c:pt idx="9">
                  <c:v>68.10142487356508</c:v>
                </c:pt>
                <c:pt idx="10">
                  <c:v>82.615184979755384</c:v>
                </c:pt>
                <c:pt idx="11">
                  <c:v>115.54036886833168</c:v>
                </c:pt>
                <c:pt idx="12">
                  <c:v>136.98099294095175</c:v>
                </c:pt>
                <c:pt idx="13">
                  <c:v>164.7092919279338</c:v>
                </c:pt>
                <c:pt idx="14">
                  <c:v>190.64508248629113</c:v>
                </c:pt>
                <c:pt idx="15">
                  <c:v>212.50951669126044</c:v>
                </c:pt>
                <c:pt idx="16">
                  <c:v>236.98628876120227</c:v>
                </c:pt>
                <c:pt idx="17">
                  <c:v>255.77288872632366</c:v>
                </c:pt>
                <c:pt idx="18">
                  <c:v>276.72022559571752</c:v>
                </c:pt>
                <c:pt idx="19">
                  <c:v>294.26318599214193</c:v>
                </c:pt>
                <c:pt idx="20">
                  <c:v>308.38092679433373</c:v>
                </c:pt>
                <c:pt idx="21">
                  <c:v>310.97242153804314</c:v>
                </c:pt>
                <c:pt idx="22">
                  <c:v>416.13291601736177</c:v>
                </c:pt>
                <c:pt idx="23">
                  <c:v>461.03594692512047</c:v>
                </c:pt>
                <c:pt idx="24">
                  <c:v>475.31348499032924</c:v>
                </c:pt>
                <c:pt idx="25">
                  <c:v>489.90366987448419</c:v>
                </c:pt>
                <c:pt idx="26">
                  <c:v>503.25021518994208</c:v>
                </c:pt>
                <c:pt idx="27">
                  <c:v>515.59629068477227</c:v>
                </c:pt>
                <c:pt idx="28">
                  <c:v>518.43095517655092</c:v>
                </c:pt>
                <c:pt idx="29">
                  <c:v>521.61300502271422</c:v>
                </c:pt>
                <c:pt idx="30">
                  <c:v>524.89927047519291</c:v>
                </c:pt>
                <c:pt idx="31">
                  <c:v>534.98039345943528</c:v>
                </c:pt>
                <c:pt idx="32">
                  <c:v>535.12629530827678</c:v>
                </c:pt>
                <c:pt idx="33" formatCode="##0.0E+00">
                  <c:v>536.64784316048156</c:v>
                </c:pt>
                <c:pt idx="34" formatCode="##0.0E+00">
                  <c:v>540.21201689646796</c:v>
                </c:pt>
                <c:pt idx="35" formatCode="##0.0E+00">
                  <c:v>543.07447221659743</c:v>
                </c:pt>
                <c:pt idx="36" formatCode="##0.0E+00">
                  <c:v>546.08977709265605</c:v>
                </c:pt>
                <c:pt idx="37" formatCode="##0.0E+00">
                  <c:v>548.36862501741928</c:v>
                </c:pt>
                <c:pt idx="38" formatCode="##0.0E+00">
                  <c:v>551.34224365095179</c:v>
                </c:pt>
                <c:pt idx="39" formatCode="##0.0E+00">
                  <c:v>555.34412293346293</c:v>
                </c:pt>
                <c:pt idx="40" formatCode="##0.0E+00">
                  <c:v>556.7614551793522</c:v>
                </c:pt>
                <c:pt idx="41" formatCode="##0.0E+00">
                  <c:v>557.6299185653138</c:v>
                </c:pt>
                <c:pt idx="42" formatCode="##0.0E+00">
                  <c:v>558.49838195127541</c:v>
                </c:pt>
                <c:pt idx="43" formatCode="##0.0E+00">
                  <c:v>559.54748572151709</c:v>
                </c:pt>
                <c:pt idx="44" formatCode="##0.0E+00">
                  <c:v>560.61048490593407</c:v>
                </c:pt>
                <c:pt idx="45" formatCode="##0.0E+00">
                  <c:v>561.1663014729495</c:v>
                </c:pt>
                <c:pt idx="46" formatCode="##0.0E+00">
                  <c:v>561.5345299485972</c:v>
                </c:pt>
                <c:pt idx="47" formatCode="##0.0E+00">
                  <c:v>561.79159511084185</c:v>
                </c:pt>
                <c:pt idx="48" formatCode="##0.0E+00">
                  <c:v>561.97918320220958</c:v>
                </c:pt>
                <c:pt idx="49" formatCode="##0.0E+00">
                  <c:v>562.21540524319107</c:v>
                </c:pt>
                <c:pt idx="50" formatCode="##0.0E+00">
                  <c:v>562.29183002115576</c:v>
                </c:pt>
                <c:pt idx="51" formatCode="##0.0E+00">
                  <c:v>562.38215021329574</c:v>
                </c:pt>
                <c:pt idx="52" formatCode="##0.0E+00">
                  <c:v>562.60447684010194</c:v>
                </c:pt>
                <c:pt idx="53" formatCode="##0.0E+00">
                  <c:v>562.78511722438191</c:v>
                </c:pt>
                <c:pt idx="54" formatCode="##0.0E+00">
                  <c:v>562.99354843701269</c:v>
                </c:pt>
                <c:pt idx="55" formatCode="##0.0E+00">
                  <c:v>563.16724111420501</c:v>
                </c:pt>
                <c:pt idx="56" formatCode="##0.0E+00">
                  <c:v>563.47294022606354</c:v>
                </c:pt>
                <c:pt idx="57" formatCode="##0.0E+00">
                  <c:v>563.84811640879889</c:v>
                </c:pt>
                <c:pt idx="58" formatCode="##0.0E+00">
                  <c:v>564.50120087504206</c:v>
                </c:pt>
                <c:pt idx="59" formatCode="##0.0E+00">
                  <c:v>564.88332476486516</c:v>
                </c:pt>
                <c:pt idx="60" formatCode="##0.0E+00">
                  <c:v>565.78652668626523</c:v>
                </c:pt>
                <c:pt idx="61" formatCode="##0.0E+00">
                  <c:v>566.22423223278986</c:v>
                </c:pt>
                <c:pt idx="62">
                  <c:v>566.87036899194527</c:v>
                </c:pt>
                <c:pt idx="63">
                  <c:v>567.35670848808377</c:v>
                </c:pt>
                <c:pt idx="64">
                  <c:v>568.19738104569467</c:v>
                </c:pt>
                <c:pt idx="65">
                  <c:v>568.99636736077935</c:v>
                </c:pt>
                <c:pt idx="66">
                  <c:v>569.70503348372392</c:v>
                </c:pt>
                <c:pt idx="67">
                  <c:v>570.55960145551023</c:v>
                </c:pt>
                <c:pt idx="68">
                  <c:v>571.08762719417484</c:v>
                </c:pt>
                <c:pt idx="69">
                  <c:v>571.65039146827792</c:v>
                </c:pt>
                <c:pt idx="70">
                  <c:v>572.22010344946875</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numCache>
            </c:numRef>
          </c:yVal>
          <c:smooth val="0"/>
        </c:ser>
        <c:ser>
          <c:idx val="6"/>
          <c:order val="7"/>
          <c:tx>
            <c:strRef>
              <c:f>myData!ChinaSeries</c:f>
              <c:strCache>
                <c:ptCount val="1"/>
                <c:pt idx="0">
                  <c:v>China Limit 564  </c:v>
                </c:pt>
              </c:strCache>
            </c:strRef>
          </c:tx>
          <c:spPr>
            <a:ln w="19050" cap="rnd">
              <a:solidFill>
                <a:schemeClr val="accent2">
                  <a:lumMod val="75000"/>
                </a:schemeClr>
              </a:solidFill>
              <a:prstDash val="sysDot"/>
              <a:round/>
            </a:ln>
            <a:effectLst/>
          </c:spPr>
          <c:marker>
            <c:symbol val="none"/>
          </c:marker>
          <c:xVal>
            <c:numRef>
              <c:f>myData!ChinaLogiDates</c:f>
              <c:numCache>
                <c:formatCode>m/d/yyyy</c:formatCode>
                <c:ptCount val="107"/>
                <c:pt idx="0">
                  <c:v>43852</c:v>
                </c:pt>
                <c:pt idx="1">
                  <c:v>43853</c:v>
                </c:pt>
                <c:pt idx="2">
                  <c:v>43854</c:v>
                </c:pt>
                <c:pt idx="3">
                  <c:v>43855</c:v>
                </c:pt>
                <c:pt idx="4">
                  <c:v>43856</c:v>
                </c:pt>
                <c:pt idx="5">
                  <c:v>43857</c:v>
                </c:pt>
                <c:pt idx="6">
                  <c:v>43858</c:v>
                </c:pt>
                <c:pt idx="7">
                  <c:v>43859</c:v>
                </c:pt>
                <c:pt idx="8">
                  <c:v>43860</c:v>
                </c:pt>
                <c:pt idx="9">
                  <c:v>43861</c:v>
                </c:pt>
                <c:pt idx="10">
                  <c:v>43862</c:v>
                </c:pt>
                <c:pt idx="11">
                  <c:v>43863</c:v>
                </c:pt>
                <c:pt idx="12">
                  <c:v>43864</c:v>
                </c:pt>
                <c:pt idx="13">
                  <c:v>43865</c:v>
                </c:pt>
                <c:pt idx="14">
                  <c:v>43866</c:v>
                </c:pt>
                <c:pt idx="15">
                  <c:v>43867</c:v>
                </c:pt>
                <c:pt idx="16">
                  <c:v>43868</c:v>
                </c:pt>
                <c:pt idx="17">
                  <c:v>43869</c:v>
                </c:pt>
                <c:pt idx="18">
                  <c:v>43870</c:v>
                </c:pt>
                <c:pt idx="19">
                  <c:v>43871</c:v>
                </c:pt>
                <c:pt idx="20">
                  <c:v>43872</c:v>
                </c:pt>
                <c:pt idx="21">
                  <c:v>43873</c:v>
                </c:pt>
                <c:pt idx="22">
                  <c:v>43874</c:v>
                </c:pt>
                <c:pt idx="23">
                  <c:v>43875</c:v>
                </c:pt>
                <c:pt idx="24">
                  <c:v>43876</c:v>
                </c:pt>
                <c:pt idx="25">
                  <c:v>43877</c:v>
                </c:pt>
                <c:pt idx="26">
                  <c:v>43878</c:v>
                </c:pt>
                <c:pt idx="27">
                  <c:v>43879</c:v>
                </c:pt>
                <c:pt idx="28">
                  <c:v>43880</c:v>
                </c:pt>
                <c:pt idx="29">
                  <c:v>43881</c:v>
                </c:pt>
                <c:pt idx="30">
                  <c:v>43882</c:v>
                </c:pt>
                <c:pt idx="31">
                  <c:v>43883</c:v>
                </c:pt>
                <c:pt idx="32">
                  <c:v>43884</c:v>
                </c:pt>
                <c:pt idx="33">
                  <c:v>43885</c:v>
                </c:pt>
                <c:pt idx="34">
                  <c:v>43886</c:v>
                </c:pt>
                <c:pt idx="35">
                  <c:v>43887</c:v>
                </c:pt>
                <c:pt idx="36">
                  <c:v>43888</c:v>
                </c:pt>
                <c:pt idx="37">
                  <c:v>43889</c:v>
                </c:pt>
                <c:pt idx="38">
                  <c:v>43890</c:v>
                </c:pt>
                <c:pt idx="39">
                  <c:v>43891</c:v>
                </c:pt>
                <c:pt idx="40">
                  <c:v>43892</c:v>
                </c:pt>
                <c:pt idx="41">
                  <c:v>43893</c:v>
                </c:pt>
                <c:pt idx="42">
                  <c:v>43894</c:v>
                </c:pt>
                <c:pt idx="43">
                  <c:v>43895</c:v>
                </c:pt>
                <c:pt idx="44">
                  <c:v>43896</c:v>
                </c:pt>
                <c:pt idx="45">
                  <c:v>43897</c:v>
                </c:pt>
                <c:pt idx="46">
                  <c:v>43898</c:v>
                </c:pt>
                <c:pt idx="47">
                  <c:v>43899</c:v>
                </c:pt>
                <c:pt idx="48">
                  <c:v>43900</c:v>
                </c:pt>
                <c:pt idx="49">
                  <c:v>43901</c:v>
                </c:pt>
                <c:pt idx="50">
                  <c:v>43902</c:v>
                </c:pt>
                <c:pt idx="51">
                  <c:v>43903</c:v>
                </c:pt>
                <c:pt idx="52">
                  <c:v>43904</c:v>
                </c:pt>
                <c:pt idx="53">
                  <c:v>43905</c:v>
                </c:pt>
                <c:pt idx="54">
                  <c:v>43906</c:v>
                </c:pt>
                <c:pt idx="55">
                  <c:v>43907</c:v>
                </c:pt>
                <c:pt idx="56">
                  <c:v>43908</c:v>
                </c:pt>
                <c:pt idx="57">
                  <c:v>43909</c:v>
                </c:pt>
                <c:pt idx="58">
                  <c:v>43910</c:v>
                </c:pt>
                <c:pt idx="59">
                  <c:v>43911</c:v>
                </c:pt>
                <c:pt idx="60">
                  <c:v>43912</c:v>
                </c:pt>
                <c:pt idx="61">
                  <c:v>43913</c:v>
                </c:pt>
                <c:pt idx="62">
                  <c:v>43914</c:v>
                </c:pt>
                <c:pt idx="63">
                  <c:v>43915</c:v>
                </c:pt>
                <c:pt idx="64">
                  <c:v>43916</c:v>
                </c:pt>
                <c:pt idx="65">
                  <c:v>43917</c:v>
                </c:pt>
                <c:pt idx="66">
                  <c:v>43918</c:v>
                </c:pt>
                <c:pt idx="67">
                  <c:v>43919</c:v>
                </c:pt>
                <c:pt idx="68">
                  <c:v>43920</c:v>
                </c:pt>
                <c:pt idx="69">
                  <c:v>43921</c:v>
                </c:pt>
                <c:pt idx="70">
                  <c:v>43922</c:v>
                </c:pt>
                <c:pt idx="71">
                  <c:v>43923</c:v>
                </c:pt>
                <c:pt idx="72">
                  <c:v>43924</c:v>
                </c:pt>
                <c:pt idx="73">
                  <c:v>43925</c:v>
                </c:pt>
                <c:pt idx="74">
                  <c:v>43932</c:v>
                </c:pt>
                <c:pt idx="75">
                  <c:v>43939</c:v>
                </c:pt>
                <c:pt idx="76">
                  <c:v>43946</c:v>
                </c:pt>
                <c:pt idx="77">
                  <c:v>43953</c:v>
                </c:pt>
                <c:pt idx="78">
                  <c:v>43960</c:v>
                </c:pt>
                <c:pt idx="79">
                  <c:v>43967</c:v>
                </c:pt>
                <c:pt idx="80">
                  <c:v>43974</c:v>
                </c:pt>
                <c:pt idx="81">
                  <c:v>43981</c:v>
                </c:pt>
                <c:pt idx="82">
                  <c:v>43988</c:v>
                </c:pt>
                <c:pt idx="83">
                  <c:v>43995</c:v>
                </c:pt>
                <c:pt idx="84">
                  <c:v>44002</c:v>
                </c:pt>
                <c:pt idx="85">
                  <c:v>44009</c:v>
                </c:pt>
                <c:pt idx="86">
                  <c:v>44016</c:v>
                </c:pt>
                <c:pt idx="87">
                  <c:v>44023</c:v>
                </c:pt>
                <c:pt idx="88">
                  <c:v>44030</c:v>
                </c:pt>
                <c:pt idx="89">
                  <c:v>44037</c:v>
                </c:pt>
                <c:pt idx="90">
                  <c:v>44044</c:v>
                </c:pt>
                <c:pt idx="91">
                  <c:v>44051</c:v>
                </c:pt>
                <c:pt idx="92">
                  <c:v>44058</c:v>
                </c:pt>
                <c:pt idx="93">
                  <c:v>44065</c:v>
                </c:pt>
                <c:pt idx="94">
                  <c:v>44072</c:v>
                </c:pt>
                <c:pt idx="95">
                  <c:v>44079</c:v>
                </c:pt>
                <c:pt idx="96">
                  <c:v>44086</c:v>
                </c:pt>
                <c:pt idx="97">
                  <c:v>44093</c:v>
                </c:pt>
                <c:pt idx="98">
                  <c:v>44100</c:v>
                </c:pt>
                <c:pt idx="99">
                  <c:v>44107</c:v>
                </c:pt>
                <c:pt idx="100">
                  <c:v>44114</c:v>
                </c:pt>
                <c:pt idx="101">
                  <c:v>44121</c:v>
                </c:pt>
                <c:pt idx="102">
                  <c:v>44128</c:v>
                </c:pt>
                <c:pt idx="103">
                  <c:v>44135</c:v>
                </c:pt>
                <c:pt idx="104">
                  <c:v>44142</c:v>
                </c:pt>
                <c:pt idx="105">
                  <c:v>44149</c:v>
                </c:pt>
                <c:pt idx="106">
                  <c:v>44156</c:v>
                </c:pt>
              </c:numCache>
            </c:numRef>
          </c:xVal>
          <c:yVal>
            <c:numRef>
              <c:f>myData!ChinaLogi</c:f>
              <c:numCache>
                <c:formatCode>0</c:formatCode>
                <c:ptCount val="107"/>
                <c:pt idx="0">
                  <c:v>10.868519722956798</c:v>
                </c:pt>
                <c:pt idx="1">
                  <c:v>13.490453615687944</c:v>
                </c:pt>
                <c:pt idx="2">
                  <c:v>16.725790531664515</c:v>
                </c:pt>
                <c:pt idx="3">
                  <c:v>20.707869854506143</c:v>
                </c:pt>
                <c:pt idx="4">
                  <c:v>25.593692818837731</c:v>
                </c:pt>
                <c:pt idx="5">
                  <c:v>31.565342551415402</c:v>
                </c:pt>
                <c:pt idx="6">
                  <c:v>38.829900052696615</c:v>
                </c:pt>
                <c:pt idx="7">
                  <c:v>47.616916704318925</c:v>
                </c:pt>
                <c:pt idx="8">
                  <c:v>58.172268033434726</c:v>
                </c:pt>
                <c:pt idx="9">
                  <c:v>70.747078678082161</c:v>
                </c:pt>
                <c:pt idx="10">
                  <c:v>85.580519193706337</c:v>
                </c:pt>
                <c:pt idx="11">
                  <c:v>102.87582444649804</c:v>
                </c:pt>
                <c:pt idx="12">
                  <c:v>122.77006255746147</c:v>
                </c:pt>
                <c:pt idx="13">
                  <c:v>145.30006946141123</c:v>
                </c:pt>
                <c:pt idx="14">
                  <c:v>170.36934754357782</c:v>
                </c:pt>
                <c:pt idx="15">
                  <c:v>197.72295558786081</c:v>
                </c:pt>
                <c:pt idx="16">
                  <c:v>226.93841319219138</c:v>
                </c:pt>
                <c:pt idx="17">
                  <c:v>257.43926005316229</c:v>
                </c:pt>
                <c:pt idx="18">
                  <c:v>288.5336365903936</c:v>
                </c:pt>
                <c:pt idx="19">
                  <c:v>319.4738977528749</c:v>
                </c:pt>
                <c:pt idx="20">
                  <c:v>349.52703529031015</c:v>
                </c:pt>
                <c:pt idx="21">
                  <c:v>378.04222526471915</c:v>
                </c:pt>
                <c:pt idx="22">
                  <c:v>404.50275274180257</c:v>
                </c:pt>
                <c:pt idx="23">
                  <c:v>428.55444922507604</c:v>
                </c:pt>
                <c:pt idx="24">
                  <c:v>450.00939047253866</c:v>
                </c:pt>
                <c:pt idx="25">
                  <c:v>468.82930250470878</c:v>
                </c:pt>
                <c:pt idx="26">
                  <c:v>485.09622616858104</c:v>
                </c:pt>
                <c:pt idx="27">
                  <c:v>498.97828388550465</c:v>
                </c:pt>
                <c:pt idx="28">
                  <c:v>510.69674434292523</c:v>
                </c:pt>
                <c:pt idx="29">
                  <c:v>520.49817898275501</c:v>
                </c:pt>
                <c:pt idx="30">
                  <c:v>528.63327294747012</c:v>
                </c:pt>
                <c:pt idx="31">
                  <c:v>535.34225144894333</c:v>
                </c:pt>
                <c:pt idx="32">
                  <c:v>540.84598032551639</c:v>
                </c:pt>
                <c:pt idx="33">
                  <c:v>545.34145487092053</c:v>
                </c:pt>
                <c:pt idx="34">
                  <c:v>549.00040187212164</c:v>
                </c:pt>
                <c:pt idx="35">
                  <c:v>551.96991007825545</c:v>
                </c:pt>
                <c:pt idx="36">
                  <c:v>554.37425316623512</c:v>
                </c:pt>
                <c:pt idx="37">
                  <c:v>556.31730831908601</c:v>
                </c:pt>
                <c:pt idx="38">
                  <c:v>557.8851724141939</c:v>
                </c:pt>
                <c:pt idx="39">
                  <c:v>559.14872902590037</c:v>
                </c:pt>
                <c:pt idx="40">
                  <c:v>560.1660269818027</c:v>
                </c:pt>
                <c:pt idx="41">
                  <c:v>560.98440345710299</c:v>
                </c:pt>
                <c:pt idx="42">
                  <c:v>561.64233047835376</c:v>
                </c:pt>
                <c:pt idx="43">
                  <c:v>562.17099100913651</c:v>
                </c:pt>
                <c:pt idx="44">
                  <c:v>562.59560559693182</c:v>
                </c:pt>
                <c:pt idx="45">
                  <c:v>562.93653733794338</c:v>
                </c:pt>
                <c:pt idx="46">
                  <c:v>563.21020478180515</c:v>
                </c:pt>
                <c:pt idx="47">
                  <c:v>563.42983144115681</c:v>
                </c:pt>
                <c:pt idx="48">
                  <c:v>563.60605814294331</c:v>
                </c:pt>
                <c:pt idx="49">
                  <c:v>563.7474413990567</c:v>
                </c:pt>
                <c:pt idx="50">
                  <c:v>563.86085778243159</c:v>
                </c:pt>
                <c:pt idx="51">
                  <c:v>563.95183124853247</c:v>
                </c:pt>
                <c:pt idx="52">
                  <c:v>564.02479758008803</c:v>
                </c:pt>
                <c:pt idx="53">
                  <c:v>564.08331770938389</c:v>
                </c:pt>
                <c:pt idx="54">
                  <c:v>564.13024959316181</c:v>
                </c:pt>
                <c:pt idx="55">
                  <c:v>564.16788655963046</c:v>
                </c:pt>
                <c:pt idx="56">
                  <c:v>564.19806858217839</c:v>
                </c:pt>
                <c:pt idx="57">
                  <c:v>564.22227172271869</c:v>
                </c:pt>
                <c:pt idx="58">
                  <c:v>564.24167999209646</c:v>
                </c:pt>
                <c:pt idx="59">
                  <c:v>564.25724306130246</c:v>
                </c:pt>
                <c:pt idx="60">
                  <c:v>564.26972259483512</c:v>
                </c:pt>
                <c:pt idx="61">
                  <c:v>564.27972943997872</c:v>
                </c:pt>
                <c:pt idx="62">
                  <c:v>564.2877534705824</c:v>
                </c:pt>
                <c:pt idx="63">
                  <c:v>564.29418753231914</c:v>
                </c:pt>
                <c:pt idx="64">
                  <c:v>564.299346652753</c:v>
                </c:pt>
                <c:pt idx="65">
                  <c:v>564.30348345099617</c:v>
                </c:pt>
                <c:pt idx="66">
                  <c:v>564.30680049777959</c:v>
                </c:pt>
                <c:pt idx="67">
                  <c:v>564.30946022878788</c:v>
                </c:pt>
                <c:pt idx="68">
                  <c:v>564.31159289517791</c:v>
                </c:pt>
                <c:pt idx="69">
                  <c:v>564.31330293963811</c:v>
                </c:pt>
                <c:pt idx="70">
                  <c:v>564.31467410960806</c:v>
                </c:pt>
                <c:pt idx="71">
                  <c:v>564.31577355766092</c:v>
                </c:pt>
                <c:pt idx="72">
                  <c:v>564.31665512960217</c:v>
                </c:pt>
                <c:pt idx="73">
                  <c:v>564.31736200115017</c:v>
                </c:pt>
                <c:pt idx="74">
                  <c:v>564.31961264223037</c:v>
                </c:pt>
                <c:pt idx="75">
                  <c:v>564.32009224201806</c:v>
                </c:pt>
                <c:pt idx="76">
                  <c:v>564.32019444182367</c:v>
                </c:pt>
                <c:pt idx="77">
                  <c:v>564.32021621996455</c:v>
                </c:pt>
                <c:pt idx="78">
                  <c:v>564.32022086074983</c:v>
                </c:pt>
                <c:pt idx="79">
                  <c:v>564.32022184967195</c:v>
                </c:pt>
                <c:pt idx="80">
                  <c:v>564.32022206040506</c:v>
                </c:pt>
                <c:pt idx="81">
                  <c:v>564.3202221053109</c:v>
                </c:pt>
                <c:pt idx="82">
                  <c:v>564.32022211488015</c:v>
                </c:pt>
                <c:pt idx="83">
                  <c:v>564.32022211691924</c:v>
                </c:pt>
                <c:pt idx="84">
                  <c:v>564.32022211735364</c:v>
                </c:pt>
                <c:pt idx="85">
                  <c:v>564.32022211744629</c:v>
                </c:pt>
                <c:pt idx="86">
                  <c:v>564.32022211746596</c:v>
                </c:pt>
                <c:pt idx="87">
                  <c:v>564.32022211747028</c:v>
                </c:pt>
                <c:pt idx="88">
                  <c:v>564.32022211747119</c:v>
                </c:pt>
                <c:pt idx="89">
                  <c:v>564.3202221174713</c:v>
                </c:pt>
                <c:pt idx="90">
                  <c:v>564.32022211747142</c:v>
                </c:pt>
                <c:pt idx="91">
                  <c:v>564.32022211747142</c:v>
                </c:pt>
                <c:pt idx="92">
                  <c:v>564.32022211747142</c:v>
                </c:pt>
                <c:pt idx="93">
                  <c:v>564.32022211747142</c:v>
                </c:pt>
                <c:pt idx="94">
                  <c:v>564.32022211747142</c:v>
                </c:pt>
                <c:pt idx="95">
                  <c:v>564.32022211747142</c:v>
                </c:pt>
                <c:pt idx="96">
                  <c:v>564.32022211747142</c:v>
                </c:pt>
                <c:pt idx="97">
                  <c:v>564.32022211747142</c:v>
                </c:pt>
                <c:pt idx="98">
                  <c:v>564.32022211747142</c:v>
                </c:pt>
                <c:pt idx="99">
                  <c:v>564.32022211747142</c:v>
                </c:pt>
                <c:pt idx="100">
                  <c:v>564.32022211747142</c:v>
                </c:pt>
                <c:pt idx="101">
                  <c:v>564.32022211747142</c:v>
                </c:pt>
                <c:pt idx="102">
                  <c:v>564.32022211747142</c:v>
                </c:pt>
                <c:pt idx="103">
                  <c:v>564.32022211747142</c:v>
                </c:pt>
                <c:pt idx="104">
                  <c:v>564.32022211747142</c:v>
                </c:pt>
                <c:pt idx="105">
                  <c:v>564.32022211747142</c:v>
                </c:pt>
                <c:pt idx="106">
                  <c:v>564.32022211747142</c:v>
                </c:pt>
              </c:numCache>
            </c:numRef>
          </c:yVal>
          <c:smooth val="0"/>
        </c:ser>
        <c:ser>
          <c:idx val="10"/>
          <c:order val="8"/>
          <c:tx>
            <c:v>Au Cases</c:v>
          </c:tx>
          <c:spPr>
            <a:ln w="9525" cap="rnd">
              <a:noFill/>
              <a:round/>
            </a:ln>
            <a:effectLst/>
          </c:spPr>
          <c:marker>
            <c:symbol val="diamond"/>
            <c:size val="3"/>
            <c:spPr>
              <a:solidFill>
                <a:srgbClr val="FF0000"/>
              </a:solidFill>
              <a:ln w="6350">
                <a:noFill/>
              </a:ln>
              <a:effectLst/>
            </c:spPr>
          </c:marker>
          <c:xVal>
            <c:numRef>
              <c:f>myData!AuDates</c:f>
              <c:numCache>
                <c:formatCode>m/d/yyyy</c:formatCode>
                <c:ptCount val="68"/>
                <c:pt idx="0">
                  <c:v>43856</c:v>
                </c:pt>
                <c:pt idx="1">
                  <c:v>43857</c:v>
                </c:pt>
                <c:pt idx="2">
                  <c:v>43858</c:v>
                </c:pt>
                <c:pt idx="3">
                  <c:v>43859</c:v>
                </c:pt>
                <c:pt idx="4">
                  <c:v>43860</c:v>
                </c:pt>
                <c:pt idx="5">
                  <c:v>43861</c:v>
                </c:pt>
                <c:pt idx="6">
                  <c:v>43862</c:v>
                </c:pt>
                <c:pt idx="7">
                  <c:v>43863</c:v>
                </c:pt>
                <c:pt idx="8">
                  <c:v>43864</c:v>
                </c:pt>
                <c:pt idx="9">
                  <c:v>43865</c:v>
                </c:pt>
                <c:pt idx="10">
                  <c:v>43866</c:v>
                </c:pt>
                <c:pt idx="11">
                  <c:v>43867</c:v>
                </c:pt>
                <c:pt idx="12">
                  <c:v>43868</c:v>
                </c:pt>
                <c:pt idx="13">
                  <c:v>43869</c:v>
                </c:pt>
                <c:pt idx="14">
                  <c:v>43870</c:v>
                </c:pt>
                <c:pt idx="15">
                  <c:v>43871</c:v>
                </c:pt>
                <c:pt idx="16">
                  <c:v>43872</c:v>
                </c:pt>
                <c:pt idx="17">
                  <c:v>43873</c:v>
                </c:pt>
                <c:pt idx="18">
                  <c:v>43874</c:v>
                </c:pt>
                <c:pt idx="19">
                  <c:v>43875</c:v>
                </c:pt>
                <c:pt idx="20">
                  <c:v>43876</c:v>
                </c:pt>
                <c:pt idx="21">
                  <c:v>43877</c:v>
                </c:pt>
                <c:pt idx="22">
                  <c:v>43878</c:v>
                </c:pt>
                <c:pt idx="23">
                  <c:v>43879</c:v>
                </c:pt>
                <c:pt idx="24">
                  <c:v>43880</c:v>
                </c:pt>
                <c:pt idx="25">
                  <c:v>43881</c:v>
                </c:pt>
                <c:pt idx="26">
                  <c:v>43882</c:v>
                </c:pt>
                <c:pt idx="27">
                  <c:v>43883</c:v>
                </c:pt>
                <c:pt idx="28">
                  <c:v>43884</c:v>
                </c:pt>
                <c:pt idx="29">
                  <c:v>43885</c:v>
                </c:pt>
                <c:pt idx="30">
                  <c:v>43886</c:v>
                </c:pt>
                <c:pt idx="31">
                  <c:v>43887</c:v>
                </c:pt>
                <c:pt idx="32">
                  <c:v>43888</c:v>
                </c:pt>
                <c:pt idx="33">
                  <c:v>43889</c:v>
                </c:pt>
                <c:pt idx="34">
                  <c:v>43890</c:v>
                </c:pt>
                <c:pt idx="35">
                  <c:v>43891</c:v>
                </c:pt>
                <c:pt idx="36">
                  <c:v>43892</c:v>
                </c:pt>
                <c:pt idx="37">
                  <c:v>43893</c:v>
                </c:pt>
                <c:pt idx="38">
                  <c:v>43894</c:v>
                </c:pt>
                <c:pt idx="39">
                  <c:v>43895</c:v>
                </c:pt>
                <c:pt idx="40">
                  <c:v>43896</c:v>
                </c:pt>
                <c:pt idx="41">
                  <c:v>43897</c:v>
                </c:pt>
                <c:pt idx="42">
                  <c:v>43898</c:v>
                </c:pt>
                <c:pt idx="43">
                  <c:v>43899</c:v>
                </c:pt>
                <c:pt idx="44">
                  <c:v>43900</c:v>
                </c:pt>
                <c:pt idx="45">
                  <c:v>43901</c:v>
                </c:pt>
                <c:pt idx="46">
                  <c:v>43902</c:v>
                </c:pt>
                <c:pt idx="47">
                  <c:v>43903</c:v>
                </c:pt>
                <c:pt idx="48">
                  <c:v>43904</c:v>
                </c:pt>
                <c:pt idx="49">
                  <c:v>43905</c:v>
                </c:pt>
                <c:pt idx="50">
                  <c:v>43906</c:v>
                </c:pt>
                <c:pt idx="51">
                  <c:v>43907</c:v>
                </c:pt>
                <c:pt idx="52">
                  <c:v>43908</c:v>
                </c:pt>
                <c:pt idx="53">
                  <c:v>43909</c:v>
                </c:pt>
                <c:pt idx="54">
                  <c:v>43910</c:v>
                </c:pt>
                <c:pt idx="55">
                  <c:v>43911</c:v>
                </c:pt>
                <c:pt idx="56">
                  <c:v>43912</c:v>
                </c:pt>
                <c:pt idx="57">
                  <c:v>43913</c:v>
                </c:pt>
                <c:pt idx="58">
                  <c:v>43914</c:v>
                </c:pt>
                <c:pt idx="59">
                  <c:v>43915</c:v>
                </c:pt>
                <c:pt idx="60">
                  <c:v>43916</c:v>
                </c:pt>
                <c:pt idx="61">
                  <c:v>43917</c:v>
                </c:pt>
                <c:pt idx="62">
                  <c:v>43918</c:v>
                </c:pt>
                <c:pt idx="63">
                  <c:v>43919</c:v>
                </c:pt>
                <c:pt idx="64">
                  <c:v>43920</c:v>
                </c:pt>
                <c:pt idx="65">
                  <c:v>43921</c:v>
                </c:pt>
                <c:pt idx="66">
                  <c:v>43922</c:v>
                </c:pt>
                <c:pt idx="67">
                  <c:v>43923</c:v>
                </c:pt>
              </c:numCache>
            </c:numRef>
          </c:xVal>
          <c:yVal>
            <c:numRef>
              <c:f>myData!AuCases</c:f>
              <c:numCache>
                <c:formatCode>0.000</c:formatCode>
                <c:ptCount val="68"/>
                <c:pt idx="0">
                  <c:v>1.5770383220312254</c:v>
                </c:pt>
                <c:pt idx="1">
                  <c:v>1.9712979025390318</c:v>
                </c:pt>
                <c:pt idx="2">
                  <c:v>1.9712979025390318</c:v>
                </c:pt>
                <c:pt idx="3">
                  <c:v>2.365557483046838</c:v>
                </c:pt>
                <c:pt idx="4">
                  <c:v>3.548336224570257</c:v>
                </c:pt>
                <c:pt idx="5">
                  <c:v>3.548336224570257</c:v>
                </c:pt>
                <c:pt idx="6">
                  <c:v>4.731114966093676</c:v>
                </c:pt>
                <c:pt idx="7">
                  <c:v>4.731114966093676</c:v>
                </c:pt>
                <c:pt idx="8">
                  <c:v>4.731114966093676</c:v>
                </c:pt>
                <c:pt idx="9">
                  <c:v>5.1253745466014822</c:v>
                </c:pt>
                <c:pt idx="10">
                  <c:v>5.1253745466014822</c:v>
                </c:pt>
                <c:pt idx="11">
                  <c:v>5.5196341271092884</c:v>
                </c:pt>
                <c:pt idx="12">
                  <c:v>5.9138937076170954</c:v>
                </c:pt>
                <c:pt idx="13">
                  <c:v>5.9138937076170954</c:v>
                </c:pt>
                <c:pt idx="14">
                  <c:v>5.9138937076170954</c:v>
                </c:pt>
                <c:pt idx="15">
                  <c:v>5.9138937076170954</c:v>
                </c:pt>
                <c:pt idx="16">
                  <c:v>5.9138937076170954</c:v>
                </c:pt>
                <c:pt idx="17">
                  <c:v>5.9138937076170954</c:v>
                </c:pt>
                <c:pt idx="18">
                  <c:v>5.9138937076170954</c:v>
                </c:pt>
                <c:pt idx="19">
                  <c:v>5.9138937076170954</c:v>
                </c:pt>
                <c:pt idx="20">
                  <c:v>5.9138937076170954</c:v>
                </c:pt>
                <c:pt idx="21">
                  <c:v>5.9138937076170954</c:v>
                </c:pt>
                <c:pt idx="22">
                  <c:v>5.9138937076170954</c:v>
                </c:pt>
                <c:pt idx="23">
                  <c:v>5.9138937076170954</c:v>
                </c:pt>
                <c:pt idx="24">
                  <c:v>5.9138937076170954</c:v>
                </c:pt>
                <c:pt idx="25">
                  <c:v>5.9138937076170954</c:v>
                </c:pt>
                <c:pt idx="26">
                  <c:v>5.9138937076170954</c:v>
                </c:pt>
                <c:pt idx="27">
                  <c:v>5.9138937076170954</c:v>
                </c:pt>
                <c:pt idx="28">
                  <c:v>5.9138937076170954</c:v>
                </c:pt>
                <c:pt idx="29">
                  <c:v>5.9138937076170954</c:v>
                </c:pt>
                <c:pt idx="30">
                  <c:v>5.9138937076170954</c:v>
                </c:pt>
                <c:pt idx="31">
                  <c:v>5.9138937076170954</c:v>
                </c:pt>
                <c:pt idx="32">
                  <c:v>5.9138937076170954</c:v>
                </c:pt>
                <c:pt idx="33">
                  <c:v>5.9138937076170954</c:v>
                </c:pt>
                <c:pt idx="34">
                  <c:v>9.856489512695159</c:v>
                </c:pt>
                <c:pt idx="35">
                  <c:v>10.645008673710771</c:v>
                </c:pt>
                <c:pt idx="36">
                  <c:v>11.827787415234191</c:v>
                </c:pt>
                <c:pt idx="37">
                  <c:v>15.376123639804447</c:v>
                </c:pt>
                <c:pt idx="38">
                  <c:v>20.501498186405929</c:v>
                </c:pt>
                <c:pt idx="39">
                  <c:v>21.68427692792935</c:v>
                </c:pt>
                <c:pt idx="40">
                  <c:v>23.655574830468382</c:v>
                </c:pt>
                <c:pt idx="41">
                  <c:v>24.838353571991799</c:v>
                </c:pt>
                <c:pt idx="42">
                  <c:v>29.963728118593281</c:v>
                </c:pt>
                <c:pt idx="43">
                  <c:v>35.87762182621038</c:v>
                </c:pt>
                <c:pt idx="44">
                  <c:v>42.185775114335279</c:v>
                </c:pt>
                <c:pt idx="45">
                  <c:v>50.465226304999213</c:v>
                </c:pt>
                <c:pt idx="46">
                  <c:v>54.802081690585084</c:v>
                </c:pt>
                <c:pt idx="47">
                  <c:v>78.851916101561272</c:v>
                </c:pt>
                <c:pt idx="48">
                  <c:v>98.564895126951583</c:v>
                </c:pt>
                <c:pt idx="49">
                  <c:v>117.09509541081849</c:v>
                </c:pt>
                <c:pt idx="50">
                  <c:v>148.635861851443</c:v>
                </c:pt>
                <c:pt idx="51">
                  <c:v>178.20533038952846</c:v>
                </c:pt>
                <c:pt idx="52">
                  <c:v>223.93944172843399</c:v>
                </c:pt>
                <c:pt idx="53">
                  <c:v>268.49077432581612</c:v>
                </c:pt>
                <c:pt idx="54">
                  <c:v>311.85932818167481</c:v>
                </c:pt>
                <c:pt idx="55">
                  <c:v>422.25201072386056</c:v>
                </c:pt>
                <c:pt idx="56">
                  <c:v>610.70809020659203</c:v>
                </c:pt>
                <c:pt idx="57">
                  <c:v>663.14461441413027</c:v>
                </c:pt>
                <c:pt idx="58">
                  <c:v>805.86658255795612</c:v>
                </c:pt>
                <c:pt idx="59">
                  <c:v>958.44504021447722</c:v>
                </c:pt>
                <c:pt idx="60">
                  <c:v>1106.2923829049046</c:v>
                </c:pt>
                <c:pt idx="61">
                  <c:v>1248.6200914682227</c:v>
                </c:pt>
                <c:pt idx="62">
                  <c:v>1435.1048730484151</c:v>
                </c:pt>
                <c:pt idx="63">
                  <c:v>1570.7301687431004</c:v>
                </c:pt>
                <c:pt idx="64">
                  <c:v>1675.6032171581769</c:v>
                </c:pt>
                <c:pt idx="65">
                  <c:v>1798.2179466961047</c:v>
                </c:pt>
                <c:pt idx="66">
                  <c:v>1917.67859958997</c:v>
                </c:pt>
                <c:pt idx="67">
                  <c:v>2013.8779372338747</c:v>
                </c:pt>
              </c:numCache>
            </c:numRef>
          </c:yVal>
          <c:smooth val="0"/>
        </c:ser>
        <c:ser>
          <c:idx val="9"/>
          <c:order val="9"/>
          <c:tx>
            <c:strRef>
              <c:f>myData!AuSeries</c:f>
              <c:strCache>
                <c:ptCount val="1"/>
                <c:pt idx="0">
                  <c:v>Australia Limit 2.44 k</c:v>
                </c:pt>
              </c:strCache>
            </c:strRef>
          </c:tx>
          <c:spPr>
            <a:ln w="19050" cap="rnd">
              <a:solidFill>
                <a:srgbClr val="FF0000"/>
              </a:solidFill>
              <a:prstDash val="sysDot"/>
              <a:round/>
            </a:ln>
            <a:effectLst/>
          </c:spPr>
          <c:marker>
            <c:symbol val="none"/>
          </c:marker>
          <c:xVal>
            <c:numRef>
              <c:f>myData!AuLogiDates</c:f>
              <c:numCache>
                <c:formatCode>m/d/yyyy</c:formatCode>
                <c:ptCount val="103"/>
                <c:pt idx="0">
                  <c:v>43855</c:v>
                </c:pt>
                <c:pt idx="1">
                  <c:v>43856</c:v>
                </c:pt>
                <c:pt idx="2">
                  <c:v>43857</c:v>
                </c:pt>
                <c:pt idx="3">
                  <c:v>43858</c:v>
                </c:pt>
                <c:pt idx="4">
                  <c:v>43859</c:v>
                </c:pt>
                <c:pt idx="5">
                  <c:v>43860</c:v>
                </c:pt>
                <c:pt idx="6">
                  <c:v>43861</c:v>
                </c:pt>
                <c:pt idx="7">
                  <c:v>43862</c:v>
                </c:pt>
                <c:pt idx="8">
                  <c:v>43863</c:v>
                </c:pt>
                <c:pt idx="9">
                  <c:v>43864</c:v>
                </c:pt>
                <c:pt idx="10">
                  <c:v>43865</c:v>
                </c:pt>
                <c:pt idx="11">
                  <c:v>43866</c:v>
                </c:pt>
                <c:pt idx="12">
                  <c:v>43867</c:v>
                </c:pt>
                <c:pt idx="13">
                  <c:v>43868</c:v>
                </c:pt>
                <c:pt idx="14">
                  <c:v>43869</c:v>
                </c:pt>
                <c:pt idx="15">
                  <c:v>43870</c:v>
                </c:pt>
                <c:pt idx="16">
                  <c:v>43871</c:v>
                </c:pt>
                <c:pt idx="17">
                  <c:v>43872</c:v>
                </c:pt>
                <c:pt idx="18">
                  <c:v>43873</c:v>
                </c:pt>
                <c:pt idx="19">
                  <c:v>43874</c:v>
                </c:pt>
                <c:pt idx="20">
                  <c:v>43875</c:v>
                </c:pt>
                <c:pt idx="21">
                  <c:v>43876</c:v>
                </c:pt>
                <c:pt idx="22">
                  <c:v>43877</c:v>
                </c:pt>
                <c:pt idx="23">
                  <c:v>43878</c:v>
                </c:pt>
                <c:pt idx="24">
                  <c:v>43879</c:v>
                </c:pt>
                <c:pt idx="25">
                  <c:v>43880</c:v>
                </c:pt>
                <c:pt idx="26">
                  <c:v>43881</c:v>
                </c:pt>
                <c:pt idx="27">
                  <c:v>43882</c:v>
                </c:pt>
                <c:pt idx="28">
                  <c:v>43883</c:v>
                </c:pt>
                <c:pt idx="29">
                  <c:v>43884</c:v>
                </c:pt>
                <c:pt idx="30">
                  <c:v>43885</c:v>
                </c:pt>
                <c:pt idx="31">
                  <c:v>43886</c:v>
                </c:pt>
                <c:pt idx="32">
                  <c:v>43887</c:v>
                </c:pt>
                <c:pt idx="33">
                  <c:v>43888</c:v>
                </c:pt>
                <c:pt idx="34">
                  <c:v>43889</c:v>
                </c:pt>
                <c:pt idx="35">
                  <c:v>43890</c:v>
                </c:pt>
                <c:pt idx="36">
                  <c:v>43891</c:v>
                </c:pt>
                <c:pt idx="37">
                  <c:v>43892</c:v>
                </c:pt>
                <c:pt idx="38">
                  <c:v>43893</c:v>
                </c:pt>
                <c:pt idx="39">
                  <c:v>43894</c:v>
                </c:pt>
                <c:pt idx="40">
                  <c:v>43895</c:v>
                </c:pt>
                <c:pt idx="41">
                  <c:v>43896</c:v>
                </c:pt>
                <c:pt idx="42">
                  <c:v>43897</c:v>
                </c:pt>
                <c:pt idx="43">
                  <c:v>43898</c:v>
                </c:pt>
                <c:pt idx="44">
                  <c:v>43899</c:v>
                </c:pt>
                <c:pt idx="45">
                  <c:v>43900</c:v>
                </c:pt>
                <c:pt idx="46">
                  <c:v>43901</c:v>
                </c:pt>
                <c:pt idx="47">
                  <c:v>43902</c:v>
                </c:pt>
                <c:pt idx="48">
                  <c:v>43903</c:v>
                </c:pt>
                <c:pt idx="49">
                  <c:v>43904</c:v>
                </c:pt>
                <c:pt idx="50">
                  <c:v>43905</c:v>
                </c:pt>
                <c:pt idx="51">
                  <c:v>43906</c:v>
                </c:pt>
                <c:pt idx="52">
                  <c:v>43907</c:v>
                </c:pt>
                <c:pt idx="53">
                  <c:v>43908</c:v>
                </c:pt>
                <c:pt idx="54">
                  <c:v>43909</c:v>
                </c:pt>
                <c:pt idx="55">
                  <c:v>43910</c:v>
                </c:pt>
                <c:pt idx="56">
                  <c:v>43911</c:v>
                </c:pt>
                <c:pt idx="57">
                  <c:v>43912</c:v>
                </c:pt>
                <c:pt idx="58">
                  <c:v>43913</c:v>
                </c:pt>
                <c:pt idx="59">
                  <c:v>43914</c:v>
                </c:pt>
                <c:pt idx="60">
                  <c:v>43915</c:v>
                </c:pt>
                <c:pt idx="61">
                  <c:v>43916</c:v>
                </c:pt>
                <c:pt idx="62">
                  <c:v>43917</c:v>
                </c:pt>
                <c:pt idx="63">
                  <c:v>43918</c:v>
                </c:pt>
                <c:pt idx="64">
                  <c:v>43919</c:v>
                </c:pt>
                <c:pt idx="65">
                  <c:v>43920</c:v>
                </c:pt>
                <c:pt idx="66">
                  <c:v>43921</c:v>
                </c:pt>
                <c:pt idx="67">
                  <c:v>43922</c:v>
                </c:pt>
                <c:pt idx="68">
                  <c:v>43923</c:v>
                </c:pt>
                <c:pt idx="69">
                  <c:v>43924</c:v>
                </c:pt>
                <c:pt idx="70">
                  <c:v>43925</c:v>
                </c:pt>
                <c:pt idx="71">
                  <c:v>43932</c:v>
                </c:pt>
                <c:pt idx="72">
                  <c:v>43939</c:v>
                </c:pt>
                <c:pt idx="73">
                  <c:v>43946</c:v>
                </c:pt>
                <c:pt idx="74">
                  <c:v>43953</c:v>
                </c:pt>
                <c:pt idx="75">
                  <c:v>43960</c:v>
                </c:pt>
                <c:pt idx="76">
                  <c:v>43967</c:v>
                </c:pt>
                <c:pt idx="77">
                  <c:v>43974</c:v>
                </c:pt>
                <c:pt idx="78">
                  <c:v>43981</c:v>
                </c:pt>
                <c:pt idx="79">
                  <c:v>43988</c:v>
                </c:pt>
                <c:pt idx="80">
                  <c:v>43995</c:v>
                </c:pt>
                <c:pt idx="81">
                  <c:v>44002</c:v>
                </c:pt>
                <c:pt idx="82">
                  <c:v>44009</c:v>
                </c:pt>
                <c:pt idx="83">
                  <c:v>44016</c:v>
                </c:pt>
                <c:pt idx="84">
                  <c:v>44023</c:v>
                </c:pt>
                <c:pt idx="85">
                  <c:v>44030</c:v>
                </c:pt>
                <c:pt idx="86">
                  <c:v>44037</c:v>
                </c:pt>
                <c:pt idx="87">
                  <c:v>44044</c:v>
                </c:pt>
                <c:pt idx="88">
                  <c:v>44051</c:v>
                </c:pt>
                <c:pt idx="89">
                  <c:v>44058</c:v>
                </c:pt>
                <c:pt idx="90">
                  <c:v>44065</c:v>
                </c:pt>
                <c:pt idx="91">
                  <c:v>44072</c:v>
                </c:pt>
                <c:pt idx="92">
                  <c:v>44079</c:v>
                </c:pt>
                <c:pt idx="93">
                  <c:v>44086</c:v>
                </c:pt>
                <c:pt idx="94">
                  <c:v>44093</c:v>
                </c:pt>
                <c:pt idx="95">
                  <c:v>44100</c:v>
                </c:pt>
                <c:pt idx="96">
                  <c:v>44107</c:v>
                </c:pt>
                <c:pt idx="97">
                  <c:v>44114</c:v>
                </c:pt>
                <c:pt idx="98">
                  <c:v>44121</c:v>
                </c:pt>
                <c:pt idx="99">
                  <c:v>44128</c:v>
                </c:pt>
                <c:pt idx="100">
                  <c:v>44135</c:v>
                </c:pt>
                <c:pt idx="101">
                  <c:v>44142</c:v>
                </c:pt>
                <c:pt idx="102">
                  <c:v>44149</c:v>
                </c:pt>
              </c:numCache>
            </c:numRef>
          </c:xVal>
          <c:yVal>
            <c:numRef>
              <c:f>myData!AuLogi</c:f>
              <c:numCache>
                <c:formatCode>0.000</c:formatCode>
                <c:ptCount val="103"/>
                <c:pt idx="0">
                  <c:v>5.0780158348501107E-4</c:v>
                </c:pt>
                <c:pt idx="1">
                  <c:v>6.5404230481095292E-4</c:v>
                </c:pt>
                <c:pt idx="2">
                  <c:v>8.4239857259244824E-4</c:v>
                </c:pt>
                <c:pt idx="3">
                  <c:v>1.0849991416250304E-3</c:v>
                </c:pt>
                <c:pt idx="4">
                  <c:v>1.3974656912655325E-3</c:v>
                </c:pt>
                <c:pt idx="5">
                  <c:v>1.7999187383778831E-3</c:v>
                </c:pt>
                <c:pt idx="6">
                  <c:v>2.3182732362566857E-3</c:v>
                </c:pt>
                <c:pt idx="7">
                  <c:v>2.9859072824000464E-3</c:v>
                </c:pt>
                <c:pt idx="8">
                  <c:v>3.8458113806717582E-3</c:v>
                </c:pt>
                <c:pt idx="9">
                  <c:v>4.9533566429069307E-3</c:v>
                </c:pt>
                <c:pt idx="10">
                  <c:v>6.379860162423789E-3</c:v>
                </c:pt>
                <c:pt idx="11">
                  <c:v>8.2171771110498126E-3</c:v>
                </c:pt>
                <c:pt idx="12">
                  <c:v>1.0583615203345937E-2</c:v>
                </c:pt>
                <c:pt idx="13">
                  <c:v>1.3631552286949062E-2</c:v>
                </c:pt>
                <c:pt idx="14">
                  <c:v>1.7557247427833086E-2</c:v>
                </c:pt>
                <c:pt idx="15">
                  <c:v>2.2613477006429773E-2</c:v>
                </c:pt>
                <c:pt idx="16">
                  <c:v>2.9125809088155249E-2</c:v>
                </c:pt>
                <c:pt idx="17">
                  <c:v>3.7513563340633591E-2</c:v>
                </c:pt>
                <c:pt idx="18">
                  <c:v>4.8316805037684707E-2</c:v>
                </c:pt>
                <c:pt idx="19">
                  <c:v>6.2231109499340589E-2</c:v>
                </c:pt>
                <c:pt idx="20">
                  <c:v>8.0152332445696792E-2</c:v>
                </c:pt>
                <c:pt idx="21">
                  <c:v>0.10323426400850313</c:v>
                </c:pt>
                <c:pt idx="22">
                  <c:v>0.13296287037121177</c:v>
                </c:pt>
                <c:pt idx="23">
                  <c:v>0.17125188951301457</c:v>
                </c:pt>
                <c:pt idx="24">
                  <c:v>0.22056591326410149</c:v>
                </c:pt>
                <c:pt idx="25">
                  <c:v>0.28407884234612357</c:v>
                </c:pt>
                <c:pt idx="26">
                  <c:v>0.36587785321200644</c:v>
                </c:pt>
                <c:pt idx="27">
                  <c:v>0.47122590364440897</c:v>
                </c:pt>
                <c:pt idx="28">
                  <c:v>0.60689950311346952</c:v>
                </c:pt>
                <c:pt idx="29">
                  <c:v>0.7816232036645312</c:v>
                </c:pt>
                <c:pt idx="30">
                  <c:v>1.0066283017744495</c:v>
                </c:pt>
                <c:pt idx="31">
                  <c:v>1.2963709194815802</c:v>
                </c:pt>
                <c:pt idx="32">
                  <c:v>1.6694543654176943</c:v>
                </c:pt>
                <c:pt idx="33">
                  <c:v>2.1498129525199996</c:v>
                </c:pt>
                <c:pt idx="34">
                  <c:v>2.7682298331535495</c:v>
                </c:pt>
                <c:pt idx="35">
                  <c:v>3.5642805217006082</c:v>
                </c:pt>
                <c:pt idx="36">
                  <c:v>4.5888172268410514</c:v>
                </c:pt>
                <c:pt idx="37">
                  <c:v>5.9071374162777035</c:v>
                </c:pt>
                <c:pt idx="38">
                  <c:v>7.6030133674683569</c:v>
                </c:pt>
                <c:pt idx="39">
                  <c:v>9.7837972992689277</c:v>
                </c:pt>
                <c:pt idx="40">
                  <c:v>12.586857161961168</c:v>
                </c:pt>
                <c:pt idx="41">
                  <c:v>16.187636995451786</c:v>
                </c:pt>
                <c:pt idx="42">
                  <c:v>20.809664516482755</c:v>
                </c:pt>
                <c:pt idx="43">
                  <c:v>26.736832045718604</c:v>
                </c:pt>
                <c:pt idx="44">
                  <c:v>34.328229126351808</c:v>
                </c:pt>
                <c:pt idx="45">
                  <c:v>44.03566425113214</c:v>
                </c:pt>
                <c:pt idx="46">
                  <c:v>56.423714355462373</c:v>
                </c:pt>
                <c:pt idx="47">
                  <c:v>72.191590317657884</c:v>
                </c:pt>
                <c:pt idx="48">
                  <c:v>92.195179179570601</c:v>
                </c:pt>
                <c:pt idx="49">
                  <c:v>117.46617251868628</c:v>
                </c:pt>
                <c:pt idx="50">
                  <c:v>149.22308751631024</c:v>
                </c:pt>
                <c:pt idx="51">
                  <c:v>188.86621970870678</c:v>
                </c:pt>
                <c:pt idx="52">
                  <c:v>237.94541939955033</c:v>
                </c:pt>
                <c:pt idx="53">
                  <c:v>298.08692497497566</c:v>
                </c:pt>
                <c:pt idx="54">
                  <c:v>370.86508683149322</c:v>
                </c:pt>
                <c:pt idx="55">
                  <c:v>457.60946513200952</c:v>
                </c:pt>
                <c:pt idx="56">
                  <c:v>559.15070131983191</c:v>
                </c:pt>
                <c:pt idx="57">
                  <c:v>675.53146881117766</c:v>
                </c:pt>
                <c:pt idx="58">
                  <c:v>805.73857376856859</c:v>
                </c:pt>
                <c:pt idx="59">
                  <c:v>947.53778679735046</c:v>
                </c:pt>
                <c:pt idx="60">
                  <c:v>1097.4962153921856</c:v>
                </c:pt>
                <c:pt idx="61">
                  <c:v>1251.2422517287348</c:v>
                </c:pt>
                <c:pt idx="62">
                  <c:v>1403.9419710971692</c:v>
                </c:pt>
                <c:pt idx="63">
                  <c:v>1550.8908420790906</c:v>
                </c:pt>
                <c:pt idx="64">
                  <c:v>1688.0726128690712</c:v>
                </c:pt>
                <c:pt idx="65">
                  <c:v>1812.5508892753742</c:v>
                </c:pt>
                <c:pt idx="66">
                  <c:v>1922.6250070724</c:v>
                </c:pt>
                <c:pt idx="67">
                  <c:v>2017.7628524309123</c:v>
                </c:pt>
                <c:pt idx="68">
                  <c:v>2098.3806987716216</c:v>
                </c:pt>
                <c:pt idx="69" formatCode="0.00E+00">
                  <c:v>2165.5574447218241</c:v>
                </c:pt>
                <c:pt idx="70" formatCode="0.00E+00">
                  <c:v>2385.6529412551895</c:v>
                </c:pt>
                <c:pt idx="71" formatCode="0.00E+00">
                  <c:v>2427.6132070388553</c:v>
                </c:pt>
                <c:pt idx="72" formatCode="0.00E+00">
                  <c:v>2434.8965165482655</c:v>
                </c:pt>
                <c:pt idx="73" formatCode="0.00E+00">
                  <c:v>2436.1395096568326</c:v>
                </c:pt>
                <c:pt idx="74" formatCode="0.00E+00">
                  <c:v>2436.3510266989711</c:v>
                </c:pt>
                <c:pt idx="75" formatCode="0.00E+00">
                  <c:v>2436.38700219365</c:v>
                </c:pt>
                <c:pt idx="76" formatCode="0.00E+00">
                  <c:v>2436.3931205049316</c:v>
                </c:pt>
                <c:pt idx="77" formatCode="0.00E+00">
                  <c:v>2436.3941610242223</c:v>
                </c:pt>
                <c:pt idx="78" formatCode="0.00E+00">
                  <c:v>2436.3943379811799</c:v>
                </c:pt>
                <c:pt idx="79" formatCode="0.00E+00">
                  <c:v>2436.3943680755301</c:v>
                </c:pt>
                <c:pt idx="80" formatCode="0.00E+00">
                  <c:v>2436.3943731935537</c:v>
                </c:pt>
                <c:pt idx="81" formatCode="0.00E+00">
                  <c:v>2436.3943740639552</c:v>
                </c:pt>
                <c:pt idx="82" formatCode="0.00E+00">
                  <c:v>2436.3943742119809</c:v>
                </c:pt>
                <c:pt idx="83" formatCode="0.00E+00">
                  <c:v>2436.3943742371548</c:v>
                </c:pt>
                <c:pt idx="84" formatCode="0.00E+00">
                  <c:v>2436.3943742414363</c:v>
                </c:pt>
                <c:pt idx="85" formatCode="0.00E+00">
                  <c:v>2436.3943742421643</c:v>
                </c:pt>
                <c:pt idx="86" formatCode="0.00E+00">
                  <c:v>2436.394374242288</c:v>
                </c:pt>
                <c:pt idx="87" formatCode="0.00E+00">
                  <c:v>2436.3943742423089</c:v>
                </c:pt>
                <c:pt idx="88" formatCode="0.00E+00">
                  <c:v>2436.3943742423126</c:v>
                </c:pt>
                <c:pt idx="89" formatCode="0.00E+00">
                  <c:v>2436.3943742423135</c:v>
                </c:pt>
                <c:pt idx="90" formatCode="0.00E+00">
                  <c:v>2436.3943742423135</c:v>
                </c:pt>
                <c:pt idx="91" formatCode="0.00E+00">
                  <c:v>2436.3943742423135</c:v>
                </c:pt>
                <c:pt idx="92" formatCode="0.00E+00">
                  <c:v>2436.3943742423135</c:v>
                </c:pt>
                <c:pt idx="93" formatCode="0.00E+00">
                  <c:v>2436.3943742423135</c:v>
                </c:pt>
                <c:pt idx="94" formatCode="0.00E+00">
                  <c:v>2436.3943742423135</c:v>
                </c:pt>
                <c:pt idx="95" formatCode="0.00E+00">
                  <c:v>2436.3943742423135</c:v>
                </c:pt>
                <c:pt idx="96" formatCode="0.00E+00">
                  <c:v>2436.3943742423135</c:v>
                </c:pt>
                <c:pt idx="97" formatCode="0.00E+00">
                  <c:v>2436.3943742423135</c:v>
                </c:pt>
                <c:pt idx="98" formatCode="0.00E+00">
                  <c:v>2436.3943742423135</c:v>
                </c:pt>
                <c:pt idx="99" formatCode="0.00E+00">
                  <c:v>2436.3943742423135</c:v>
                </c:pt>
                <c:pt idx="100" formatCode="0.00E+00">
                  <c:v>2436.3943742423135</c:v>
                </c:pt>
                <c:pt idx="101" formatCode="0.00E+00">
                  <c:v>2436.3943742423135</c:v>
                </c:pt>
                <c:pt idx="102" formatCode="0.00E+00">
                  <c:v>2436.3943742423135</c:v>
                </c:pt>
              </c:numCache>
            </c:numRef>
          </c:yVal>
          <c:smooth val="0"/>
        </c:ser>
        <c:ser>
          <c:idx val="8"/>
          <c:order val="10"/>
          <c:tx>
            <c:v>Pop Limit</c:v>
          </c:tx>
          <c:spPr>
            <a:ln w="28575" cap="rnd">
              <a:solidFill>
                <a:srgbClr val="FF0000"/>
              </a:solidFill>
              <a:round/>
            </a:ln>
            <a:effectLst/>
          </c:spPr>
          <c:marker>
            <c:symbol val="none"/>
          </c:marker>
          <c:xVal>
            <c:numRef>
              <c:f>myData!$EO$11:$EO$12</c:f>
              <c:numCache>
                <c:formatCode>m/d/yyyy</c:formatCode>
                <c:ptCount val="2"/>
                <c:pt idx="0">
                  <c:v>43852</c:v>
                </c:pt>
                <c:pt idx="1">
                  <c:v>44004</c:v>
                </c:pt>
              </c:numCache>
            </c:numRef>
          </c:xVal>
          <c:yVal>
            <c:numRef>
              <c:f>myData!$EQ$11:$EQ$12</c:f>
              <c:numCache>
                <c:formatCode>0.00000E+00</c:formatCode>
                <c:ptCount val="2"/>
                <c:pt idx="0">
                  <c:v>10000000</c:v>
                </c:pt>
                <c:pt idx="1">
                  <c:v>10000000</c:v>
                </c:pt>
              </c:numCache>
            </c:numRef>
          </c:yVal>
          <c:smooth val="0"/>
        </c:ser>
        <c:dLbls>
          <c:showLegendKey val="0"/>
          <c:showVal val="0"/>
          <c:showCatName val="0"/>
          <c:showSerName val="0"/>
          <c:showPercent val="0"/>
          <c:showBubbleSize val="0"/>
        </c:dLbls>
        <c:axId val="751239616"/>
        <c:axId val="751245496"/>
      </c:scatterChart>
      <c:valAx>
        <c:axId val="751239616"/>
        <c:scaling>
          <c:orientation val="minMax"/>
          <c:max val="43947"/>
          <c:min val="43849"/>
        </c:scaling>
        <c:delete val="0"/>
        <c:axPos val="b"/>
        <c:majorGridlines>
          <c:spPr>
            <a:ln w="9525" cap="flat" cmpd="sng" algn="ctr">
              <a:solidFill>
                <a:schemeClr val="tx1">
                  <a:lumMod val="15000"/>
                  <a:lumOff val="85000"/>
                </a:schemeClr>
              </a:solidFill>
              <a:round/>
            </a:ln>
            <a:effectLst/>
          </c:spPr>
        </c:majorGridlines>
        <c:numFmt formatCode="dd\-mm" sourceLinked="0"/>
        <c:majorTickMark val="in"/>
        <c:minorTickMark val="out"/>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45496"/>
        <c:crossesAt val="1.0000000000000002E-2"/>
        <c:crossBetween val="midCat"/>
        <c:majorUnit val="14"/>
        <c:minorUnit val="7"/>
      </c:valAx>
      <c:valAx>
        <c:axId val="751245496"/>
        <c:scaling>
          <c:logBase val="10"/>
          <c:orientation val="minMax"/>
          <c:max val="100000000"/>
          <c:min val="0.1"/>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[0]!PerPersonLabel</c:f>
              <c:strCache>
                <c:ptCount val="1"/>
                <c:pt idx="0">
                  <c:v>Cases per 10 M population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239616"/>
        <c:crosses val="autoZero"/>
        <c:crossBetween val="midCat"/>
      </c:valAx>
      <c:spPr>
        <a:noFill/>
        <a:ln>
          <a:noFill/>
        </a:ln>
        <a:effectLst/>
      </c:spPr>
    </c:plotArea>
    <c:legend>
      <c:legendPos val="b"/>
      <c:layout>
        <c:manualLayout>
          <c:xMode val="edge"/>
          <c:yMode val="edge"/>
          <c:x val="0.56219883517796521"/>
          <c:y val="0.82106511438545426"/>
          <c:w val="0.43780116768655969"/>
          <c:h val="0.14433720537408071"/>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8.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19.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23.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25.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drawing27.xml"/></Relationships>
</file>

<file path=xl/chartsheets/_rels/sheet16.xml.rels><?xml version="1.0" encoding="UTF-8" standalone="yes"?>
<Relationships xmlns="http://schemas.openxmlformats.org/package/2006/relationships"><Relationship Id="rId1" Type="http://schemas.openxmlformats.org/officeDocument/2006/relationships/drawing" Target="../drawings/drawing29.xml"/></Relationships>
</file>

<file path=xl/chartsheets/_rels/sheet17.xml.rels><?xml version="1.0" encoding="UTF-8" standalone="yes"?>
<Relationships xmlns="http://schemas.openxmlformats.org/package/2006/relationships"><Relationship Id="rId1" Type="http://schemas.openxmlformats.org/officeDocument/2006/relationships/drawing" Target="../drawings/drawing31.xml"/></Relationships>
</file>

<file path=xl/chartsheets/_rels/sheet18.xml.rels><?xml version="1.0" encoding="UTF-8" standalone="yes"?>
<Relationships xmlns="http://schemas.openxmlformats.org/package/2006/relationships"><Relationship Id="rId1" Type="http://schemas.openxmlformats.org/officeDocument/2006/relationships/drawing" Target="../drawings/drawing34.xml"/></Relationships>
</file>

<file path=xl/chartsheets/_rels/sheet19.xml.rels><?xml version="1.0" encoding="UTF-8" standalone="yes"?>
<Relationships xmlns="http://schemas.openxmlformats.org/package/2006/relationships"><Relationship Id="rId1" Type="http://schemas.openxmlformats.org/officeDocument/2006/relationships/drawing" Target="../drawings/drawing36.xml"/></Relationships>
</file>

<file path=xl/chartsheets/_rels/sheet20.xml.rels><?xml version="1.0" encoding="UTF-8" standalone="yes"?>
<Relationships xmlns="http://schemas.openxmlformats.org/package/2006/relationships"><Relationship Id="rId1" Type="http://schemas.openxmlformats.org/officeDocument/2006/relationships/drawing" Target="../drawings/drawing38.xml"/></Relationships>
</file>

<file path=xl/chartsheets/_rels/sheet21.xml.rels><?xml version="1.0" encoding="UTF-8" standalone="yes"?>
<Relationships xmlns="http://schemas.openxmlformats.org/package/2006/relationships"><Relationship Id="rId1" Type="http://schemas.openxmlformats.org/officeDocument/2006/relationships/drawing" Target="../drawings/drawing40.xml"/></Relationships>
</file>

<file path=xl/chartsheets/_rels/sheet22.xml.rels><?xml version="1.0" encoding="UTF-8" standalone="yes"?>
<Relationships xmlns="http://schemas.openxmlformats.org/package/2006/relationships"><Relationship Id="rId1" Type="http://schemas.openxmlformats.org/officeDocument/2006/relationships/drawing" Target="../drawings/drawing42.xml"/></Relationships>
</file>

<file path=xl/chartsheets/_rels/sheet23.xml.rels><?xml version="1.0" encoding="UTF-8" standalone="yes"?>
<Relationships xmlns="http://schemas.openxmlformats.org/package/2006/relationships"><Relationship Id="rId1" Type="http://schemas.openxmlformats.org/officeDocument/2006/relationships/drawing" Target="../drawings/drawing44.xml"/></Relationships>
</file>

<file path=xl/chartsheets/_rels/sheet24.xml.rels><?xml version="1.0" encoding="UTF-8" standalone="yes"?>
<Relationships xmlns="http://schemas.openxmlformats.org/package/2006/relationships"><Relationship Id="rId1" Type="http://schemas.openxmlformats.org/officeDocument/2006/relationships/drawing" Target="../drawings/drawing45.xml"/></Relationships>
</file>

<file path=xl/chartsheets/_rels/sheet25.xml.rels><?xml version="1.0" encoding="UTF-8" standalone="yes"?>
<Relationships xmlns="http://schemas.openxmlformats.org/package/2006/relationships"><Relationship Id="rId1" Type="http://schemas.openxmlformats.org/officeDocument/2006/relationships/drawing" Target="../drawings/drawing47.xml"/></Relationships>
</file>

<file path=xl/chartsheets/sheet1.xml><?xml version="1.0" encoding="utf-8"?>
<chartsheet xmlns="http://schemas.openxmlformats.org/spreadsheetml/2006/main" xmlns:r="http://schemas.openxmlformats.org/officeDocument/2006/relationships">
  <sheetPr codeName="Chart4"/>
  <sheetViews>
    <sheetView zoomScale="8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5"/>
  <sheetViews>
    <sheetView zoomScale="106"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codeName="Chart24"/>
  <sheetViews>
    <sheetView zoomScale="85"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sheetPr codeName="Chart23"/>
  <sheetViews>
    <sheetView zoomScale="106"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sheetPr codeName="Chart19"/>
  <sheetViews>
    <sheetView zoomScale="85"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sheetPr codeName="Chart9"/>
  <sheetViews>
    <sheetView zoomScale="85" workbookViewId="0" zoomToFit="1"/>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sheetPr codeName="Chart22"/>
  <sheetViews>
    <sheetView zoomScale="85" workbookViewId="0" zoomToFit="1"/>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sheetPr codeName="Chart21"/>
  <sheetViews>
    <sheetView zoomScale="85" workbookViewId="0" zoomToFit="1"/>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sheetPr codeName="Chart20"/>
  <sheetViews>
    <sheetView zoomScale="85" workbookViewId="0" zoomToFit="1"/>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sheetPr codeName="Chart15"/>
  <sheetViews>
    <sheetView zoomScale="85" workbookViewId="0" zoomToFit="1"/>
  </sheetViews>
  <pageMargins left="0.7" right="0.7" top="0.75" bottom="0.75" header="0.3" footer="0.3"/>
  <drawing r:id="rId1"/>
</chartsheet>
</file>

<file path=xl/chartsheets/sheet11.xml><?xml version="1.0" encoding="utf-8"?>
<chartsheet xmlns="http://schemas.openxmlformats.org/spreadsheetml/2006/main" xmlns:r="http://schemas.openxmlformats.org/officeDocument/2006/relationships">
  <sheetPr codeName="Chart18"/>
  <sheetViews>
    <sheetView zoomScale="95" workbookViewId="0"/>
  </sheetViews>
  <pageMargins left="0.7" right="0.7" top="0.75" bottom="0.75" header="0.3" footer="0.3"/>
  <drawing r:id="rId1"/>
</chartsheet>
</file>

<file path=xl/chartsheets/sheet12.xml><?xml version="1.0" encoding="utf-8"?>
<chartsheet xmlns="http://schemas.openxmlformats.org/spreadsheetml/2006/main" xmlns:r="http://schemas.openxmlformats.org/officeDocument/2006/relationships">
  <sheetPr codeName="Chart16"/>
  <sheetViews>
    <sheetView zoomScale="85" workbookViewId="0" zoomToFit="1"/>
  </sheetViews>
  <pageMargins left="0.7" right="0.7" top="0.75" bottom="0.75" header="0.3" footer="0.3"/>
  <drawing r:id="rId1"/>
</chartsheet>
</file>

<file path=xl/chartsheets/sheet13.xml><?xml version="1.0" encoding="utf-8"?>
<chartsheet xmlns="http://schemas.openxmlformats.org/spreadsheetml/2006/main" xmlns:r="http://schemas.openxmlformats.org/officeDocument/2006/relationships">
  <sheetPr codeName="Chart17"/>
  <sheetViews>
    <sheetView zoomScale="95" workbookViewId="0"/>
  </sheetViews>
  <pageMargins left="0.7" right="0.7" top="0.75" bottom="0.75" header="0.3" footer="0.3"/>
  <drawing r:id="rId1"/>
</chartsheet>
</file>

<file path=xl/chartsheets/sheet14.xml><?xml version="1.0" encoding="utf-8"?>
<chartsheet xmlns="http://schemas.openxmlformats.org/spreadsheetml/2006/main" xmlns:r="http://schemas.openxmlformats.org/officeDocument/2006/relationships">
  <sheetPr codeName="Chart14"/>
  <sheetViews>
    <sheetView zoomScale="89" workbookViewId="0" zoomToFit="1"/>
  </sheetViews>
  <pageMargins left="0.7" right="0.7" top="0.75" bottom="0.75" header="0.3" footer="0.3"/>
  <drawing r:id="rId1"/>
</chartsheet>
</file>

<file path=xl/chartsheets/sheet15.xml><?xml version="1.0" encoding="utf-8"?>
<chartsheet xmlns="http://schemas.openxmlformats.org/spreadsheetml/2006/main" xmlns:r="http://schemas.openxmlformats.org/officeDocument/2006/relationships">
  <sheetPr codeName="Chart13"/>
  <sheetViews>
    <sheetView zoomScale="85" workbookViewId="0" zoomToFit="1"/>
  </sheetViews>
  <pageMargins left="0.7" right="0.7" top="0.75" bottom="0.75" header="0.3" footer="0.3"/>
  <drawing r:id="rId1"/>
</chartsheet>
</file>

<file path=xl/chartsheets/sheet16.xml><?xml version="1.0" encoding="utf-8"?>
<chartsheet xmlns="http://schemas.openxmlformats.org/spreadsheetml/2006/main" xmlns:r="http://schemas.openxmlformats.org/officeDocument/2006/relationships">
  <sheetPr codeName="Chart12"/>
  <sheetViews>
    <sheetView zoomScale="93" workbookViewId="0"/>
  </sheetViews>
  <pageMargins left="0.7" right="0.7" top="0.75" bottom="0.75" header="0.3" footer="0.3"/>
  <drawing r:id="rId1"/>
</chartsheet>
</file>

<file path=xl/chartsheets/sheet17.xml><?xml version="1.0" encoding="utf-8"?>
<chartsheet xmlns="http://schemas.openxmlformats.org/spreadsheetml/2006/main" xmlns:r="http://schemas.openxmlformats.org/officeDocument/2006/relationships">
  <sheetPr codeName="Chart7"/>
  <sheetViews>
    <sheetView zoomScale="98" workbookViewId="0"/>
  </sheetViews>
  <pageMargins left="0.7" right="0.7" top="0.75" bottom="0.75" header="0.3" footer="0.3"/>
  <drawing r:id="rId1"/>
</chartsheet>
</file>

<file path=xl/chartsheets/sheet18.xml><?xml version="1.0" encoding="utf-8"?>
<chartsheet xmlns="http://schemas.openxmlformats.org/spreadsheetml/2006/main" xmlns:r="http://schemas.openxmlformats.org/officeDocument/2006/relationships">
  <sheetPr codeName="Chart1"/>
  <sheetViews>
    <sheetView zoomScale="106" workbookViewId="0"/>
  </sheetViews>
  <pageMargins left="0.7" right="0.7" top="0.75" bottom="0.75" header="0.3" footer="0.3"/>
  <drawing r:id="rId1"/>
</chartsheet>
</file>

<file path=xl/chartsheets/sheet19.xml><?xml version="1.0" encoding="utf-8"?>
<chartsheet xmlns="http://schemas.openxmlformats.org/spreadsheetml/2006/main" xmlns:r="http://schemas.openxmlformats.org/officeDocument/2006/relationships">
  <sheetPr codeName="Chart2"/>
  <sheetViews>
    <sheetView zoomScale="85" workbookViewId="0" zoomToFit="1"/>
  </sheetViews>
  <pageMargins left="0.7" right="0.7" top="0.75" bottom="0.75" header="0.3" footer="0.3"/>
  <drawing r:id="rId1"/>
</chartsheet>
</file>

<file path=xl/chartsheets/sheet20.xml><?xml version="1.0" encoding="utf-8"?>
<chartsheet xmlns="http://schemas.openxmlformats.org/spreadsheetml/2006/main" xmlns:r="http://schemas.openxmlformats.org/officeDocument/2006/relationships">
  <sheetPr codeName="Chart3"/>
  <sheetViews>
    <sheetView zoomScale="85" workbookViewId="0" zoomToFit="1"/>
  </sheetViews>
  <pageMargins left="0.7" right="0.7" top="0.75" bottom="0.75" header="0.3" footer="0.3"/>
  <drawing r:id="rId1"/>
</chartsheet>
</file>

<file path=xl/chartsheets/sheet21.xml><?xml version="1.0" encoding="utf-8"?>
<chartsheet xmlns="http://schemas.openxmlformats.org/spreadsheetml/2006/main" xmlns:r="http://schemas.openxmlformats.org/officeDocument/2006/relationships">
  <sheetPr codeName="Chart5"/>
  <sheetViews>
    <sheetView zoomScale="85" workbookViewId="0" zoomToFit="1"/>
  </sheetViews>
  <pageMargins left="0.7" right="0.7" top="0.75" bottom="0.75" header="0.3" footer="0.3"/>
  <drawing r:id="rId1"/>
</chartsheet>
</file>

<file path=xl/chartsheets/sheet22.xml><?xml version="1.0" encoding="utf-8"?>
<chartsheet xmlns="http://schemas.openxmlformats.org/spreadsheetml/2006/main" xmlns:r="http://schemas.openxmlformats.org/officeDocument/2006/relationships">
  <sheetPr codeName="Chart6"/>
  <sheetViews>
    <sheetView zoomScale="85" workbookViewId="0" zoomToFit="1"/>
  </sheetViews>
  <pageMargins left="0.7" right="0.7" top="0.75" bottom="0.75" header="0.3" footer="0.3"/>
  <drawing r:id="rId1"/>
</chartsheet>
</file>

<file path=xl/chartsheets/sheet23.xml><?xml version="1.0" encoding="utf-8"?>
<chartsheet xmlns="http://schemas.openxmlformats.org/spreadsheetml/2006/main" xmlns:r="http://schemas.openxmlformats.org/officeDocument/2006/relationships">
  <sheetPr codeName="Chart8"/>
  <sheetViews>
    <sheetView zoomScale="85" workbookViewId="0" zoomToFit="1"/>
  </sheetViews>
  <pageMargins left="0.7" right="0.7" top="0.75" bottom="0.75" header="0.3" footer="0.3"/>
  <drawing r:id="rId1"/>
</chartsheet>
</file>

<file path=xl/chartsheets/sheet24.xml><?xml version="1.0" encoding="utf-8"?>
<chartsheet xmlns="http://schemas.openxmlformats.org/spreadsheetml/2006/main" xmlns:r="http://schemas.openxmlformats.org/officeDocument/2006/relationships">
  <sheetPr codeName="Chart11"/>
  <sheetViews>
    <sheetView zoomScale="85" workbookViewId="0" zoomToFit="1"/>
  </sheetViews>
  <pageMargins left="0.7" right="0.7" top="0.75" bottom="0.75" header="0.3" footer="0.3"/>
  <drawing r:id="rId1"/>
</chartsheet>
</file>

<file path=xl/chartsheets/sheet25.xml><?xml version="1.0" encoding="utf-8"?>
<chartsheet xmlns="http://schemas.openxmlformats.org/spreadsheetml/2006/main" xmlns:r="http://schemas.openxmlformats.org/officeDocument/2006/relationships">
  <sheetPr codeName="Chart10"/>
  <sheetViews>
    <sheetView zoomScale="9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8" Type="http://schemas.openxmlformats.org/officeDocument/2006/relationships/image" Target="../media/image9.gif"/><Relationship Id="rId13" Type="http://schemas.openxmlformats.org/officeDocument/2006/relationships/image" Target="../media/image14.gif"/><Relationship Id="rId18" Type="http://schemas.openxmlformats.org/officeDocument/2006/relationships/image" Target="../media/image19.gif"/><Relationship Id="rId3" Type="http://schemas.openxmlformats.org/officeDocument/2006/relationships/image" Target="../media/image4.gif"/><Relationship Id="rId21" Type="http://schemas.openxmlformats.org/officeDocument/2006/relationships/image" Target="../media/image22.gif"/><Relationship Id="rId7" Type="http://schemas.openxmlformats.org/officeDocument/2006/relationships/image" Target="../media/image8.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2" Type="http://schemas.openxmlformats.org/officeDocument/2006/relationships/image" Target="../media/image3.gif"/><Relationship Id="rId16" Type="http://schemas.openxmlformats.org/officeDocument/2006/relationships/image" Target="../media/image17.gif"/><Relationship Id="rId20" Type="http://schemas.openxmlformats.org/officeDocument/2006/relationships/image" Target="../media/image21.gif"/><Relationship Id="rId1" Type="http://schemas.openxmlformats.org/officeDocument/2006/relationships/image" Target="../media/image2.gif"/><Relationship Id="rId6" Type="http://schemas.openxmlformats.org/officeDocument/2006/relationships/image" Target="../media/image7.gif"/><Relationship Id="rId11" Type="http://schemas.openxmlformats.org/officeDocument/2006/relationships/image" Target="../media/image12.gif"/><Relationship Id="rId24" Type="http://schemas.openxmlformats.org/officeDocument/2006/relationships/image" Target="../media/image25.gif"/><Relationship Id="rId5" Type="http://schemas.openxmlformats.org/officeDocument/2006/relationships/image" Target="../media/image6.gif"/><Relationship Id="rId15" Type="http://schemas.openxmlformats.org/officeDocument/2006/relationships/image" Target="../media/image16.gif"/><Relationship Id="rId23" Type="http://schemas.openxmlformats.org/officeDocument/2006/relationships/image" Target="../media/image24.gif"/><Relationship Id="rId10" Type="http://schemas.openxmlformats.org/officeDocument/2006/relationships/image" Target="../media/image11.gif"/><Relationship Id="rId19" Type="http://schemas.openxmlformats.org/officeDocument/2006/relationships/image" Target="../media/image20.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103</xdr:col>
      <xdr:colOff>452006</xdr:colOff>
      <xdr:row>24</xdr:row>
      <xdr:rowOff>47524</xdr:rowOff>
    </xdr:from>
    <xdr:to>
      <xdr:col>115</xdr:col>
      <xdr:colOff>891029</xdr:colOff>
      <xdr:row>49</xdr:row>
      <xdr:rowOff>57165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3</xdr:row>
          <xdr:rowOff>200025</xdr:rowOff>
        </xdr:from>
        <xdr:to>
          <xdr:col>1</xdr:col>
          <xdr:colOff>561975</xdr:colOff>
          <xdr:row>5</xdr:row>
          <xdr:rowOff>152400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GetJHConfirmed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104</xdr:col>
          <xdr:colOff>19050</xdr:colOff>
          <xdr:row>6</xdr:row>
          <xdr:rowOff>104775</xdr:rowOff>
        </xdr:from>
        <xdr:to>
          <xdr:col>105</xdr:col>
          <xdr:colOff>304800</xdr:colOff>
          <xdr:row>8</xdr:row>
          <xdr:rowOff>85725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SolveAll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790575</xdr:colOff>
          <xdr:row>3</xdr:row>
          <xdr:rowOff>228600</xdr:rowOff>
        </xdr:from>
        <xdr:to>
          <xdr:col>2</xdr:col>
          <xdr:colOff>219075</xdr:colOff>
          <xdr:row>5</xdr:row>
          <xdr:rowOff>133350</xdr:rowOff>
        </xdr:to>
        <xdr:sp macro="" textlink="">
          <xdr:nvSpPr>
            <xdr:cNvPr id="19461" name="Butto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SolveAll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0.62936</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860676" y="786216"/>
          <a:ext cx="3294503" cy="4425471"/>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0.42471</cdr:x>
      <cdr:y>0.54653</cdr:y>
    </cdr:from>
    <cdr:to>
      <cdr:x>0.45463</cdr:x>
      <cdr:y>0.78287</cdr:y>
    </cdr:to>
    <cdr:sp macro="" textlink="">
      <cdr:nvSpPr>
        <cdr:cNvPr id="5" name="Down Arrow 4"/>
        <cdr:cNvSpPr/>
      </cdr:nvSpPr>
      <cdr:spPr>
        <a:xfrm xmlns:a="http://schemas.openxmlformats.org/drawingml/2006/main">
          <a:off x="3953772" y="3324765"/>
          <a:ext cx="278562" cy="1437736"/>
        </a:xfrm>
        <a:prstGeom xmlns:a="http://schemas.openxmlformats.org/drawingml/2006/main" prst="downArrow">
          <a:avLst/>
        </a:prstGeom>
        <a:solidFill xmlns:a="http://schemas.openxmlformats.org/drawingml/2006/main">
          <a:srgbClr val="FF0000">
            <a:alpha val="55000"/>
          </a:srgbClr>
        </a:solidFill>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vert="vert270" anchor="ctr" anchorCtr="0"/>
        <a:lstStyle xmlns:a="http://schemas.openxmlformats.org/drawingml/2006/main"/>
        <a:p xmlns:a="http://schemas.openxmlformats.org/drawingml/2006/main">
          <a:pPr algn="ctr"/>
          <a:r>
            <a:rPr lang="en-US">
              <a:ln>
                <a:noFill/>
              </a:ln>
              <a:solidFill>
                <a:schemeClr val="bg1">
                  <a:lumMod val="95000"/>
                </a:schemeClr>
              </a:solidFill>
            </a:rPr>
            <a:t>NSW </a:t>
          </a:r>
          <a:r>
            <a:rPr lang="en-US" baseline="0">
              <a:ln>
                <a:noFill/>
              </a:ln>
              <a:solidFill>
                <a:schemeClr val="bg1">
                  <a:lumMod val="95000"/>
                </a:schemeClr>
              </a:solidFill>
            </a:rPr>
            <a:t> </a:t>
          </a:r>
          <a:r>
            <a:rPr lang="en-US">
              <a:ln>
                <a:noFill/>
              </a:ln>
              <a:solidFill>
                <a:schemeClr val="bg1">
                  <a:lumMod val="95000"/>
                </a:schemeClr>
              </a:solidFill>
            </a:rPr>
            <a:t>Lags</a:t>
          </a:r>
        </a:p>
      </cdr:txBody>
    </cdr:sp>
  </cdr:relSizeAnchor>
  <cdr:relSizeAnchor xmlns:cdr="http://schemas.openxmlformats.org/drawingml/2006/chartDrawing">
    <cdr:from>
      <cdr:x>0.09653</cdr:x>
      <cdr:y>0.1935</cdr:y>
    </cdr:from>
    <cdr:to>
      <cdr:x>0.27703</cdr:x>
      <cdr:y>0.35303</cdr:y>
    </cdr:to>
    <cdr:sp macro="" textlink="">
      <cdr:nvSpPr>
        <cdr:cNvPr id="6" name="TextBox 5"/>
        <cdr:cNvSpPr txBox="1"/>
      </cdr:nvSpPr>
      <cdr:spPr>
        <a:xfrm xmlns:a="http://schemas.openxmlformats.org/drawingml/2006/main">
          <a:off x="898585" y="1177146"/>
          <a:ext cx="1680354" cy="970472"/>
        </a:xfrm>
        <a:prstGeom xmlns:a="http://schemas.openxmlformats.org/drawingml/2006/main" prst="rect">
          <a:avLst/>
        </a:prstGeom>
        <a:solidFill xmlns:a="http://schemas.openxmlformats.org/drawingml/2006/main">
          <a:schemeClr val="lt1">
            <a:alpha val="79000"/>
          </a:schemeClr>
        </a:soli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r>
            <a:rPr lang="en-AU" sz="1100">
              <a:solidFill>
                <a:schemeClr val="accent6">
                  <a:lumMod val="75000"/>
                </a:schemeClr>
              </a:solidFill>
            </a:rPr>
            <a:t>At 1 Apr, NSW 2751 case</a:t>
          </a:r>
          <a:r>
            <a:rPr lang="en-AU" sz="1100" baseline="0">
              <a:solidFill>
                <a:schemeClr val="accent6">
                  <a:lumMod val="75000"/>
                </a:schemeClr>
              </a:solidFill>
            </a:rPr>
            <a:t> per 10m is 14.5x Singapore's 191 at same day of outbreak, and 1.7x S Korea's 1666</a:t>
          </a:r>
          <a:endParaRPr lang="en-AU" sz="1100">
            <a:solidFill>
              <a:schemeClr val="accent6">
                <a:lumMod val="75000"/>
              </a:schemeClr>
            </a:solidFill>
          </a:endParaRP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0.66425</cdr:x>
      <cdr:y>0.01111</cdr:y>
    </cdr:from>
    <cdr:to>
      <cdr:x>0.95427</cdr:x>
      <cdr:y>0.60734</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257709" y="57487"/>
          <a:ext cx="2295615" cy="3083701"/>
        </a:xfrm>
        <a:prstGeom xmlns:a="http://schemas.openxmlformats.org/drawingml/2006/main" prst="rect">
          <a:avLst/>
        </a:prstGeom>
      </cdr:spPr>
    </cdr:pic>
  </cdr:relSizeAnchor>
</c:userShapes>
</file>

<file path=xl/drawings/drawing8.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0.5367</cdr:x>
      <cdr:y>0.17525</cdr:y>
    </cdr:from>
    <cdr:to>
      <cdr:x>0.97954</cdr:x>
      <cdr:y>0.90255</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97797" y="1066363"/>
          <a:ext cx="4123765" cy="4425471"/>
        </a:xfrm>
        <a:prstGeom xmlns:a="http://schemas.openxmlformats.org/drawingml/2006/main" prst="rect">
          <a:avLst/>
        </a:prstGeom>
      </cdr:spPr>
    </cdr:pic>
  </cdr:relSizeAnchor>
</c:userShapes>
</file>

<file path=xl/drawings/drawing1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1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0.47052</cdr:x>
      <cdr:y>0.27256</cdr:y>
    </cdr:from>
    <cdr:to>
      <cdr:x>0.61011</cdr:x>
      <cdr:y>0.52118</cdr:y>
    </cdr:to>
    <cdr:sp macro="" textlink="">
      <cdr:nvSpPr>
        <cdr:cNvPr id="3" name="Rectangle 2"/>
        <cdr:cNvSpPr/>
      </cdr:nvSpPr>
      <cdr:spPr>
        <a:xfrm xmlns:a="http://schemas.openxmlformats.org/drawingml/2006/main">
          <a:off x="4381507" y="1658457"/>
          <a:ext cx="1299875" cy="1512801"/>
        </a:xfrm>
        <a:prstGeom xmlns:a="http://schemas.openxmlformats.org/drawingml/2006/main" prst="rect">
          <a:avLst/>
        </a:prstGeom>
        <a:solidFill xmlns:a="http://schemas.openxmlformats.org/drawingml/2006/main">
          <a:srgbClr val="FFFF00">
            <a:alpha val="25000"/>
          </a:srgb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0.38267</cdr:x>
      <cdr:y>0.44014</cdr:y>
    </cdr:from>
    <cdr:to>
      <cdr:x>0.47172</cdr:x>
      <cdr:y>0.67219</cdr:y>
    </cdr:to>
    <cdr:sp macro="" textlink="">
      <cdr:nvSpPr>
        <cdr:cNvPr id="4" name="Rectangle 3"/>
        <cdr:cNvSpPr/>
      </cdr:nvSpPr>
      <cdr:spPr>
        <a:xfrm xmlns:a="http://schemas.openxmlformats.org/drawingml/2006/main">
          <a:off x="3563479" y="2678189"/>
          <a:ext cx="829227" cy="1411977"/>
        </a:xfrm>
        <a:prstGeom xmlns:a="http://schemas.openxmlformats.org/drawingml/2006/main" prst="rect">
          <a:avLst/>
        </a:prstGeom>
        <a:solidFill xmlns:a="http://schemas.openxmlformats.org/drawingml/2006/main">
          <a:schemeClr val="accent1">
            <a:alpha val="28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0.62093</cdr:x>
      <cdr:y>0.21731</cdr:y>
    </cdr:from>
    <cdr:to>
      <cdr:x>0.81467</cdr:x>
      <cdr:y>0.41622</cdr:y>
    </cdr:to>
    <cdr:sp macro="" textlink="">
      <cdr:nvSpPr>
        <cdr:cNvPr id="5" name="Rectangle 4"/>
        <cdr:cNvSpPr/>
      </cdr:nvSpPr>
      <cdr:spPr>
        <a:xfrm xmlns:a="http://schemas.openxmlformats.org/drawingml/2006/main">
          <a:off x="5782201" y="1322317"/>
          <a:ext cx="1804124" cy="1210266"/>
        </a:xfrm>
        <a:prstGeom xmlns:a="http://schemas.openxmlformats.org/drawingml/2006/main" prst="rect">
          <a:avLst/>
        </a:prstGeom>
        <a:solidFill xmlns:a="http://schemas.openxmlformats.org/drawingml/2006/main">
          <a:srgbClr val="FF0000">
            <a:alpha val="14000"/>
          </a:srgb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18.xml><?xml version="1.0" encoding="utf-8"?>
<xdr:wsDr xmlns:xdr="http://schemas.openxmlformats.org/drawingml/2006/spreadsheetDrawing" xmlns:a="http://schemas.openxmlformats.org/drawingml/2006/main">
  <xdr:absoluteAnchor>
    <xdr:pos x="0" y="0"/>
    <xdr:ext cx="7915275" cy="51720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0.65695</cdr:x>
      <cdr:y>0.5957</cdr:y>
    </cdr:from>
    <cdr:to>
      <cdr:x>0.88457</cdr:x>
      <cdr:y>0.73597</cdr:y>
    </cdr:to>
    <cdr:sp macro="" textlink="">
      <cdr:nvSpPr>
        <cdr:cNvPr id="3" name="Rectangular Callout 2"/>
        <cdr:cNvSpPr/>
      </cdr:nvSpPr>
      <cdr:spPr>
        <a:xfrm xmlns:a="http://schemas.openxmlformats.org/drawingml/2006/main">
          <a:off x="5800655" y="3438470"/>
          <a:ext cx="2009811" cy="809659"/>
        </a:xfrm>
        <a:prstGeom xmlns:a="http://schemas.openxmlformats.org/drawingml/2006/main" prst="wedgeRectCallout">
          <a:avLst>
            <a:gd name="adj1" fmla="val -53059"/>
            <a:gd name="adj2" fmla="val -141031"/>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baseline="0"/>
            <a:t>For 2 weeks to26th Mar, Au, NSW, UK and US cases virtually straight line on Log Scale ==&gt; unlimited expoonetnial growth</a:t>
          </a:r>
          <a:endParaRPr lang="en-US"/>
        </a:p>
      </cdr:txBody>
    </cdr:sp>
  </cdr:relSizeAnchor>
</c:userShapes>
</file>

<file path=xl/drawings/drawing21.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c:userShapes xmlns:c="http://schemas.openxmlformats.org/drawingml/2006/chart">
  <cdr:relSizeAnchor xmlns:cdr="http://schemas.openxmlformats.org/drawingml/2006/chartDrawing">
    <cdr:from>
      <cdr:x>0.08544</cdr:x>
      <cdr:y>0.07919</cdr:y>
    </cdr:from>
    <cdr:to>
      <cdr:x>0.98436</cdr:x>
      <cdr:y>0.27993</cdr:y>
    </cdr:to>
    <cdr:sp macro="" textlink="">
      <cdr:nvSpPr>
        <cdr:cNvPr id="2" name="Rectangle 1"/>
        <cdr:cNvSpPr/>
      </cdr:nvSpPr>
      <cdr:spPr>
        <a:xfrm xmlns:a="http://schemas.openxmlformats.org/drawingml/2006/main">
          <a:off x="795619" y="481852"/>
          <a:ext cx="8370794" cy="1221441"/>
        </a:xfrm>
        <a:prstGeom xmlns:a="http://schemas.openxmlformats.org/drawingml/2006/main" prst="rect">
          <a:avLst/>
        </a:prstGeom>
        <a:solidFill xmlns:a="http://schemas.openxmlformats.org/drawingml/2006/main">
          <a:srgbClr val="FF0000">
            <a:alpha val="18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23.xml><?xml version="1.0" encoding="utf-8"?>
<xdr:wsDr xmlns:xdr="http://schemas.openxmlformats.org/drawingml/2006/spreadsheetDrawing" xmlns:a="http://schemas.openxmlformats.org/drawingml/2006/main">
  <xdr:absoluteAnchor>
    <xdr:pos x="0" y="0"/>
    <xdr:ext cx="8829675" cy="57721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0.55717</cdr:x>
      <cdr:y>0.09165</cdr:y>
    </cdr:from>
    <cdr:to>
      <cdr:x>0.95197</cdr:x>
      <cdr:y>0.63696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78558" y="556861"/>
          <a:ext cx="3669427" cy="3313297"/>
        </a:xfrm>
        <a:prstGeom xmlns:a="http://schemas.openxmlformats.org/drawingml/2006/main" prst="rect">
          <a:avLst/>
        </a:prstGeom>
      </cdr:spPr>
    </cdr:pic>
  </cdr:relSizeAnchor>
</c:userShapes>
</file>

<file path=xl/drawings/drawing25.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27.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0.54031</cdr:x>
      <cdr:y>0.2727</cdr:y>
    </cdr:from>
    <cdr:to>
      <cdr:x>0.98315</cdr:x>
      <cdr:y>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276702" y="1410425"/>
          <a:ext cx="3505201" cy="3761650"/>
        </a:xfrm>
        <a:prstGeom xmlns:a="http://schemas.openxmlformats.org/drawingml/2006/main" prst="rect">
          <a:avLst/>
        </a:prstGeom>
      </cdr:spPr>
    </cdr:pic>
  </cdr:relSizeAnchor>
</c:userShapes>
</file>

<file path=xl/drawings/drawing29.xml><?xml version="1.0" encoding="utf-8"?>
<xdr:wsDr xmlns:xdr="http://schemas.openxmlformats.org/drawingml/2006/spreadsheetDrawing" xmlns:a="http://schemas.openxmlformats.org/drawingml/2006/main">
  <xdr:absoluteAnchor>
    <xdr:pos x="0" y="0"/>
    <xdr:ext cx="9299677" cy="607346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0.55717</cdr:x>
      <cdr:y>0.09165</cdr:y>
    </cdr:from>
    <cdr:to>
      <cdr:x>0.95197</cdr:x>
      <cdr:y>0.74006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88370" y="557679"/>
          <a:ext cx="3676412" cy="3945441"/>
        </a:xfrm>
        <a:prstGeom xmlns:a="http://schemas.openxmlformats.org/drawingml/2006/main" prst="rect">
          <a:avLst/>
        </a:prstGeom>
      </cdr:spPr>
    </cdr:pic>
  </cdr:relSizeAnchor>
  <cdr:relSizeAnchor xmlns:cdr="http://schemas.openxmlformats.org/drawingml/2006/chartDrawing">
    <cdr:from>
      <cdr:x>0.09811</cdr:x>
      <cdr:y>0.23487</cdr:y>
    </cdr:from>
    <cdr:to>
      <cdr:x>0.2016</cdr:x>
      <cdr:y>0.33616</cdr:y>
    </cdr:to>
    <cdr:sp macro="" textlink="">
      <cdr:nvSpPr>
        <cdr:cNvPr id="3" name="Rectangular Callout 2"/>
        <cdr:cNvSpPr/>
      </cdr:nvSpPr>
      <cdr:spPr>
        <a:xfrm xmlns:a="http://schemas.openxmlformats.org/drawingml/2006/main">
          <a:off x="894314" y="1398210"/>
          <a:ext cx="943356" cy="602993"/>
        </a:xfrm>
        <a:prstGeom xmlns:a="http://schemas.openxmlformats.org/drawingml/2006/main" prst="wedgeRectCallout">
          <a:avLst>
            <a:gd name="adj1" fmla="val 72206"/>
            <a:gd name="adj2" fmla="val -190614"/>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t>Entire Population Infected</a:t>
          </a:r>
        </a:p>
      </cdr:txBody>
    </cdr:sp>
  </cdr:relSizeAnchor>
</c:userShapes>
</file>

<file path=xl/drawings/drawing31.xml><?xml version="1.0" encoding="utf-8"?>
<xdr:wsDr xmlns:xdr="http://schemas.openxmlformats.org/drawingml/2006/spreadsheetDrawing" xmlns:a="http://schemas.openxmlformats.org/drawingml/2006/main">
  <xdr:absoluteAnchor>
    <xdr:pos x="0" y="0"/>
    <xdr:ext cx="9301454" cy="607461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0.55717</cdr:x>
      <cdr:y>0.09165</cdr:y>
    </cdr:from>
    <cdr:to>
      <cdr:x>0.95197</cdr:x>
      <cdr:y>0.74006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88370" y="557679"/>
          <a:ext cx="3676412" cy="3945441"/>
        </a:xfrm>
        <a:prstGeom xmlns:a="http://schemas.openxmlformats.org/drawingml/2006/main" prst="rect">
          <a:avLst/>
        </a:prstGeom>
      </cdr:spPr>
    </cdr:pic>
  </cdr:relSizeAnchor>
  <cdr:relSizeAnchor xmlns:cdr="http://schemas.openxmlformats.org/drawingml/2006/chartDrawing">
    <cdr:from>
      <cdr:x>0.09811</cdr:x>
      <cdr:y>0.23487</cdr:y>
    </cdr:from>
    <cdr:to>
      <cdr:x>0.2016</cdr:x>
      <cdr:y>0.33616</cdr:y>
    </cdr:to>
    <cdr:sp macro="" textlink="">
      <cdr:nvSpPr>
        <cdr:cNvPr id="3" name="Rectangular Callout 2"/>
        <cdr:cNvSpPr/>
      </cdr:nvSpPr>
      <cdr:spPr>
        <a:xfrm xmlns:a="http://schemas.openxmlformats.org/drawingml/2006/main">
          <a:off x="913653" y="1429124"/>
          <a:ext cx="963705" cy="616324"/>
        </a:xfrm>
        <a:prstGeom xmlns:a="http://schemas.openxmlformats.org/drawingml/2006/main" prst="wedgeRectCallout">
          <a:avLst>
            <a:gd name="adj1" fmla="val 91782"/>
            <a:gd name="adj2" fmla="val -108409"/>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t>Entire Population Infected</a:t>
          </a:r>
        </a:p>
      </cdr:txBody>
    </cdr:sp>
  </cdr:relSizeAnchor>
</c:userShapes>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1</xdr:row>
          <xdr:rowOff>57150</xdr:rowOff>
        </xdr:from>
        <xdr:to>
          <xdr:col>2</xdr:col>
          <xdr:colOff>38100</xdr:colOff>
          <xdr:row>3</xdr:row>
          <xdr:rowOff>57150</xdr:rowOff>
        </xdr:to>
        <xdr:sp macro="" textlink="">
          <xdr:nvSpPr>
            <xdr:cNvPr id="11268" name="CreateChartIndex"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rPr>
                <a:t>Create Chart Index</a:t>
              </a:r>
            </a:p>
          </xdr:txBody>
        </xdr:sp>
        <xdr:clientData fPrintsWithSheet="0"/>
      </xdr:twoCellAnchor>
    </mc:Choice>
    <mc:Fallback/>
  </mc:AlternateContent>
  <xdr:twoCellAnchor editAs="oneCell">
    <xdr:from>
      <xdr:col>0</xdr:col>
      <xdr:colOff>0</xdr:colOff>
      <xdr:row>7</xdr:row>
      <xdr:rowOff>0</xdr:rowOff>
    </xdr:from>
    <xdr:to>
      <xdr:col>1</xdr:col>
      <xdr:colOff>0</xdr:colOff>
      <xdr:row>8</xdr:row>
      <xdr:rowOff>0</xdr:rowOff>
    </xdr:to>
    <xdr:pic>
      <xdr:nvPicPr>
        <xdr:cNvPr id="9" name="Picture 8"/>
        <xdr:cNvPicPr>
          <a:picLocks noChangeAspect="1"/>
        </xdr:cNvPicPr>
      </xdr:nvPicPr>
      <xdr:blipFill>
        <a:blip xmlns:r="http://schemas.openxmlformats.org/officeDocument/2006/relationships" r:embed="rId1"/>
        <a:stretch>
          <a:fillRect/>
        </a:stretch>
      </xdr:blipFill>
      <xdr:spPr>
        <a:xfrm>
          <a:off x="0" y="1333500"/>
          <a:ext cx="609600" cy="5200650"/>
        </a:xfrm>
        <a:prstGeom prst="rect">
          <a:avLst/>
        </a:prstGeom>
      </xdr:spPr>
    </xdr:pic>
    <xdr:clientData/>
  </xdr:twoCellAnchor>
  <xdr:twoCellAnchor editAs="oneCell">
    <xdr:from>
      <xdr:col>0</xdr:col>
      <xdr:colOff>0</xdr:colOff>
      <xdr:row>15</xdr:row>
      <xdr:rowOff>0</xdr:rowOff>
    </xdr:from>
    <xdr:to>
      <xdr:col>1</xdr:col>
      <xdr:colOff>0</xdr:colOff>
      <xdr:row>16</xdr:row>
      <xdr:rowOff>0</xdr:rowOff>
    </xdr:to>
    <xdr:pic>
      <xdr:nvPicPr>
        <xdr:cNvPr id="10" name="Picture 9"/>
        <xdr:cNvPicPr>
          <a:picLocks noChangeAspect="1"/>
        </xdr:cNvPicPr>
      </xdr:nvPicPr>
      <xdr:blipFill>
        <a:blip xmlns:r="http://schemas.openxmlformats.org/officeDocument/2006/relationships" r:embed="rId2"/>
        <a:stretch>
          <a:fillRect/>
        </a:stretch>
      </xdr:blipFill>
      <xdr:spPr>
        <a:xfrm>
          <a:off x="0" y="11677650"/>
          <a:ext cx="609600" cy="4191000"/>
        </a:xfrm>
        <a:prstGeom prst="rect">
          <a:avLst/>
        </a:prstGeom>
      </xdr:spPr>
    </xdr:pic>
    <xdr:clientData/>
  </xdr:twoCellAnchor>
  <xdr:twoCellAnchor editAs="oneCell">
    <xdr:from>
      <xdr:col>0</xdr:col>
      <xdr:colOff>0</xdr:colOff>
      <xdr:row>19</xdr:row>
      <xdr:rowOff>0</xdr:rowOff>
    </xdr:from>
    <xdr:to>
      <xdr:col>1</xdr:col>
      <xdr:colOff>0</xdr:colOff>
      <xdr:row>20</xdr:row>
      <xdr:rowOff>0</xdr:rowOff>
    </xdr:to>
    <xdr:pic>
      <xdr:nvPicPr>
        <xdr:cNvPr id="11" name="Picture 10"/>
        <xdr:cNvPicPr>
          <a:picLocks noChangeAspect="1"/>
        </xdr:cNvPicPr>
      </xdr:nvPicPr>
      <xdr:blipFill>
        <a:blip xmlns:r="http://schemas.openxmlformats.org/officeDocument/2006/relationships" r:embed="rId3"/>
        <a:stretch>
          <a:fillRect/>
        </a:stretch>
      </xdr:blipFill>
      <xdr:spPr>
        <a:xfrm>
          <a:off x="0" y="17202150"/>
          <a:ext cx="609600" cy="571500"/>
        </a:xfrm>
        <a:prstGeom prst="rect">
          <a:avLst/>
        </a:prstGeom>
      </xdr:spPr>
    </xdr:pic>
    <xdr:clientData/>
  </xdr:twoCellAnchor>
  <xdr:twoCellAnchor editAs="oneCell">
    <xdr:from>
      <xdr:col>0</xdr:col>
      <xdr:colOff>0</xdr:colOff>
      <xdr:row>22</xdr:row>
      <xdr:rowOff>0</xdr:rowOff>
    </xdr:from>
    <xdr:to>
      <xdr:col>1</xdr:col>
      <xdr:colOff>0</xdr:colOff>
      <xdr:row>23</xdr:row>
      <xdr:rowOff>0</xdr:rowOff>
    </xdr:to>
    <xdr:pic>
      <xdr:nvPicPr>
        <xdr:cNvPr id="12" name="Picture 11"/>
        <xdr:cNvPicPr>
          <a:picLocks noChangeAspect="1"/>
        </xdr:cNvPicPr>
      </xdr:nvPicPr>
      <xdr:blipFill>
        <a:blip xmlns:r="http://schemas.openxmlformats.org/officeDocument/2006/relationships" r:embed="rId4"/>
        <a:stretch>
          <a:fillRect/>
        </a:stretch>
      </xdr:blipFill>
      <xdr:spPr>
        <a:xfrm>
          <a:off x="0" y="18535650"/>
          <a:ext cx="609600" cy="4191000"/>
        </a:xfrm>
        <a:prstGeom prst="rect">
          <a:avLst/>
        </a:prstGeom>
      </xdr:spPr>
    </xdr:pic>
    <xdr:clientData/>
  </xdr:twoCellAnchor>
  <xdr:twoCellAnchor editAs="oneCell">
    <xdr:from>
      <xdr:col>0</xdr:col>
      <xdr:colOff>0</xdr:colOff>
      <xdr:row>25</xdr:row>
      <xdr:rowOff>0</xdr:rowOff>
    </xdr:from>
    <xdr:to>
      <xdr:col>1</xdr:col>
      <xdr:colOff>0</xdr:colOff>
      <xdr:row>26</xdr:row>
      <xdr:rowOff>0</xdr:rowOff>
    </xdr:to>
    <xdr:pic>
      <xdr:nvPicPr>
        <xdr:cNvPr id="13" name="Picture 12"/>
        <xdr:cNvPicPr>
          <a:picLocks noChangeAspect="1"/>
        </xdr:cNvPicPr>
      </xdr:nvPicPr>
      <xdr:blipFill>
        <a:blip xmlns:r="http://schemas.openxmlformats.org/officeDocument/2006/relationships" r:embed="rId5"/>
        <a:stretch>
          <a:fillRect/>
        </a:stretch>
      </xdr:blipFill>
      <xdr:spPr>
        <a:xfrm>
          <a:off x="0" y="23298150"/>
          <a:ext cx="609600" cy="4191000"/>
        </a:xfrm>
        <a:prstGeom prst="rect">
          <a:avLst/>
        </a:prstGeom>
      </xdr:spPr>
    </xdr:pic>
    <xdr:clientData/>
  </xdr:twoCellAnchor>
  <xdr:twoCellAnchor editAs="oneCell">
    <xdr:from>
      <xdr:col>0</xdr:col>
      <xdr:colOff>0</xdr:colOff>
      <xdr:row>32</xdr:row>
      <xdr:rowOff>0</xdr:rowOff>
    </xdr:from>
    <xdr:to>
      <xdr:col>1</xdr:col>
      <xdr:colOff>0</xdr:colOff>
      <xdr:row>33</xdr:row>
      <xdr:rowOff>0</xdr:rowOff>
    </xdr:to>
    <xdr:pic>
      <xdr:nvPicPr>
        <xdr:cNvPr id="14" name="Picture 13"/>
        <xdr:cNvPicPr>
          <a:picLocks noChangeAspect="1"/>
        </xdr:cNvPicPr>
      </xdr:nvPicPr>
      <xdr:blipFill>
        <a:blip xmlns:r="http://schemas.openxmlformats.org/officeDocument/2006/relationships" r:embed="rId6"/>
        <a:stretch>
          <a:fillRect/>
        </a:stretch>
      </xdr:blipFill>
      <xdr:spPr>
        <a:xfrm>
          <a:off x="0" y="29584650"/>
          <a:ext cx="609600" cy="4000500"/>
        </a:xfrm>
        <a:prstGeom prst="rect">
          <a:avLst/>
        </a:prstGeom>
      </xdr:spPr>
    </xdr:pic>
    <xdr:clientData/>
  </xdr:twoCellAnchor>
  <xdr:twoCellAnchor editAs="oneCell">
    <xdr:from>
      <xdr:col>0</xdr:col>
      <xdr:colOff>0</xdr:colOff>
      <xdr:row>36</xdr:row>
      <xdr:rowOff>0</xdr:rowOff>
    </xdr:from>
    <xdr:to>
      <xdr:col>1</xdr:col>
      <xdr:colOff>0</xdr:colOff>
      <xdr:row>37</xdr:row>
      <xdr:rowOff>0</xdr:rowOff>
    </xdr:to>
    <xdr:pic>
      <xdr:nvPicPr>
        <xdr:cNvPr id="15" name="Picture 14"/>
        <xdr:cNvPicPr>
          <a:picLocks noChangeAspect="1"/>
        </xdr:cNvPicPr>
      </xdr:nvPicPr>
      <xdr:blipFill>
        <a:blip xmlns:r="http://schemas.openxmlformats.org/officeDocument/2006/relationships" r:embed="rId7"/>
        <a:stretch>
          <a:fillRect/>
        </a:stretch>
      </xdr:blipFill>
      <xdr:spPr>
        <a:xfrm>
          <a:off x="0" y="36252150"/>
          <a:ext cx="609600" cy="571500"/>
        </a:xfrm>
        <a:prstGeom prst="rect">
          <a:avLst/>
        </a:prstGeom>
      </xdr:spPr>
    </xdr:pic>
    <xdr:clientData/>
  </xdr:twoCellAnchor>
  <xdr:twoCellAnchor editAs="oneCell">
    <xdr:from>
      <xdr:col>0</xdr:col>
      <xdr:colOff>0</xdr:colOff>
      <xdr:row>38</xdr:row>
      <xdr:rowOff>0</xdr:rowOff>
    </xdr:from>
    <xdr:to>
      <xdr:col>1</xdr:col>
      <xdr:colOff>0</xdr:colOff>
      <xdr:row>39</xdr:row>
      <xdr:rowOff>0</xdr:rowOff>
    </xdr:to>
    <xdr:pic>
      <xdr:nvPicPr>
        <xdr:cNvPr id="16" name="Picture 15"/>
        <xdr:cNvPicPr>
          <a:picLocks noChangeAspect="1"/>
        </xdr:cNvPicPr>
      </xdr:nvPicPr>
      <xdr:blipFill>
        <a:blip xmlns:r="http://schemas.openxmlformats.org/officeDocument/2006/relationships" r:embed="rId8"/>
        <a:stretch>
          <a:fillRect/>
        </a:stretch>
      </xdr:blipFill>
      <xdr:spPr>
        <a:xfrm>
          <a:off x="0" y="37014150"/>
          <a:ext cx="609600" cy="4191000"/>
        </a:xfrm>
        <a:prstGeom prst="rect">
          <a:avLst/>
        </a:prstGeom>
      </xdr:spPr>
    </xdr:pic>
    <xdr:clientData/>
  </xdr:twoCellAnchor>
  <xdr:twoCellAnchor editAs="oneCell">
    <xdr:from>
      <xdr:col>0</xdr:col>
      <xdr:colOff>0</xdr:colOff>
      <xdr:row>41</xdr:row>
      <xdr:rowOff>0</xdr:rowOff>
    </xdr:from>
    <xdr:to>
      <xdr:col>1</xdr:col>
      <xdr:colOff>0</xdr:colOff>
      <xdr:row>42</xdr:row>
      <xdr:rowOff>0</xdr:rowOff>
    </xdr:to>
    <xdr:pic>
      <xdr:nvPicPr>
        <xdr:cNvPr id="17" name="Picture 16"/>
        <xdr:cNvPicPr>
          <a:picLocks noChangeAspect="1"/>
        </xdr:cNvPicPr>
      </xdr:nvPicPr>
      <xdr:blipFill>
        <a:blip xmlns:r="http://schemas.openxmlformats.org/officeDocument/2006/relationships" r:embed="rId9"/>
        <a:stretch>
          <a:fillRect/>
        </a:stretch>
      </xdr:blipFill>
      <xdr:spPr>
        <a:xfrm>
          <a:off x="0" y="41967150"/>
          <a:ext cx="609600" cy="4953000"/>
        </a:xfrm>
        <a:prstGeom prst="rect">
          <a:avLst/>
        </a:prstGeom>
      </xdr:spPr>
    </xdr:pic>
    <xdr:clientData/>
  </xdr:twoCellAnchor>
  <xdr:twoCellAnchor editAs="oneCell">
    <xdr:from>
      <xdr:col>0</xdr:col>
      <xdr:colOff>0</xdr:colOff>
      <xdr:row>44</xdr:row>
      <xdr:rowOff>0</xdr:rowOff>
    </xdr:from>
    <xdr:to>
      <xdr:col>1</xdr:col>
      <xdr:colOff>0</xdr:colOff>
      <xdr:row>45</xdr:row>
      <xdr:rowOff>0</xdr:rowOff>
    </xdr:to>
    <xdr:pic>
      <xdr:nvPicPr>
        <xdr:cNvPr id="11266" name="Picture 11265"/>
        <xdr:cNvPicPr>
          <a:picLocks noChangeAspect="1"/>
        </xdr:cNvPicPr>
      </xdr:nvPicPr>
      <xdr:blipFill>
        <a:blip xmlns:r="http://schemas.openxmlformats.org/officeDocument/2006/relationships" r:embed="rId10"/>
        <a:stretch>
          <a:fillRect/>
        </a:stretch>
      </xdr:blipFill>
      <xdr:spPr>
        <a:xfrm>
          <a:off x="0" y="47682150"/>
          <a:ext cx="609600" cy="4381500"/>
        </a:xfrm>
        <a:prstGeom prst="rect">
          <a:avLst/>
        </a:prstGeom>
      </xdr:spPr>
    </xdr:pic>
    <xdr:clientData/>
  </xdr:twoCellAnchor>
  <xdr:twoCellAnchor editAs="oneCell">
    <xdr:from>
      <xdr:col>0</xdr:col>
      <xdr:colOff>0</xdr:colOff>
      <xdr:row>47</xdr:row>
      <xdr:rowOff>0</xdr:rowOff>
    </xdr:from>
    <xdr:to>
      <xdr:col>1</xdr:col>
      <xdr:colOff>0</xdr:colOff>
      <xdr:row>48</xdr:row>
      <xdr:rowOff>0</xdr:rowOff>
    </xdr:to>
    <xdr:pic>
      <xdr:nvPicPr>
        <xdr:cNvPr id="11280" name="Picture 11279"/>
        <xdr:cNvPicPr>
          <a:picLocks noChangeAspect="1"/>
        </xdr:cNvPicPr>
      </xdr:nvPicPr>
      <xdr:blipFill>
        <a:blip xmlns:r="http://schemas.openxmlformats.org/officeDocument/2006/relationships" r:embed="rId11"/>
        <a:stretch>
          <a:fillRect/>
        </a:stretch>
      </xdr:blipFill>
      <xdr:spPr>
        <a:xfrm>
          <a:off x="0" y="52635150"/>
          <a:ext cx="609600" cy="381000"/>
        </a:xfrm>
        <a:prstGeom prst="rect">
          <a:avLst/>
        </a:prstGeom>
      </xdr:spPr>
    </xdr:pic>
    <xdr:clientData/>
  </xdr:twoCellAnchor>
  <xdr:twoCellAnchor editAs="oneCell">
    <xdr:from>
      <xdr:col>0</xdr:col>
      <xdr:colOff>0</xdr:colOff>
      <xdr:row>58</xdr:row>
      <xdr:rowOff>0</xdr:rowOff>
    </xdr:from>
    <xdr:to>
      <xdr:col>1</xdr:col>
      <xdr:colOff>0</xdr:colOff>
      <xdr:row>59</xdr:row>
      <xdr:rowOff>0</xdr:rowOff>
    </xdr:to>
    <xdr:pic>
      <xdr:nvPicPr>
        <xdr:cNvPr id="11282" name="Picture 11281"/>
        <xdr:cNvPicPr>
          <a:picLocks noChangeAspect="1"/>
        </xdr:cNvPicPr>
      </xdr:nvPicPr>
      <xdr:blipFill>
        <a:blip xmlns:r="http://schemas.openxmlformats.org/officeDocument/2006/relationships" r:embed="rId12"/>
        <a:stretch>
          <a:fillRect/>
        </a:stretch>
      </xdr:blipFill>
      <xdr:spPr>
        <a:xfrm>
          <a:off x="0" y="56635650"/>
          <a:ext cx="609600" cy="571500"/>
        </a:xfrm>
        <a:prstGeom prst="rect">
          <a:avLst/>
        </a:prstGeom>
      </xdr:spPr>
    </xdr:pic>
    <xdr:clientData/>
  </xdr:twoCellAnchor>
  <xdr:twoCellAnchor editAs="oneCell">
    <xdr:from>
      <xdr:col>0</xdr:col>
      <xdr:colOff>0</xdr:colOff>
      <xdr:row>62</xdr:row>
      <xdr:rowOff>0</xdr:rowOff>
    </xdr:from>
    <xdr:to>
      <xdr:col>1</xdr:col>
      <xdr:colOff>0</xdr:colOff>
      <xdr:row>63</xdr:row>
      <xdr:rowOff>0</xdr:rowOff>
    </xdr:to>
    <xdr:pic>
      <xdr:nvPicPr>
        <xdr:cNvPr id="11284" name="Picture 11283"/>
        <xdr:cNvPicPr>
          <a:picLocks noChangeAspect="1"/>
        </xdr:cNvPicPr>
      </xdr:nvPicPr>
      <xdr:blipFill>
        <a:blip xmlns:r="http://schemas.openxmlformats.org/officeDocument/2006/relationships" r:embed="rId13"/>
        <a:stretch>
          <a:fillRect/>
        </a:stretch>
      </xdr:blipFill>
      <xdr:spPr>
        <a:xfrm>
          <a:off x="0" y="58540650"/>
          <a:ext cx="609600" cy="381000"/>
        </a:xfrm>
        <a:prstGeom prst="rect">
          <a:avLst/>
        </a:prstGeom>
      </xdr:spPr>
    </xdr:pic>
    <xdr:clientData/>
  </xdr:twoCellAnchor>
  <xdr:twoCellAnchor editAs="oneCell">
    <xdr:from>
      <xdr:col>0</xdr:col>
      <xdr:colOff>0</xdr:colOff>
      <xdr:row>73</xdr:row>
      <xdr:rowOff>0</xdr:rowOff>
    </xdr:from>
    <xdr:to>
      <xdr:col>1</xdr:col>
      <xdr:colOff>0</xdr:colOff>
      <xdr:row>74</xdr:row>
      <xdr:rowOff>0</xdr:rowOff>
    </xdr:to>
    <xdr:pic>
      <xdr:nvPicPr>
        <xdr:cNvPr id="11286" name="Picture 11285"/>
        <xdr:cNvPicPr>
          <a:picLocks noChangeAspect="1"/>
        </xdr:cNvPicPr>
      </xdr:nvPicPr>
      <xdr:blipFill>
        <a:blip xmlns:r="http://schemas.openxmlformats.org/officeDocument/2006/relationships" r:embed="rId14"/>
        <a:stretch>
          <a:fillRect/>
        </a:stretch>
      </xdr:blipFill>
      <xdr:spPr>
        <a:xfrm>
          <a:off x="0" y="62541150"/>
          <a:ext cx="609600" cy="4000500"/>
        </a:xfrm>
        <a:prstGeom prst="rect">
          <a:avLst/>
        </a:prstGeom>
      </xdr:spPr>
    </xdr:pic>
    <xdr:clientData/>
  </xdr:twoCellAnchor>
  <xdr:twoCellAnchor editAs="oneCell">
    <xdr:from>
      <xdr:col>0</xdr:col>
      <xdr:colOff>0</xdr:colOff>
      <xdr:row>76</xdr:row>
      <xdr:rowOff>0</xdr:rowOff>
    </xdr:from>
    <xdr:to>
      <xdr:col>1</xdr:col>
      <xdr:colOff>0</xdr:colOff>
      <xdr:row>77</xdr:row>
      <xdr:rowOff>0</xdr:rowOff>
    </xdr:to>
    <xdr:pic>
      <xdr:nvPicPr>
        <xdr:cNvPr id="11288" name="Picture 11287"/>
        <xdr:cNvPicPr>
          <a:picLocks noChangeAspect="1"/>
        </xdr:cNvPicPr>
      </xdr:nvPicPr>
      <xdr:blipFill>
        <a:blip xmlns:r="http://schemas.openxmlformats.org/officeDocument/2006/relationships" r:embed="rId15"/>
        <a:stretch>
          <a:fillRect/>
        </a:stretch>
      </xdr:blipFill>
      <xdr:spPr>
        <a:xfrm>
          <a:off x="0" y="67113150"/>
          <a:ext cx="609600" cy="4953000"/>
        </a:xfrm>
        <a:prstGeom prst="rect">
          <a:avLst/>
        </a:prstGeom>
      </xdr:spPr>
    </xdr:pic>
    <xdr:clientData/>
  </xdr:twoCellAnchor>
  <xdr:twoCellAnchor editAs="oneCell">
    <xdr:from>
      <xdr:col>0</xdr:col>
      <xdr:colOff>0</xdr:colOff>
      <xdr:row>79</xdr:row>
      <xdr:rowOff>0</xdr:rowOff>
    </xdr:from>
    <xdr:to>
      <xdr:col>1</xdr:col>
      <xdr:colOff>0</xdr:colOff>
      <xdr:row>80</xdr:row>
      <xdr:rowOff>0</xdr:rowOff>
    </xdr:to>
    <xdr:pic>
      <xdr:nvPicPr>
        <xdr:cNvPr id="11290" name="Picture 11289"/>
        <xdr:cNvPicPr>
          <a:picLocks noChangeAspect="1"/>
        </xdr:cNvPicPr>
      </xdr:nvPicPr>
      <xdr:blipFill>
        <a:blip xmlns:r="http://schemas.openxmlformats.org/officeDocument/2006/relationships" r:embed="rId16"/>
        <a:stretch>
          <a:fillRect/>
        </a:stretch>
      </xdr:blipFill>
      <xdr:spPr>
        <a:xfrm>
          <a:off x="0" y="72637650"/>
          <a:ext cx="609600" cy="381000"/>
        </a:xfrm>
        <a:prstGeom prst="rect">
          <a:avLst/>
        </a:prstGeom>
      </xdr:spPr>
    </xdr:pic>
    <xdr:clientData/>
  </xdr:twoCellAnchor>
  <xdr:twoCellAnchor editAs="oneCell">
    <xdr:from>
      <xdr:col>0</xdr:col>
      <xdr:colOff>0</xdr:colOff>
      <xdr:row>85</xdr:row>
      <xdr:rowOff>0</xdr:rowOff>
    </xdr:from>
    <xdr:to>
      <xdr:col>1</xdr:col>
      <xdr:colOff>0</xdr:colOff>
      <xdr:row>86</xdr:row>
      <xdr:rowOff>0</xdr:rowOff>
    </xdr:to>
    <xdr:pic>
      <xdr:nvPicPr>
        <xdr:cNvPr id="11292" name="Picture 11291"/>
        <xdr:cNvPicPr>
          <a:picLocks noChangeAspect="1"/>
        </xdr:cNvPicPr>
      </xdr:nvPicPr>
      <xdr:blipFill>
        <a:blip xmlns:r="http://schemas.openxmlformats.org/officeDocument/2006/relationships" r:embed="rId17"/>
        <a:stretch>
          <a:fillRect/>
        </a:stretch>
      </xdr:blipFill>
      <xdr:spPr>
        <a:xfrm>
          <a:off x="0" y="74733150"/>
          <a:ext cx="609600" cy="381000"/>
        </a:xfrm>
        <a:prstGeom prst="rect">
          <a:avLst/>
        </a:prstGeom>
      </xdr:spPr>
    </xdr:pic>
    <xdr:clientData/>
  </xdr:twoCellAnchor>
  <xdr:twoCellAnchor editAs="oneCell">
    <xdr:from>
      <xdr:col>0</xdr:col>
      <xdr:colOff>0</xdr:colOff>
      <xdr:row>95</xdr:row>
      <xdr:rowOff>0</xdr:rowOff>
    </xdr:from>
    <xdr:to>
      <xdr:col>1</xdr:col>
      <xdr:colOff>0</xdr:colOff>
      <xdr:row>96</xdr:row>
      <xdr:rowOff>0</xdr:rowOff>
    </xdr:to>
    <xdr:pic>
      <xdr:nvPicPr>
        <xdr:cNvPr id="11294" name="Picture 11293"/>
        <xdr:cNvPicPr>
          <a:picLocks noChangeAspect="1"/>
        </xdr:cNvPicPr>
      </xdr:nvPicPr>
      <xdr:blipFill>
        <a:blip xmlns:r="http://schemas.openxmlformats.org/officeDocument/2006/relationships" r:embed="rId18"/>
        <a:stretch>
          <a:fillRect/>
        </a:stretch>
      </xdr:blipFill>
      <xdr:spPr>
        <a:xfrm>
          <a:off x="0" y="78352650"/>
          <a:ext cx="609600" cy="4191000"/>
        </a:xfrm>
        <a:prstGeom prst="rect">
          <a:avLst/>
        </a:prstGeom>
      </xdr:spPr>
    </xdr:pic>
    <xdr:clientData/>
  </xdr:twoCellAnchor>
  <xdr:twoCellAnchor editAs="oneCell">
    <xdr:from>
      <xdr:col>0</xdr:col>
      <xdr:colOff>0</xdr:colOff>
      <xdr:row>99</xdr:row>
      <xdr:rowOff>0</xdr:rowOff>
    </xdr:from>
    <xdr:to>
      <xdr:col>1</xdr:col>
      <xdr:colOff>0</xdr:colOff>
      <xdr:row>100</xdr:row>
      <xdr:rowOff>0</xdr:rowOff>
    </xdr:to>
    <xdr:pic>
      <xdr:nvPicPr>
        <xdr:cNvPr id="11296" name="Picture 11295"/>
        <xdr:cNvPicPr>
          <a:picLocks noChangeAspect="1"/>
        </xdr:cNvPicPr>
      </xdr:nvPicPr>
      <xdr:blipFill>
        <a:blip xmlns:r="http://schemas.openxmlformats.org/officeDocument/2006/relationships" r:embed="rId19"/>
        <a:stretch>
          <a:fillRect/>
        </a:stretch>
      </xdr:blipFill>
      <xdr:spPr>
        <a:xfrm>
          <a:off x="0" y="83877150"/>
          <a:ext cx="609600" cy="4191000"/>
        </a:xfrm>
        <a:prstGeom prst="rect">
          <a:avLst/>
        </a:prstGeom>
      </xdr:spPr>
    </xdr:pic>
    <xdr:clientData/>
  </xdr:twoCellAnchor>
  <xdr:twoCellAnchor editAs="oneCell">
    <xdr:from>
      <xdr:col>0</xdr:col>
      <xdr:colOff>0</xdr:colOff>
      <xdr:row>102</xdr:row>
      <xdr:rowOff>0</xdr:rowOff>
    </xdr:from>
    <xdr:to>
      <xdr:col>1</xdr:col>
      <xdr:colOff>0</xdr:colOff>
      <xdr:row>103</xdr:row>
      <xdr:rowOff>0</xdr:rowOff>
    </xdr:to>
    <xdr:pic>
      <xdr:nvPicPr>
        <xdr:cNvPr id="11298" name="Picture 11297"/>
        <xdr:cNvPicPr>
          <a:picLocks noChangeAspect="1"/>
        </xdr:cNvPicPr>
      </xdr:nvPicPr>
      <xdr:blipFill>
        <a:blip xmlns:r="http://schemas.openxmlformats.org/officeDocument/2006/relationships" r:embed="rId20"/>
        <a:stretch>
          <a:fillRect/>
        </a:stretch>
      </xdr:blipFill>
      <xdr:spPr>
        <a:xfrm>
          <a:off x="0" y="88830150"/>
          <a:ext cx="609600" cy="4191000"/>
        </a:xfrm>
        <a:prstGeom prst="rect">
          <a:avLst/>
        </a:prstGeom>
      </xdr:spPr>
    </xdr:pic>
    <xdr:clientData/>
  </xdr:twoCellAnchor>
  <xdr:twoCellAnchor editAs="oneCell">
    <xdr:from>
      <xdr:col>0</xdr:col>
      <xdr:colOff>0</xdr:colOff>
      <xdr:row>105</xdr:row>
      <xdr:rowOff>0</xdr:rowOff>
    </xdr:from>
    <xdr:to>
      <xdr:col>1</xdr:col>
      <xdr:colOff>0</xdr:colOff>
      <xdr:row>106</xdr:row>
      <xdr:rowOff>0</xdr:rowOff>
    </xdr:to>
    <xdr:pic>
      <xdr:nvPicPr>
        <xdr:cNvPr id="11300" name="Picture 11299"/>
        <xdr:cNvPicPr>
          <a:picLocks noChangeAspect="1"/>
        </xdr:cNvPicPr>
      </xdr:nvPicPr>
      <xdr:blipFill>
        <a:blip xmlns:r="http://schemas.openxmlformats.org/officeDocument/2006/relationships" r:embed="rId21"/>
        <a:stretch>
          <a:fillRect/>
        </a:stretch>
      </xdr:blipFill>
      <xdr:spPr>
        <a:xfrm>
          <a:off x="0" y="93592650"/>
          <a:ext cx="609600" cy="4191000"/>
        </a:xfrm>
        <a:prstGeom prst="rect">
          <a:avLst/>
        </a:prstGeom>
      </xdr:spPr>
    </xdr:pic>
    <xdr:clientData/>
  </xdr:twoCellAnchor>
  <xdr:twoCellAnchor editAs="oneCell">
    <xdr:from>
      <xdr:col>0</xdr:col>
      <xdr:colOff>0</xdr:colOff>
      <xdr:row>108</xdr:row>
      <xdr:rowOff>0</xdr:rowOff>
    </xdr:from>
    <xdr:to>
      <xdr:col>1</xdr:col>
      <xdr:colOff>0</xdr:colOff>
      <xdr:row>109</xdr:row>
      <xdr:rowOff>0</xdr:rowOff>
    </xdr:to>
    <xdr:pic>
      <xdr:nvPicPr>
        <xdr:cNvPr id="11302" name="Picture 11301"/>
        <xdr:cNvPicPr>
          <a:picLocks noChangeAspect="1"/>
        </xdr:cNvPicPr>
      </xdr:nvPicPr>
      <xdr:blipFill>
        <a:blip xmlns:r="http://schemas.openxmlformats.org/officeDocument/2006/relationships" r:embed="rId22"/>
        <a:stretch>
          <a:fillRect/>
        </a:stretch>
      </xdr:blipFill>
      <xdr:spPr>
        <a:xfrm>
          <a:off x="0" y="98355150"/>
          <a:ext cx="609600" cy="4191000"/>
        </a:xfrm>
        <a:prstGeom prst="rect">
          <a:avLst/>
        </a:prstGeom>
      </xdr:spPr>
    </xdr:pic>
    <xdr:clientData/>
  </xdr:twoCellAnchor>
  <xdr:twoCellAnchor editAs="oneCell">
    <xdr:from>
      <xdr:col>0</xdr:col>
      <xdr:colOff>0</xdr:colOff>
      <xdr:row>111</xdr:row>
      <xdr:rowOff>0</xdr:rowOff>
    </xdr:from>
    <xdr:to>
      <xdr:col>1</xdr:col>
      <xdr:colOff>0</xdr:colOff>
      <xdr:row>112</xdr:row>
      <xdr:rowOff>0</xdr:rowOff>
    </xdr:to>
    <xdr:pic>
      <xdr:nvPicPr>
        <xdr:cNvPr id="11304" name="Picture 11303"/>
        <xdr:cNvPicPr>
          <a:picLocks noChangeAspect="1"/>
        </xdr:cNvPicPr>
      </xdr:nvPicPr>
      <xdr:blipFill>
        <a:blip xmlns:r="http://schemas.openxmlformats.org/officeDocument/2006/relationships" r:embed="rId23"/>
        <a:stretch>
          <a:fillRect/>
        </a:stretch>
      </xdr:blipFill>
      <xdr:spPr>
        <a:xfrm>
          <a:off x="0" y="103117650"/>
          <a:ext cx="609600" cy="4381500"/>
        </a:xfrm>
        <a:prstGeom prst="rect">
          <a:avLst/>
        </a:prstGeom>
      </xdr:spPr>
    </xdr:pic>
    <xdr:clientData/>
  </xdr:twoCellAnchor>
  <xdr:twoCellAnchor editAs="oneCell">
    <xdr:from>
      <xdr:col>0</xdr:col>
      <xdr:colOff>0</xdr:colOff>
      <xdr:row>114</xdr:row>
      <xdr:rowOff>0</xdr:rowOff>
    </xdr:from>
    <xdr:to>
      <xdr:col>1</xdr:col>
      <xdr:colOff>0</xdr:colOff>
      <xdr:row>115</xdr:row>
      <xdr:rowOff>0</xdr:rowOff>
    </xdr:to>
    <xdr:pic>
      <xdr:nvPicPr>
        <xdr:cNvPr id="11306" name="Picture 11305"/>
        <xdr:cNvPicPr>
          <a:picLocks noChangeAspect="1"/>
        </xdr:cNvPicPr>
      </xdr:nvPicPr>
      <xdr:blipFill>
        <a:blip xmlns:r="http://schemas.openxmlformats.org/officeDocument/2006/relationships" r:embed="rId24"/>
        <a:stretch>
          <a:fillRect/>
        </a:stretch>
      </xdr:blipFill>
      <xdr:spPr>
        <a:xfrm>
          <a:off x="0" y="108070650"/>
          <a:ext cx="609600" cy="4191000"/>
        </a:xfrm>
        <a:prstGeom prst="rect">
          <a:avLst/>
        </a:prstGeom>
      </xdr:spPr>
    </xdr:pic>
    <xdr:clientData/>
  </xdr:twoCellAnchor>
  <xdr:twoCellAnchor editAs="oneCell">
    <xdr:from>
      <xdr:col>0</xdr:col>
      <xdr:colOff>0</xdr:colOff>
      <xdr:row>118</xdr:row>
      <xdr:rowOff>0</xdr:rowOff>
    </xdr:from>
    <xdr:to>
      <xdr:col>1</xdr:col>
      <xdr:colOff>0</xdr:colOff>
      <xdr:row>119</xdr:row>
      <xdr:rowOff>0</xdr:rowOff>
    </xdr:to>
    <xdr:pic>
      <xdr:nvPicPr>
        <xdr:cNvPr id="11308" name="Picture 11307"/>
        <xdr:cNvPicPr>
          <a:picLocks noChangeAspect="1"/>
        </xdr:cNvPicPr>
      </xdr:nvPicPr>
      <xdr:blipFill>
        <a:blip xmlns:r="http://schemas.openxmlformats.org/officeDocument/2006/relationships" r:embed="rId25"/>
        <a:stretch>
          <a:fillRect/>
        </a:stretch>
      </xdr:blipFill>
      <xdr:spPr>
        <a:xfrm>
          <a:off x="0" y="113214150"/>
          <a:ext cx="609600" cy="4191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absoluteAnchor>
    <xdr:pos x="0" y="0"/>
    <xdr:ext cx="9309340" cy="60834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0.5367</cdr:x>
      <cdr:y>0.17525</cdr:y>
    </cdr:from>
    <cdr:to>
      <cdr:x>0.97954</cdr:x>
      <cdr:y>0.90255</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97797" y="1066363"/>
          <a:ext cx="4123765" cy="4425471"/>
        </a:xfrm>
        <a:prstGeom xmlns:a="http://schemas.openxmlformats.org/drawingml/2006/main" prst="rect">
          <a:avLst/>
        </a:prstGeom>
      </cdr:spPr>
    </cdr:pic>
  </cdr:relSizeAnchor>
</c:userShapes>
</file>

<file path=xl/drawings/drawing36.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22386" y="784587"/>
          <a:ext cx="4116366" cy="4416302"/>
        </a:xfrm>
        <a:prstGeom xmlns:a="http://schemas.openxmlformats.org/drawingml/2006/main" prst="rect">
          <a:avLst/>
        </a:prstGeom>
      </cdr:spPr>
    </cdr:pic>
  </cdr:relSizeAnchor>
</c:userShapes>
</file>

<file path=xl/drawings/drawing38.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9.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40.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1.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42.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3.xml><?xml version="1.0" encoding="utf-8"?>
<c:userShapes xmlns:c="http://schemas.openxmlformats.org/drawingml/2006/chart">
  <cdr:relSizeAnchor xmlns:cdr="http://schemas.openxmlformats.org/drawingml/2006/chartDrawing">
    <cdr:from>
      <cdr:x>0.53429</cdr:x>
      <cdr:y>0.1863</cdr:y>
    </cdr:from>
    <cdr:to>
      <cdr:x>0.97713</cdr:x>
      <cdr:y>0.9136</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4975384" y="1133598"/>
          <a:ext cx="4123765" cy="4425471"/>
        </a:xfrm>
        <a:prstGeom xmlns:a="http://schemas.openxmlformats.org/drawingml/2006/main" prst="rect">
          <a:avLst/>
        </a:prstGeom>
      </cdr:spPr>
    </cdr:pic>
  </cdr:relSizeAnchor>
  <cdr:relSizeAnchor xmlns:cdr="http://schemas.openxmlformats.org/drawingml/2006/chartDrawing">
    <cdr:from>
      <cdr:x>0.10229</cdr:x>
      <cdr:y>0.32965</cdr:y>
    </cdr:from>
    <cdr:to>
      <cdr:x>0.20578</cdr:x>
      <cdr:y>0.43094</cdr:y>
    </cdr:to>
    <cdr:sp macro="" textlink="">
      <cdr:nvSpPr>
        <cdr:cNvPr id="3" name="Rectangular Callout 2"/>
        <cdr:cNvSpPr/>
      </cdr:nvSpPr>
      <cdr:spPr>
        <a:xfrm xmlns:a="http://schemas.openxmlformats.org/drawingml/2006/main">
          <a:off x="952501" y="2005852"/>
          <a:ext cx="963705" cy="616324"/>
        </a:xfrm>
        <a:prstGeom xmlns:a="http://schemas.openxmlformats.org/drawingml/2006/main" prst="wedgeRectCallout">
          <a:avLst>
            <a:gd name="adj1" fmla="val 91782"/>
            <a:gd name="adj2" fmla="val -108409"/>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Entire Population Infected</a:t>
          </a:r>
        </a:p>
      </cdr:txBody>
    </cdr:sp>
  </cdr:relSizeAnchor>
  <cdr:relSizeAnchor xmlns:cdr="http://schemas.openxmlformats.org/drawingml/2006/chartDrawing">
    <cdr:from>
      <cdr:x>0.07461</cdr:x>
      <cdr:y>0.27072</cdr:y>
    </cdr:from>
    <cdr:to>
      <cdr:x>0.51625</cdr:x>
      <cdr:y>0.27256</cdr:y>
    </cdr:to>
    <cdr:cxnSp macro="">
      <cdr:nvCxnSpPr>
        <cdr:cNvPr id="5" name="Straight Connector 4"/>
        <cdr:cNvCxnSpPr/>
      </cdr:nvCxnSpPr>
      <cdr:spPr>
        <a:xfrm xmlns:a="http://schemas.openxmlformats.org/drawingml/2006/main" flipV="1">
          <a:off x="694765" y="1647265"/>
          <a:ext cx="4112559" cy="11206"/>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4.xml><?xml version="1.0" encoding="utf-8"?>
<xdr:wsDr xmlns:xdr="http://schemas.openxmlformats.org/drawingml/2006/spreadsheetDrawing" xmlns:a="http://schemas.openxmlformats.org/drawingml/2006/main">
  <xdr:absoluteAnchor>
    <xdr:pos x="0" y="0"/>
    <xdr:ext cx="7915275" cy="51720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5.xml><?xml version="1.0" encoding="utf-8"?>
<xdr:wsDr xmlns:xdr="http://schemas.openxmlformats.org/drawingml/2006/spreadsheetDrawing" xmlns:a="http://schemas.openxmlformats.org/drawingml/2006/main">
  <xdr:absoluteAnchor>
    <xdr:pos x="0" y="0"/>
    <xdr:ext cx="9312088" cy="60847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6.xml><?xml version="1.0" encoding="utf-8"?>
<c:userShapes xmlns:c="http://schemas.openxmlformats.org/drawingml/2006/chart">
  <cdr:relSizeAnchor xmlns:cdr="http://schemas.openxmlformats.org/drawingml/2006/chartDrawing">
    <cdr:from>
      <cdr:x>0.54031</cdr:x>
      <cdr:y>0.12921</cdr:y>
    </cdr:from>
    <cdr:to>
      <cdr:x>0.98315</cdr:x>
      <cdr:y>0.85651</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037487" y="786210"/>
          <a:ext cx="4128728" cy="4425471"/>
        </a:xfrm>
        <a:prstGeom xmlns:a="http://schemas.openxmlformats.org/drawingml/2006/main" prst="rect">
          <a:avLst/>
        </a:prstGeom>
      </cdr:spPr>
    </cdr:pic>
  </cdr:relSizeAnchor>
</c:userShapes>
</file>

<file path=xl/drawings/drawing47.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8.xml><?xml version="1.0" encoding="utf-8"?>
<c:userShapes xmlns:c="http://schemas.openxmlformats.org/drawingml/2006/chart">
  <cdr:relSizeAnchor xmlns:cdr="http://schemas.openxmlformats.org/drawingml/2006/chartDrawing">
    <cdr:from>
      <cdr:x>0.58306</cdr:x>
      <cdr:y>0.16426</cdr:y>
    </cdr:from>
    <cdr:to>
      <cdr:x>0.97786</cdr:x>
      <cdr:y>0.81267</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148230" y="948118"/>
          <a:ext cx="3485956" cy="3742719"/>
        </a:xfrm>
        <a:prstGeom xmlns:a="http://schemas.openxmlformats.org/drawingml/2006/main" prst="rect">
          <a:avLst/>
        </a:prstGeom>
      </cdr:spPr>
    </cdr:pic>
  </cdr:relSizeAnchor>
  <cdr:relSizeAnchor xmlns:cdr="http://schemas.openxmlformats.org/drawingml/2006/chartDrawing">
    <cdr:from>
      <cdr:x>0.72163</cdr:x>
      <cdr:y>0.9505</cdr:y>
    </cdr:from>
    <cdr:to>
      <cdr:x>0.97087</cdr:x>
      <cdr:y>0.99505</cdr:y>
    </cdr:to>
    <cdr:sp macro="" textlink="">
      <cdr:nvSpPr>
        <cdr:cNvPr id="3" name="Rectangular Callout 2"/>
        <cdr:cNvSpPr/>
      </cdr:nvSpPr>
      <cdr:spPr>
        <a:xfrm xmlns:a="http://schemas.openxmlformats.org/drawingml/2006/main">
          <a:off x="6707114" y="5775188"/>
          <a:ext cx="2316535" cy="270683"/>
        </a:xfrm>
        <a:prstGeom xmlns:a="http://schemas.openxmlformats.org/drawingml/2006/main" prst="wedgeRectCallout">
          <a:avLst>
            <a:gd name="adj1" fmla="val 31552"/>
            <a:gd name="adj2" fmla="val -88824"/>
          </a:avLst>
        </a:prstGeom>
        <a:solidFill xmlns:a="http://schemas.openxmlformats.org/drawingml/2006/main">
          <a:schemeClr val="accent4">
            <a:lumMod val="20000"/>
            <a:lumOff val="80000"/>
            <a:alpha val="2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a:solidFill>
                <a:srgbClr val="FF0000"/>
              </a:solidFill>
            </a:rPr>
            <a:t>Entire Population Infected</a:t>
          </a:r>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perso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ListRefs"/>
    </sheetNames>
    <definedNames>
      <definedName name="CreateChartIndex"/>
    </definedNames>
    <sheetDataSet>
      <sheetData sheetId="0"/>
      <sheetData sheetId="1"/>
    </sheetDataSet>
  </externalBook>
</externalLink>
</file>

<file path=xl/tables/table1.xml><?xml version="1.0" encoding="utf-8"?>
<table xmlns="http://schemas.openxmlformats.org/spreadsheetml/2006/main" id="1" name="tblData" displayName="tblData" ref="B10:CR117" totalsRowShown="0" headerRowDxfId="157">
  <autoFilter ref="B10:CR117"/>
  <tableColumns count="95">
    <tableColumn id="1" name="Date" dataDxfId="156"/>
    <tableColumn id="3" name="From Diamond Princess"/>
    <tableColumn id="12" name="Australian Capital Territory"/>
    <tableColumn id="4" name="New South Wales"/>
    <tableColumn id="5" name="Northern Territory"/>
    <tableColumn id="6" name="Queensland"/>
    <tableColumn id="7" name="South Australia"/>
    <tableColumn id="8" name="Tasmania"/>
    <tableColumn id="9" name="Victoria"/>
    <tableColumn id="10" name="Western Australia"/>
    <tableColumn id="37" name="NSW Cases per Capita" dataDxfId="155">
      <calculatedColumnFormula>tblData[[#This Row],[New South Wales]]/$L$9</calculatedColumnFormula>
    </tableColumn>
    <tableColumn id="27" name="Italy"/>
    <tableColumn id="38" name="Italy Cases per Capita" dataDxfId="154">
      <calculatedColumnFormula>IF(ISNUMBER(tblData[Italy]),tblData[Italy]/$N$9,"")</calculatedColumnFormula>
    </tableColumn>
    <tableColumn id="28" name="US"/>
    <tableColumn id="39" name="US Cases Per Capita" dataDxfId="153">
      <calculatedColumnFormula>IF(ISNUMBER(tblData[US]),tblData[US]/$P$9,"")</calculatedColumnFormula>
    </tableColumn>
    <tableColumn id="49" name="SKorea" dataDxfId="152"/>
    <tableColumn id="50" name="SKorea Cases Per Capita" dataDxfId="151">
      <calculatedColumnFormula>IF(ISNUMBER(tblData[SKorea]),tblData[SKorea]/$R$9,"")</calculatedColumnFormula>
    </tableColumn>
    <tableColumn id="51" name="UK" dataDxfId="150"/>
    <tableColumn id="52" name="UK Cases Per Capita" dataDxfId="149">
      <calculatedColumnFormula>IF(ISNUMBER(tblData[UK]),tblData[UK]/$T$9,"")</calculatedColumnFormula>
    </tableColumn>
    <tableColumn id="31" name="China"/>
    <tableColumn id="40" name="China Cases Per Capita" dataDxfId="148">
      <calculatedColumnFormula>IF(ISNUMBER(tblData[China]),tblData[China]/$V$9,"")</calculatedColumnFormula>
    </tableColumn>
    <tableColumn id="61" name="Singapore" dataDxfId="147"/>
    <tableColumn id="60" name="Singapore Cases Per Capita" dataDxfId="146">
      <calculatedColumnFormula>IF(ISNUMBER(tblData[Singapore]),tblData[Singapore]/$X$9,"")</calculatedColumnFormula>
    </tableColumn>
    <tableColumn id="66" name="Generic" dataDxfId="145"/>
    <tableColumn id="67" name="Generic Cases Per Capita" dataDxfId="144">
      <calculatedColumnFormula>IF(AND(LEN(tblData[Generic])&gt;0,ISNUMBER(tblData[Generic])),tblData[Generic]/$Z$9,"")</calculatedColumnFormula>
    </tableColumn>
    <tableColumn id="11" name="Days# Italy" dataDxfId="143">
      <calculatedColumnFormula>IF(tblData[[#This Row],[Date]]&lt;StartDt2Italy,"",tblData[[#This Row],[Date]]-ItalyStart)</calculatedColumnFormula>
    </tableColumn>
    <tableColumn id="26" name="Days# US" dataDxfId="142">
      <calculatedColumnFormula>IF(tblData[[#This Row],[Date]]&lt;=StartDt2US,"",tblData[[#This Row],[Date]]-USStart)</calculatedColumnFormula>
    </tableColumn>
    <tableColumn id="32" name="Days# China" dataDxfId="141">
      <calculatedColumnFormula>IF(tblData[[#This Row],[Date]]&lt;StartDt2China,"",tblData[[#This Row],[Date]]-ChinaStart)</calculatedColumnFormula>
    </tableColumn>
    <tableColumn id="54" name="Days# Skorea" dataDxfId="140">
      <calculatedColumnFormula>IF(tblData[[#This Row],[Date]]&lt;=SKoreaStart,"",tblData[[#This Row],[Date]]-SKoreaStart)</calculatedColumnFormula>
    </tableColumn>
    <tableColumn id="53" name="Days# UK" dataDxfId="139">
      <calculatedColumnFormula>IF(tblData[[#This Row],[Date]]&lt;=StartDt2UK,"",tblData[[#This Row],[Date]]-UKStart)</calculatedColumnFormula>
    </tableColumn>
    <tableColumn id="65" name="Day# Singapore" dataDxfId="138">
      <calculatedColumnFormula>IF(tblData[[#This Row],[Date]]&lt;StartDt2Singapore,"",tblData[[#This Row],[Date]]-SingaporeStart)</calculatedColumnFormula>
    </tableColumn>
    <tableColumn id="68" name="Day# Generic" dataDxfId="137">
      <calculatedColumnFormula>IF(tblData[[#This Row],[Date]]&lt;StartDt2Generic,"",tblData[[#This Row],[Date]]-GenericStart)</calculatedColumnFormula>
    </tableColumn>
    <tableColumn id="13" name="Day# Aust" dataDxfId="136">
      <calculatedColumnFormula>IF(tblData[Date]&gt;StartDt2Au,tblData[Date]-AuStart,"")</calculatedColumnFormula>
    </tableColumn>
    <tableColumn id="14" name="Au">
      <calculatedColumnFormula>SUM(C11:K11)</calculatedColumnFormula>
    </tableColumn>
    <tableColumn id="42" name="Au Cases Per Capita" dataDxfId="135">
      <calculatedColumnFormula>IF(ISNUMBER(tblData[Au]),tblData[Au]/$AE$9,"")</calculatedColumnFormula>
    </tableColumn>
    <tableColumn id="19" name="Au LogiP(t)" dataDxfId="134">
      <calculatedColumnFormula>IF(ISNUMBER(tblData[[#This Row],[Day'# Aust]]),betaAu/(deltaAu+betaPodeltaAu*EXP(-betaAu*tblData[[#This Row],[Day'# Aust]])),"")</calculatedColumnFormula>
    </tableColumn>
    <tableColumn id="47" name="Au LogiP(t) Per Capita" dataDxfId="133">
      <calculatedColumnFormula>IF(ISNUMBER(tblData[Day'# Aust]),tblData[Au LogiP(t)]/$AJ$9,"")</calculatedColumnFormula>
    </tableColumn>
    <tableColumn id="48" name="AU Sq Err" dataDxfId="132">
      <calculatedColumnFormula>IF(AND(tblData[Date]&gt;StartDt2Au,ISNUMBER(tblData[NSW])),(tblData[[#This Row],[Au LogiP(t)]]-tblData[[#This Row],[Au]])^2,"")</calculatedColumnFormula>
    </tableColumn>
    <tableColumn id="87" name="AU Mean Devn Sq" dataDxfId="34">
      <calculatedColumnFormula>IF(AND(ISNUMBER(tblData[Au]),tblData[Date]&gt;StartDt2Au),(tblData[Au]-AVERAGE(tblData[Au]))^2,"")</calculatedColumnFormula>
    </tableColumn>
    <tableColumn id="79" name="AU100Days" dataDxfId="131">
      <calculatedColumnFormula>tblData[[#This Row],[Date]]-Au100dt</calculatedColumnFormula>
    </tableColumn>
    <tableColumn id="15" name="Day # NSW" dataDxfId="130">
      <calculatedColumnFormula>IF(tblData[Date]&gt;StartDt2NSW,tblData[Date]-StartDt2NSW,"")</calculatedColumnFormula>
    </tableColumn>
    <tableColumn id="16" name="NSW" dataDxfId="129">
      <calculatedColumnFormula>IF(tblData[[#This Row],[New South Wales]]&gt;0,tblData[[#This Row],[New South Wales]],"")</calculatedColumnFormula>
    </tableColumn>
    <tableColumn id="17" name="NSW LogiP(t)" dataDxfId="128">
      <calculatedColumnFormula>IF(tblData[Date]&gt;StartDt2NSW,betaNSW/(deltaNSW+betaPodeltaNSW*EXP(-betaNSW*tblData[[#This Row],[Day '# NSW]])),"")</calculatedColumnFormula>
    </tableColumn>
    <tableColumn id="18" name="NSW Sq Err" dataDxfId="127">
      <calculatedColumnFormula>IF(AND(ISNUMBER(tblData[NSW]),tblData[Date]&gt;StartDt2NSW),(tblData[[#This Row],[NSW LogiP(t)]]-tblData[[#This Row],[NSW]])^2,"")</calculatedColumnFormula>
    </tableColumn>
    <tableColumn id="43" name="Nsw LogiP(t) Per Capita" dataDxfId="126">
      <calculatedColumnFormula>IF(AND(tblData[Date]&gt;StartDt2NSW,ISNUMBER(tblData[Day'# Aust])),tblData[NSW LogiP(t)]/$AR$9,"")</calculatedColumnFormula>
    </tableColumn>
    <tableColumn id="77" name="NSW100Days" dataDxfId="125">
      <calculatedColumnFormula>tblData[[#This Row],[Date]]-NSW100dt+1</calculatedColumnFormula>
    </tableColumn>
    <tableColumn id="86" name="NSW Mean Devn Sq" dataDxfId="37">
      <calculatedColumnFormula>IF(AND(ISNUMBER(tblData[NSW]),tblData[Date]&gt;StartDt2NSW),(tblData[NSW]-AVERAGE(tblData[NSW]))^2,"")</calculatedColumnFormula>
    </tableColumn>
    <tableColumn id="20" name="Italy LogiP(t)" dataDxfId="124">
      <calculatedColumnFormula>IF(AND(tblData[Date]&gt;StartDt2Italy,ISNUMBER(tblData[Days'# Italy])),betaItaly/(deltaItaly+betaPodeltaItaly*EXP(-betaItaly*tblData[Days'# Italy])),"")</calculatedColumnFormula>
    </tableColumn>
    <tableColumn id="21" name="Italy Sq Err" dataDxfId="123">
      <calculatedColumnFormula>IF(AND(tblData[Date]&gt;StartDt2Italy,ISNUMBER(tblData[Italy])),(tblData[[#This Row],[Italy LogiP(t)]]-tblData[[#This Row],[Italy]])^2,"")</calculatedColumnFormula>
    </tableColumn>
    <tableColumn id="44" name="Italy LogiP(t) Per Capita" dataDxfId="122">
      <calculatedColumnFormula>IF(AND(tblData[Date]&gt;StartDt2Italy,ISNUMBER(tblData[Days'# Italy])),tblData[[#This Row],[Italy LogiP(t)]]/$AW$9,"")</calculatedColumnFormula>
    </tableColumn>
    <tableColumn id="88" name="Italy Mean Devn Sq" dataDxfId="32">
      <calculatedColumnFormula>IF(AND(ISNUMBER(tblData[Italy]),tblData[Date]&gt;StartDt2Italy),(tblData[Italy]-AVERAGE(tblData[Italy]))^2,"")</calculatedColumnFormula>
    </tableColumn>
    <tableColumn id="78" name="Italy100Days" dataDxfId="121">
      <calculatedColumnFormula>tblData[[#This Row],[Date]]-Italy100dt+1</calculatedColumnFormula>
    </tableColumn>
    <tableColumn id="29" name="US LogiP(t)" dataDxfId="120">
      <calculatedColumnFormula>IF(AND(tblData[Date]&gt;StartDt2US,ISNUMBER(tblData[[#This Row],[Days'# US]])),betaUS/(deltaUS+betaPodeltaUS*EXP(-betaUS*tblData[Days'# US])),"")</calculatedColumnFormula>
    </tableColumn>
    <tableColumn id="30" name="US Sq Err" dataDxfId="119">
      <calculatedColumnFormula>IF(AND(tblData[Date]&gt;StartDt2US,ISNUMBER(tblData[US])),(tblData[[#This Row],[US LogiP(t)]]-tblData[US])^2,"")</calculatedColumnFormula>
    </tableColumn>
    <tableColumn id="46" name="US LogiP(t) Per Capita" dataDxfId="118">
      <calculatedColumnFormula>IF(AND(tblData[Date]&gt;=StartDt2US,ISNUMBER(tblData[[#This Row],[Days'# US]])),tblData[[#This Row],[US LogiP(t)]]/$BB$9,"")</calculatedColumnFormula>
    </tableColumn>
    <tableColumn id="89" name="US Mean Devn Sq" dataDxfId="31">
      <calculatedColumnFormula>IF(AND(ISNUMBER(tblData[US]),tblData[Date]&gt;StartDt2US),(tblData[US]-AVERAGE(tblData[US]))^2,"")</calculatedColumnFormula>
    </tableColumn>
    <tableColumn id="81" name="US100Days" dataDxfId="117">
      <calculatedColumnFormula>tblData[[#This Row],[Date]]-US100dt+1</calculatedColumnFormula>
    </tableColumn>
    <tableColumn id="41" name="SKorea LogiP(t)" dataDxfId="116">
      <calculatedColumnFormula>IF(tblData[Date]&gt;StartDt2SKorea,betaSKorea/(deltaSKorea+betaPodeltaSKorea*EXP(-betaSKorea*(tblData[Date]-StartDt2SKorea))),"")</calculatedColumnFormula>
    </tableColumn>
    <tableColumn id="55" name="Skorea Sq Err" dataDxfId="115">
      <calculatedColumnFormula>IF(AND(tblData[Date]&gt;StartDt2SKorea,ISNUMBER(tblData[SKorea])),(tblData[[#This Row],[SKorea LogiP(t)]]-tblData[[#This Row],[SKorea]])^2,"")</calculatedColumnFormula>
    </tableColumn>
    <tableColumn id="56" name="Skorea LogiP(t) Per Capita" dataDxfId="114">
      <calculatedColumnFormula>IF(tblData[Date]&gt;StartDt2SKorea,tblData[[#This Row],[SKorea LogiP(t)]]/$BG$9,"")</calculatedColumnFormula>
    </tableColumn>
    <tableColumn id="92" name="Skorea Mean Devn Sq" dataDxfId="30">
      <calculatedColumnFormula>IF(AND(ISNUMBER(tblData[SKorea]),tblData[Date]&gt;StartDt2SKorea),(tblData[SKorea]-AVERAGE(tblData[SKorea]))^2,"")</calculatedColumnFormula>
    </tableColumn>
    <tableColumn id="80" name="SKorea100Days" dataDxfId="113">
      <calculatedColumnFormula>tblData[[#This Row],[Date]]-SKorea100dt+1</calculatedColumnFormula>
    </tableColumn>
    <tableColumn id="57" name="UK LogiP(t)" dataDxfId="112">
      <calculatedColumnFormula>IF(AND(tblData[Date]&gt;StartDt2UK,ISNUMBER(tblData[Days'# UK])),betaUK/(deltaUK+betaPodeltaUK*EXP(-betaUK*tblData[Days'# UK])),"")</calculatedColumnFormula>
    </tableColumn>
    <tableColumn id="58" name="UK Sq Err" dataDxfId="111">
      <calculatedColumnFormula>IF(AND(tblData[Date]&gt;StartDt2UK,ISNUMBER(tblData[UK])),(tblData[[#This Row],[UK LogiP(t)]]-tblData[[#This Row],[UK]])^2,"")</calculatedColumnFormula>
    </tableColumn>
    <tableColumn id="59" name="UK LogiP(t) Per Capita" dataDxfId="110">
      <calculatedColumnFormula>IF(ISNUMBER(tblData[Days'# UK]),tblData[[#This Row],[UK LogiP(t)]]/$BL$9,"")</calculatedColumnFormula>
    </tableColumn>
    <tableColumn id="91" name="UK Mean Devn Sq" dataDxfId="29">
      <calculatedColumnFormula>IF(AND(ISNUMBER(tblData[UK]),tblData[Date]&gt;StartDt2UK),(tblData[UK]-AVERAGE(tblData[UK]))^2,"")</calculatedColumnFormula>
    </tableColumn>
    <tableColumn id="82" name="UK100Days" dataDxfId="109">
      <calculatedColumnFormula>tblData[[#This Row],[Date]]-UK100dt</calculatedColumnFormula>
    </tableColumn>
    <tableColumn id="34" name="China LogiP(t)" dataDxfId="108">
      <calculatedColumnFormula>IF(ISNUMBER(tblData[Days'# China]),betaChina/(deltaChina+betaPodeltaChina*EXP(-betaChina*tblData[Days'# China])),"")</calculatedColumnFormula>
    </tableColumn>
    <tableColumn id="33" name="China Sq Err" dataDxfId="107">
      <calculatedColumnFormula>IF(ISNUMBER(tblData[China]),(tblData[[#This Row],[China LogiP(t)]]-tblData[[#This Row],[China]])^2,"")</calculatedColumnFormula>
    </tableColumn>
    <tableColumn id="45" name="China LogiP(t) Per Capita" dataDxfId="106">
      <calculatedColumnFormula>tblData[[#This Row],[China LogiP(t)]]/$BQ$9</calculatedColumnFormula>
    </tableColumn>
    <tableColumn id="90" name="China Mean Devn Sq" dataDxfId="28">
      <calculatedColumnFormula>IF(AND(ISNUMBER(tblData[China]),tblData[Date]&gt;StartDt2China),(tblData[China]-AVERAGE(tblData[China]))^2,"")</calculatedColumnFormula>
    </tableColumn>
    <tableColumn id="83" name="China100Days" dataDxfId="105">
      <calculatedColumnFormula>tblData[[#This Row],[Date]]-China100dt</calculatedColumnFormula>
    </tableColumn>
    <tableColumn id="64" name="Singapore LogiP(t)" dataDxfId="104">
      <calculatedColumnFormula>IF(ISNUMBER(tblData[Day'# Singapore]),betaSingapore/(deltaSingapore+betaPodeltaSingapore*EXP(-betaSingapore*tblData[Day'# Singapore])),"")</calculatedColumnFormula>
    </tableColumn>
    <tableColumn id="63" name="Singapore Sq Err" dataDxfId="103">
      <calculatedColumnFormula>IF(AND(ISNUMBER(tblData[Singapore]),tblData[Date]&gt;=StartDt2Singapore),(tblData[[#This Row],[Singapore LogiP(t)]]-tblData[[#This Row],[Singapore]])^2,"")</calculatedColumnFormula>
    </tableColumn>
    <tableColumn id="62" name="Singapore LogiP(t) Per Capita" dataDxfId="102">
      <calculatedColumnFormula>IF(ISNUMBER(tblData[Day'# Singapore]),tblData[Singapore LogiP(t)]/$BV$9,"")</calculatedColumnFormula>
    </tableColumn>
    <tableColumn id="95" name="Singapore Mean Devn Sq" dataDxfId="25">
      <calculatedColumnFormula>IF(AND(ISNUMBER(tblData[Singapore]),tblData[Date]&gt;StartDt2Singapore),(tblData[Singapore]-AVERAGE(tblData[Singapore]))^2,"")</calculatedColumnFormula>
    </tableColumn>
    <tableColumn id="84" name="Singapore100Days" dataDxfId="101">
      <calculatedColumnFormula>tblData[[#This Row],[Date]]-Singapore100dt+1</calculatedColumnFormula>
    </tableColumn>
    <tableColumn id="70" name="Generic LogiP(t)" dataDxfId="100">
      <calculatedColumnFormula>IF(AND(tblData[Date]&gt;StartDt2Generic,ISNUMBER(tblData[Day'# Generic])),betaGeneric/(deltaGeneric+betaPodeltaGeneric*EXP(-betaGeneric*tblData[Day'# Generic])),"")</calculatedColumnFormula>
    </tableColumn>
    <tableColumn id="71" name="Generic Sq Err" dataDxfId="99">
      <calculatedColumnFormula>IF(AND(ISNUMBER(tblData[Generic]),tblData[Date]&gt;StartDt2Generic),(tblData[Generic LogiP(t)]-tblData[[#This Row],[Generic]])^2,"")</calculatedColumnFormula>
    </tableColumn>
    <tableColumn id="72" name="Generic LogiP(t) Per Capita" dataDxfId="98">
      <calculatedColumnFormula>IF(AND(ISNUMBER(tblData[Generic]),tblData[Date]&gt;StartDt2Generic),tblData[Generic LogiP(t)]/$CA$9,"")</calculatedColumnFormula>
    </tableColumn>
    <tableColumn id="93" name="Generic Mean Devn Sq" dataDxfId="27">
      <calculatedColumnFormula>IF(AND(ISNUMBER(tblData[Generic]),tblData[Date]&gt;StartDt2Generic),(tblData[Generic]-AVERAGE(tblData[Generic]))^2,"")</calculatedColumnFormula>
    </tableColumn>
    <tableColumn id="85" name="Generic100Days" dataDxfId="97">
      <calculatedColumnFormula>tblData[[#This Row],[Date]]-Generic100dt+1</calculatedColumnFormula>
    </tableColumn>
    <tableColumn id="22" name="Tests" dataDxfId="96"/>
    <tableColumn id="23" name="NSW Under Investigation'" dataDxfId="95"/>
    <tableColumn id="24" name="Increase NSW Tests/Day " dataDxfId="94">
      <calculatedColumnFormula>IF(ISNUMBER(tblData[[#This Row],[Tests]]),tblData[[#This Row],[Tests]]-CH10,"")</calculatedColumnFormula>
    </tableColumn>
    <tableColumn id="25" name="IncreasNSW Investig" dataDxfId="93">
      <calculatedColumnFormula>IF(ISNUMBER(tblData[[#This Row],[NSW Under Investigation'']]),tblData[[#This Row],[NSW Under Investigation'']]-CG10,"")</calculatedColumnFormula>
    </tableColumn>
    <tableColumn id="36" name="NSW Test Day Number" dataDxfId="92"/>
    <tableColumn id="2" name="NSW Test Logi" dataDxfId="91">
      <calculatedColumnFormula>IF(AND(tblData[[#This Row],[NSW Test Day Number]]&gt;0,ISNUMBER(tblData[[#This Row],[NSW Test Day Number]])),betaTests/(deltaTests+betaPodeltaTests*EXP(-betaTests*tblData[[#This Row],[NSW Test Day Number]])),"")</calculatedColumnFormula>
    </tableColumn>
    <tableColumn id="35" name="NSW Test Sq Err" dataDxfId="90">
      <calculatedColumnFormula>IF(tblData[Tests]&gt;0,(tblData[[#This Row],[Tests]]-tblData[[#This Row],[NSW Test Logi]])^2,"")</calculatedColumnFormula>
    </tableColumn>
    <tableColumn id="94" name="NSW Tests Mean Devn Sq" dataDxfId="26">
      <calculatedColumnFormula>IF(AND(ISNUMBER(tblData[Tests]),tblData[Date]&gt;StartDt2Tests),(tblData[Tests]-AVERAGE(tblData[Tests]))^2,"")</calculatedColumnFormula>
    </tableColumn>
    <tableColumn id="69" name="NSW Test Per Capita" dataDxfId="89">
      <calculatedColumnFormula>IF(ISNUMBER(tblData[Tests]),tblData[Tests]/$CN$9/100,"")</calculatedColumnFormula>
    </tableColumn>
    <tableColumn id="73" name="NSW Test LOGEST" dataDxfId="88">
      <calculatedColumnFormula>IF(AND(tblData[[#This Row],[NSW Test Day Number]]&gt;0,ISNUMBER(tblData[[#This Row],[NSW Test Day Number]])),TestsLogestB*TestsLogestM^tblData[[#This Row],[NSW Test Day Number]],"")</calculatedColumnFormula>
    </tableColumn>
    <tableColumn id="75" name="Test LOGEST Sq Err" dataDxfId="87">
      <calculatedColumnFormula>IF(AND(tblData[[#This Row],[NSW Test Day Number]]&gt;0,ISNUMBER(tblData[Tests])),(tblData[Tests]-tblData[[#This Row],[NSW Test Per Capita]])^2,"")</calculatedColumnFormula>
    </tableColumn>
    <tableColumn id="74" name="NSW Cases LogEst" dataDxfId="86">
      <calculatedColumnFormula>IF(AND(tblData[Day '# NSW]&gt;0,ISNUMBER(tblData[[#This Row],[Day '# NSW]])),NSWLogestB*NSWLogestM^tblData[[#This Row],[Day '# NSW]]/$CR$9,"")</calculatedColumnFormula>
    </tableColumn>
    <tableColumn id="76" name="NSW LOGEST Sq Err" dataDxfId="85">
      <calculatedColumnFormula>IF(AND(ISNUMBER(tblData[NSW]),tblData[Date]&gt;StartDt2NSW),(tblData[NSW]/$CR$9-tblData[[#This Row],[NSW Cases LogEst]])^2,"")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blRuns" displayName="tblRuns" ref="CV10:EE21" totalsRowCount="1" headerRowDxfId="84">
  <autoFilter ref="CV10:EE20"/>
  <tableColumns count="36">
    <tableColumn id="1" name="Place"/>
    <tableColumn id="2" name="RunTime" dataDxfId="41" totalsRowDxfId="24"/>
    <tableColumn id="3" name="Day 0" dataDxfId="40" totalsRowDxfId="23"/>
    <tableColumn id="4" name="Logistic Start2" dataDxfId="39" totalsRowDxfId="22"/>
    <tableColumn id="5" name="Sort Order"/>
    <tableColumn id="6" name="b" dataDxfId="83" totalsRowDxfId="21"/>
    <tableColumn id="7" name="d" dataDxfId="82" totalsRowDxfId="20"/>
    <tableColumn id="8" name="Po" dataDxfId="81" totalsRowDxfId="19"/>
    <tableColumn id="9" name="Asymptote b/d"/>
    <tableColumn id="10" name="Mean Sq Err" dataDxfId="80" totalsRowDxfId="18"/>
    <tableColumn id="36" name="Mean Dev Sq" dataDxfId="36" totalsRowDxfId="17">
      <calculatedColumnFormula>SUM(tblData[NSW Mean Devn Sq])</calculatedColumnFormula>
    </tableColumn>
    <tableColumn id="34" name="R2" dataDxfId="33" totalsRowDxfId="16">
      <calculatedColumnFormula>1-(SUM(tblData[NSW Sq Err])/SUM(tblData[NSW Mean Devn Sq]))</calculatedColumnFormula>
    </tableColumn>
    <tableColumn id="11" name="(beta/Po)-delta" dataDxfId="35" totalsRowDxfId="15"/>
    <tableColumn id="12" name="delta*1000" dataDxfId="79" totalsRowDxfId="14">
      <calculatedColumnFormula>tblRuns[d]*1000</calculatedColumnFormula>
    </tableColumn>
    <tableColumn id="13" name="AtDate" dataDxfId="78" totalsRowDxfId="13"/>
    <tableColumn id="14" name="Asymptote" dataDxfId="77" totalsRowDxfId="12"/>
    <tableColumn id="15" name="Limit Cases" dataDxfId="76" totalsRowDxfId="11"/>
    <tableColumn id="16" name="MaxCases"/>
    <tableColumn id="17" name="Asymp PerP"/>
    <tableColumn id="18" name="Last Date" totalsRowFunction="custom" dataDxfId="75" totalsRowDxfId="10">
      <totalsRowFormula>MIN(tblRuns[Last Date])</totalsRowFormula>
    </tableColumn>
    <tableColumn id="19" name="Points" dataDxfId="74" totalsRowDxfId="9"/>
    <tableColumn id="20" name="Parameter List" dataDxfId="73" totalsRowDxfId="8">
      <calculatedColumnFormula>"b="&amp;TEXT(tblRuns[b],"##0.###")&amp;", d="&amp;TEXT(tblRuns[d],"0.00E+00")&amp;", P0="&amp;TEXT(Po,"#.###")&amp; ", r2=" &amp;TEXT(tblRuns[[#This Row],[R2]],"##0.#E+0") &amp;", Limit="&amp;IF(PopScaling=0,tblRuns[Asymptote b/d],tblRuns[[#This Row],[Asymp PerP]])&amp;"=&gt;"&amp;Cengnotation(tblRuns[[#This Row],[Limit Cases]],3)&amp;" cases "&amp;tblRuns[[#This Row],[Notes]]</calculatedColumnFormula>
    </tableColumn>
    <tableColumn id="21" name="Logistic Eqn"/>
    <tableColumn id="22" name="SeriesLabel"/>
    <tableColumn id="23" name="Notes"/>
    <tableColumn id="24" name="ChartLabel" dataDxfId="72" totalsRowDxfId="7"/>
    <tableColumn id="25" name="Max Cases Per Capita" dataDxfId="71" totalsRowDxfId="6"/>
    <tableColumn id="26" name="Date of NSW Case Match" dataDxfId="38" totalsRowDxfId="5"/>
    <tableColumn id="27" name="Days NSW is Behind" dataDxfId="70" totalsRowDxfId="4"/>
    <tableColumn id="28" name="Data of AUS Case Match" dataDxfId="69" totalsRowDxfId="3"/>
    <tableColumn id="29" name="Days AU is Behind" dataDxfId="68" totalsRowDxfId="2"/>
    <tableColumn id="30" name="SummaryWords"/>
    <tableColumn id="31" name="GrowthInNextWeek" dataDxfId="67" totalsRowDxfId="1">
      <calculatedColumnFormula>INDEX(tblData[NSW LogiP(t)],MATCH(VALUE(tblRuns[AtDate])+7,tblData[Date],0))</calculatedColumnFormula>
    </tableColumn>
    <tableColumn id="32" name="MSQ per MaxCasesPerCapita" dataDxfId="66" totalsRowDxfId="0">
      <calculatedColumnFormula>tblRuns[Mean Sq Err]/tblRuns[Max Cases Per Capita]</calculatedColumnFormula>
    </tableColumn>
    <tableColumn id="33" name="DateOver100" dataDxfId="65">
      <calculatedColumnFormula>INDEX(tblData[Date],1+MATCH(100, tblData[NSW],1))</calculatedColumnFormula>
    </tableColumn>
    <tableColumn id="35" name="Cases Label" dataDxfId="64">
      <calculatedColumnFormula>tblRuns[[#This Row],[Place]]&amp;" from "&amp;TEXT(Au100dt,"dd-mmm")</calculatedColumnFormula>
    </tableColumn>
  </tableColumns>
  <tableStyleInfo name="TableStyleLight21" showFirstColumn="0" showLastColumn="0" showRowStripes="1" showColumnStripes="0"/>
</table>
</file>

<file path=xl/tables/table3.xml><?xml version="1.0" encoding="utf-8"?>
<table xmlns="http://schemas.openxmlformats.org/spreadsheetml/2006/main" id="4" name="tblHist" displayName="tblHist" ref="EU10:FY184" totalsRowShown="0" headerRowDxfId="63">
  <autoFilter ref="EU10:FY184"/>
  <sortState ref="FB11:GF170">
    <sortCondition ref="FF11:FF170"/>
    <sortCondition ref="FN11:FN170"/>
    <sortCondition ref="FC11:FC170"/>
  </sortState>
  <tableColumns count="31">
    <tableColumn id="1" name="History of Fits Table"/>
    <tableColumn id="2" name="RunTime" dataDxfId="62"/>
    <tableColumn id="3" name="Day0" dataDxfId="61"/>
    <tableColumn id="4" name="Start Logistic" dataDxfId="60"/>
    <tableColumn id="5" name="Sort Order"/>
    <tableColumn id="6" name="b"/>
    <tableColumn id="7" name="d" dataDxfId="59"/>
    <tableColumn id="8" name="Po" dataDxfId="58"/>
    <tableColumn id="9" name="Asymptote b/d" dataDxfId="57"/>
    <tableColumn id="10" name="Mean Sq Err" dataDxfId="56"/>
    <tableColumn id="11" name="(beta/Po)-delta" dataDxfId="55"/>
    <tableColumn id="12" name="delta*1000"/>
    <tableColumn id="13" name="AtDate" dataDxfId="54"/>
    <tableColumn id="14" name="Asymptote"/>
    <tableColumn id="15" name="Limit Cases" dataDxfId="53"/>
    <tableColumn id="16" name="MaxCases" dataDxfId="52"/>
    <tableColumn id="17" name="Asymp PerP"/>
    <tableColumn id="18" name="Last Date" dataDxfId="51"/>
    <tableColumn id="19" name="Points"/>
    <tableColumn id="20" name="Parameter List"/>
    <tableColumn id="21" name="Logistic Eqn" dataDxfId="50"/>
    <tableColumn id="22" name="SeriesLabel"/>
    <tableColumn id="23" name="Notes"/>
    <tableColumn id="24" name="ChartLabel"/>
    <tableColumn id="25" name="Max Cases Per Capita" dataDxfId="49"/>
    <tableColumn id="26" name="Date of NSW Case Match" dataDxfId="48"/>
    <tableColumn id="27" name="Days NSW is Behind"/>
    <tableColumn id="28" name="Data of AUS Case Match"/>
    <tableColumn id="29" name="Days AU is Behind"/>
    <tableColumn id="30" name="SummaryWords"/>
    <tableColumn id="31" name="Predic 1 week"/>
  </tableColumns>
  <tableStyleInfo name="TableStyleMedium5" showFirstColumn="0" showLastColumn="0" showRowStripes="1" showColumnStripes="0"/>
</table>
</file>

<file path=xl/tables/table4.xml><?xml version="1.0" encoding="utf-8"?>
<table xmlns="http://schemas.openxmlformats.org/spreadsheetml/2006/main" id="2" name="tblPopulation" displayName="tblPopulation" ref="K1:U13" totalsRowShown="0">
  <autoFilter ref="K1:U13"/>
  <tableColumns count="11">
    <tableColumn id="1" name="Country"/>
    <tableColumn id="5" name="CtryAbbrev"/>
    <tableColumn id="2" name="State"/>
    <tableColumn id="3" name="Population" dataDxfId="47"/>
    <tableColumn id="7" name="SumStates" dataDxfId="46"/>
    <tableColumn id="8" name="MinLoadingDate" dataDxfId="45"/>
    <tableColumn id="4" name="Day 0" dataDxfId="44"/>
    <tableColumn id="6" name="Logistic Start2" dataDxfId="43">
      <calculatedColumnFormula>IF(OR(StartMethod=1,tblPopulation[[#This Row],[Country]]="Tests"),tblPopulation[[#This Row],[LogistStartSave]],INT(NOW())-LastNDays)</calculatedColumnFormula>
    </tableColumn>
    <tableColumn id="9" name="JHName"/>
    <tableColumn id="10" name="SortOrder"/>
    <tableColumn id="11" name="LogistStartSave" dataDxfId="4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hyperlink" Target="https://www.health.nsw.gov.au/news/Pages/20200312_00.aspx" TargetMode="External"/><Relationship Id="rId1" Type="http://schemas.openxmlformats.org/officeDocument/2006/relationships/hyperlink" Target="https://www.health.gov.au/news/health-alerts/novel-coronavirus-2019-ncov-health-alert" TargetMode="External"/><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table" Target="../tables/table3.xml"/><Relationship Id="rId4" Type="http://schemas.openxmlformats.org/officeDocument/2006/relationships/vmlDrawing" Target="../drawings/vmlDrawing1.vml"/><Relationship Id="rId9"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N194"/>
  <sheetViews>
    <sheetView zoomScale="66" zoomScaleNormal="66" workbookViewId="0">
      <pane xSplit="2" ySplit="10" topLeftCell="C14" activePane="bottomRight" state="frozen"/>
      <selection pane="topRight" activeCell="C1" sqref="C1"/>
      <selection pane="bottomLeft" activeCell="A11" sqref="A11"/>
      <selection pane="bottomRight" activeCell="CX26" sqref="CX26"/>
    </sheetView>
  </sheetViews>
  <sheetFormatPr defaultRowHeight="15" x14ac:dyDescent="0.25"/>
  <cols>
    <col min="1" max="1" width="12.28515625" bestFit="1" customWidth="1"/>
    <col min="2" max="2" width="22.42578125" customWidth="1"/>
    <col min="3" max="3" width="9.28515625" customWidth="1"/>
    <col min="4" max="4" width="12.85546875" customWidth="1"/>
    <col min="5" max="5" width="9.85546875" customWidth="1"/>
    <col min="6" max="6" width="11.7109375" customWidth="1"/>
    <col min="7" max="7" width="14.42578125" customWidth="1"/>
    <col min="8" max="8" width="8.7109375" customWidth="1"/>
    <col min="9" max="9" width="8.85546875" customWidth="1"/>
    <col min="10" max="10" width="8.5703125" customWidth="1"/>
    <col min="11" max="11" width="11.28515625" customWidth="1"/>
    <col min="12" max="12" width="14.140625" customWidth="1"/>
    <col min="13" max="13" width="13.85546875" bestFit="1" customWidth="1"/>
    <col min="14" max="14" width="14.28515625" customWidth="1"/>
    <col min="15" max="15" width="9.28515625" customWidth="1"/>
    <col min="16" max="16" width="13.85546875" style="106" customWidth="1"/>
    <col min="17" max="17" width="13.28515625" customWidth="1"/>
    <col min="18" max="18" width="15.140625" customWidth="1"/>
    <col min="19" max="19" width="12.42578125" customWidth="1"/>
    <col min="20" max="20" width="13.85546875" customWidth="1"/>
    <col min="21" max="21" width="15" customWidth="1"/>
    <col min="22" max="22" width="12.7109375" customWidth="1"/>
    <col min="23" max="23" width="11.42578125" bestFit="1" customWidth="1"/>
    <col min="24" max="24" width="19.42578125" bestFit="1" customWidth="1"/>
    <col min="25" max="25" width="19.42578125" style="25" customWidth="1"/>
    <col min="26" max="26" width="14.85546875" style="25" customWidth="1"/>
    <col min="27" max="27" width="14.140625" customWidth="1"/>
    <col min="28" max="28" width="13.42578125" customWidth="1"/>
    <col min="29" max="29" width="15.5703125" customWidth="1"/>
    <col min="30" max="31" width="12.28515625" bestFit="1" customWidth="1"/>
    <col min="32" max="33" width="12.28515625" style="25" customWidth="1"/>
    <col min="34" max="34" width="14.5703125" customWidth="1"/>
    <col min="35" max="35" width="15" customWidth="1"/>
    <col min="36" max="36" width="12.28515625" bestFit="1" customWidth="1"/>
    <col min="37" max="37" width="16" customWidth="1"/>
    <col min="38" max="38" width="16.7109375" customWidth="1"/>
    <col min="39" max="39" width="12.7109375" hidden="1" customWidth="1"/>
    <col min="40" max="40" width="12.7109375" style="25" hidden="1" customWidth="1"/>
    <col min="41" max="41" width="19.5703125" style="25" customWidth="1"/>
    <col min="42" max="42" width="15.42578125" customWidth="1"/>
    <col min="43" max="43" width="17.7109375" customWidth="1"/>
    <col min="44" max="44" width="15.5703125" customWidth="1"/>
    <col min="45" max="45" width="12.7109375" hidden="1" customWidth="1"/>
    <col min="46" max="46" width="12.7109375" style="25" customWidth="1"/>
    <col min="47" max="47" width="12.7109375" style="39" bestFit="1" customWidth="1"/>
    <col min="48" max="48" width="12.7109375" style="39" hidden="1" customWidth="1"/>
    <col min="49" max="49" width="16.7109375" customWidth="1"/>
    <col min="50" max="50" width="12.7109375" bestFit="1" customWidth="1"/>
    <col min="51" max="51" width="12.7109375" style="11" customWidth="1"/>
    <col min="52" max="52" width="12.7109375" style="11" hidden="1" customWidth="1"/>
    <col min="53" max="53" width="15.28515625" customWidth="1"/>
    <col min="54" max="54" width="16.85546875" customWidth="1"/>
    <col min="55" max="55" width="13.85546875" style="137" hidden="1" customWidth="1"/>
    <col min="56" max="56" width="18.28515625" customWidth="1"/>
    <col min="57" max="57" width="18.28515625" style="25" hidden="1" customWidth="1"/>
    <col min="58" max="58" width="17.140625" customWidth="1"/>
    <col min="59" max="59" width="11.42578125" bestFit="1" customWidth="1"/>
    <col min="60" max="60" width="11.42578125" style="137" hidden="1" customWidth="1"/>
    <col min="61" max="61" width="14.5703125" customWidth="1"/>
    <col min="62" max="62" width="14.5703125" style="25" hidden="1" customWidth="1"/>
    <col min="63" max="63" width="11.42578125" bestFit="1" customWidth="1"/>
    <col min="64" max="64" width="17" customWidth="1"/>
    <col min="65" max="65" width="12.85546875" customWidth="1"/>
    <col min="66" max="66" width="14.5703125" customWidth="1"/>
    <col min="67" max="67" width="15.42578125" style="25" hidden="1" customWidth="1"/>
    <col min="68" max="68" width="10.28515625" style="11" customWidth="1"/>
    <col min="69" max="69" width="11" style="25" bestFit="1" customWidth="1"/>
    <col min="70" max="70" width="14.28515625" style="71" hidden="1" customWidth="1"/>
    <col min="71" max="71" width="11.140625" style="25" customWidth="1"/>
    <col min="72" max="72" width="14.42578125" style="25" hidden="1" customWidth="1"/>
    <col min="73" max="73" width="13.28515625" style="106" customWidth="1"/>
    <col min="74" max="74" width="16" style="25" customWidth="1"/>
    <col min="75" max="75" width="16.5703125" customWidth="1"/>
    <col min="76" max="76" width="15.42578125" customWidth="1"/>
    <col min="77" max="77" width="15.42578125" style="25" customWidth="1"/>
    <col min="78" max="78" width="10.7109375" style="11" bestFit="1" customWidth="1"/>
    <col min="79" max="79" width="14" customWidth="1"/>
    <col min="80" max="80" width="13" customWidth="1"/>
    <col min="82" max="82" width="15.140625" style="25" customWidth="1"/>
    <col min="83" max="83" width="9.140625" style="25"/>
    <col min="84" max="84" width="19.140625" customWidth="1"/>
    <col min="85" max="85" width="14.5703125" customWidth="1"/>
    <col min="86" max="86" width="17.140625" style="25" customWidth="1"/>
    <col min="87" max="87" width="12.140625" style="25" customWidth="1"/>
    <col min="88" max="88" width="11.28515625" style="25" customWidth="1"/>
    <col min="89" max="89" width="13" style="39" customWidth="1"/>
    <col min="90" max="91" width="15" style="25" customWidth="1"/>
    <col min="92" max="92" width="12.42578125" customWidth="1"/>
    <col min="93" max="93" width="12.140625" customWidth="1"/>
    <col min="94" max="94" width="14.7109375" customWidth="1"/>
    <col min="95" max="95" width="13" customWidth="1"/>
    <col min="96" max="96" width="11.85546875" customWidth="1"/>
    <col min="97" max="97" width="17.140625" bestFit="1" customWidth="1"/>
    <col min="98" max="98" width="12.42578125" customWidth="1"/>
    <col min="99" max="99" width="11.5703125" customWidth="1"/>
    <col min="100" max="100" width="14.140625" customWidth="1"/>
    <col min="101" max="101" width="22.28515625" customWidth="1"/>
    <col min="102" max="102" width="13.85546875" style="25" customWidth="1"/>
    <col min="103" max="103" width="11.7109375" style="25" customWidth="1"/>
    <col min="104" max="104" width="7.28515625" customWidth="1"/>
    <col min="105" max="105" width="10.42578125" customWidth="1"/>
    <col min="106" max="106" width="13.7109375" customWidth="1"/>
    <col min="107" max="107" width="15.140625" customWidth="1"/>
    <col min="108" max="108" width="11.5703125" customWidth="1"/>
    <col min="109" max="109" width="13" customWidth="1"/>
    <col min="110" max="110" width="15" style="25" customWidth="1"/>
    <col min="111" max="111" width="13" style="25" customWidth="1"/>
    <col min="112" max="112" width="12.28515625" customWidth="1"/>
    <col min="113" max="114" width="12.85546875" customWidth="1"/>
    <col min="115" max="115" width="11.42578125" customWidth="1"/>
    <col min="116" max="116" width="13.140625" customWidth="1"/>
    <col min="117" max="117" width="11" customWidth="1"/>
    <col min="118" max="118" width="11.5703125" customWidth="1"/>
    <col min="119" max="119" width="15.7109375" customWidth="1"/>
    <col min="120" max="120" width="9.140625" customWidth="1"/>
    <col min="121" max="121" width="50.140625" customWidth="1"/>
    <col min="122" max="122" width="12.140625" style="25" customWidth="1"/>
    <col min="123" max="123" width="18.28515625" style="25" customWidth="1"/>
    <col min="124" max="124" width="9.28515625" style="25" customWidth="1"/>
    <col min="125" max="125" width="12.42578125" style="25" customWidth="1"/>
    <col min="126" max="126" width="14.28515625" customWidth="1"/>
    <col min="127" max="127" width="12.140625" customWidth="1"/>
    <col min="128" max="128" width="11.85546875" customWidth="1"/>
    <col min="129" max="129" width="16.42578125" customWidth="1"/>
    <col min="130" max="130" width="17.5703125" customWidth="1"/>
    <col min="133" max="133" width="14.140625" customWidth="1"/>
    <col min="134" max="134" width="15.140625" customWidth="1"/>
    <col min="135" max="135" width="27.42578125" customWidth="1"/>
    <col min="136" max="136" width="12.5703125" customWidth="1"/>
    <col min="137" max="137" width="13.85546875" customWidth="1"/>
    <col min="138" max="138" width="13.5703125" customWidth="1"/>
    <col min="139" max="139" width="17.28515625" bestFit="1" customWidth="1"/>
    <col min="140" max="140" width="14" customWidth="1"/>
    <col min="141" max="141" width="16.7109375" style="69" bestFit="1" customWidth="1"/>
    <col min="142" max="142" width="14.7109375" style="26" customWidth="1"/>
    <col min="143" max="143" width="19.140625" style="69" customWidth="1"/>
    <col min="144" max="144" width="20.42578125" style="26" customWidth="1"/>
    <col min="145" max="145" width="22.42578125" style="69" customWidth="1"/>
    <col min="146" max="146" width="18.5703125" style="26" customWidth="1"/>
    <col min="147" max="147" width="15.42578125" style="25" customWidth="1"/>
    <col min="148" max="148" width="19.85546875" style="69" customWidth="1"/>
    <col min="149" max="149" width="18" style="26" customWidth="1"/>
    <col min="150" max="150" width="11.7109375" style="26" customWidth="1"/>
    <col min="151" max="151" width="20.140625" customWidth="1"/>
    <col min="152" max="152" width="21.140625" customWidth="1"/>
    <col min="153" max="153" width="16.42578125" style="83" customWidth="1"/>
    <col min="154" max="154" width="14.28515625" style="26" customWidth="1"/>
    <col min="155" max="156" width="12.85546875" style="82" customWidth="1"/>
    <col min="157" max="157" width="13.5703125" style="84" customWidth="1"/>
    <col min="158" max="158" width="12.7109375" customWidth="1"/>
    <col min="159" max="159" width="16.5703125" style="26" customWidth="1"/>
    <col min="160" max="160" width="14.42578125" style="25" customWidth="1"/>
    <col min="161" max="161" width="16.7109375" style="84" customWidth="1"/>
    <col min="162" max="162" width="12" style="84" customWidth="1"/>
    <col min="163" max="163" width="14.28515625" customWidth="1"/>
    <col min="164" max="164" width="20" style="26" customWidth="1"/>
    <col min="165" max="165" width="12.85546875" style="25" customWidth="1"/>
    <col min="166" max="166" width="21" customWidth="1"/>
    <col min="167" max="167" width="13.7109375" style="72" customWidth="1"/>
    <col min="168" max="168" width="13.28515625" customWidth="1"/>
    <col min="169" max="169" width="9.5703125" customWidth="1"/>
    <col min="170" max="170" width="16" customWidth="1"/>
    <col min="171" max="171" width="13.140625" style="19" customWidth="1"/>
    <col min="172" max="172" width="13" style="72" customWidth="1"/>
    <col min="173" max="173" width="9.140625" style="25"/>
    <col min="174" max="174" width="15.140625" customWidth="1"/>
    <col min="175" max="175" width="14.7109375" customWidth="1"/>
    <col min="176" max="176" width="16.140625" customWidth="1"/>
    <col min="177" max="177" width="10.7109375" customWidth="1"/>
    <col min="178" max="178" width="14.5703125" customWidth="1"/>
    <col min="179" max="179" width="9.140625" customWidth="1"/>
    <col min="180" max="180" width="17.140625" customWidth="1"/>
    <col min="181" max="181" width="15.42578125" customWidth="1"/>
    <col min="191" max="191" width="17.28515625" bestFit="1" customWidth="1"/>
    <col min="192" max="193" width="11.7109375" bestFit="1" customWidth="1"/>
    <col min="200" max="200" width="11.7109375" bestFit="1" customWidth="1"/>
    <col min="213" max="213" width="156.7109375" bestFit="1" customWidth="1"/>
  </cols>
  <sheetData>
    <row r="1" spans="1:183" ht="60" x14ac:dyDescent="0.25">
      <c r="A1" s="2" t="s">
        <v>156</v>
      </c>
      <c r="B1" s="3" t="s">
        <v>157</v>
      </c>
      <c r="C1" s="4" t="s">
        <v>158</v>
      </c>
      <c r="D1" s="5" t="s">
        <v>159</v>
      </c>
      <c r="E1" s="6" t="s">
        <v>160</v>
      </c>
      <c r="F1" s="7" t="s">
        <v>161</v>
      </c>
      <c r="G1" s="8" t="s">
        <v>162</v>
      </c>
      <c r="J1" s="43" t="s">
        <v>549</v>
      </c>
      <c r="L1" s="25" t="s">
        <v>654</v>
      </c>
      <c r="M1" s="11"/>
      <c r="N1" s="11"/>
      <c r="W1" s="25"/>
      <c r="X1" s="25"/>
      <c r="Y1" s="25" t="s">
        <v>1364</v>
      </c>
      <c r="Z1" s="25" t="s">
        <v>1363</v>
      </c>
      <c r="AA1" t="s">
        <v>1367</v>
      </c>
      <c r="AB1" t="s">
        <v>1368</v>
      </c>
      <c r="AC1" t="s">
        <v>1471</v>
      </c>
      <c r="AI1" s="114"/>
      <c r="AJ1" s="115"/>
      <c r="AK1" s="113"/>
      <c r="AL1" s="116"/>
      <c r="AM1" s="117"/>
      <c r="AN1" s="117"/>
      <c r="AQ1" s="131" t="s">
        <v>1971</v>
      </c>
      <c r="AR1" s="132" t="s">
        <v>1547</v>
      </c>
      <c r="BR1" s="106"/>
      <c r="CB1" s="131" t="s">
        <v>1546</v>
      </c>
      <c r="CC1" s="132" t="s">
        <v>1547</v>
      </c>
      <c r="CD1" s="133" t="s">
        <v>1551</v>
      </c>
      <c r="CE1" s="134" t="s">
        <v>1548</v>
      </c>
      <c r="CF1" s="135" t="s">
        <v>1550</v>
      </c>
      <c r="CG1" s="25"/>
      <c r="CI1" s="39"/>
      <c r="CK1"/>
      <c r="CW1" s="25"/>
      <c r="DE1" s="25"/>
      <c r="DG1"/>
      <c r="DP1" s="25"/>
      <c r="DQ1" s="25"/>
      <c r="DT1"/>
      <c r="DU1"/>
      <c r="EO1" s="25"/>
      <c r="EP1" s="69"/>
      <c r="EQ1" s="26"/>
      <c r="ER1" s="26"/>
      <c r="ES1"/>
      <c r="ET1"/>
      <c r="EU1" s="83"/>
      <c r="EV1" s="26"/>
      <c r="EW1" s="82"/>
      <c r="EX1" s="82"/>
      <c r="EY1" s="84"/>
      <c r="EZ1"/>
      <c r="FA1" s="26"/>
      <c r="FB1" s="25"/>
      <c r="FC1" s="84"/>
      <c r="FD1" s="84"/>
      <c r="FE1"/>
      <c r="FF1" s="26"/>
      <c r="FG1" s="25"/>
      <c r="FH1"/>
      <c r="FI1" s="72"/>
      <c r="FK1"/>
      <c r="FM1" s="19"/>
      <c r="FN1" s="72"/>
      <c r="FO1" s="25"/>
      <c r="FP1" t="s">
        <v>1144</v>
      </c>
      <c r="FQ1"/>
      <c r="FY1" t="s">
        <v>1479</v>
      </c>
    </row>
    <row r="2" spans="1:183" ht="15.75" thickBot="1" x14ac:dyDescent="0.3">
      <c r="A2" s="9">
        <f>betaGeneric</f>
        <v>0.19687763216972617</v>
      </c>
      <c r="B2" s="35">
        <f>deltaGeneric</f>
        <v>5.5497236683652495E-5</v>
      </c>
      <c r="C2" s="9">
        <f>PoGeneric</f>
        <v>1E-3</v>
      </c>
      <c r="D2" s="9">
        <f>beta/delta</f>
        <v>3547.52135303557</v>
      </c>
      <c r="E2" s="9">
        <f ca="1">msqGeneric</f>
        <v>29.71635590398267</v>
      </c>
      <c r="F2" s="38">
        <f>(beta/Po)-delta</f>
        <v>196.87757667248951</v>
      </c>
      <c r="G2" s="10">
        <f>delta*1000</f>
        <v>5.5497236683652494E-2</v>
      </c>
      <c r="J2">
        <v>1</v>
      </c>
      <c r="L2" s="39">
        <v>10000000</v>
      </c>
      <c r="P2" s="106" t="s">
        <v>153</v>
      </c>
      <c r="Q2">
        <v>2751</v>
      </c>
      <c r="W2" s="25"/>
      <c r="X2" s="25"/>
      <c r="Y2" s="25" t="s">
        <v>93</v>
      </c>
      <c r="AA2" s="25" t="str">
        <f>IF(ISBLANK(GenState),GenCountry,GenState)</f>
        <v>New Zealand</v>
      </c>
      <c r="AB2" s="26">
        <v>43852</v>
      </c>
      <c r="AC2">
        <f>IF(ISBLANK(GenState),MATCH(GenName,tblPopulation[Country],0),MATCH(GenName,tblPopulation[State],0))</f>
        <v>12</v>
      </c>
      <c r="AH2">
        <f ca="1">COUNT(tblData[Au LogiP(t)])</f>
        <v>103</v>
      </c>
      <c r="AI2" s="118"/>
      <c r="AJ2" s="119"/>
      <c r="AK2" s="118"/>
      <c r="AL2" s="118"/>
      <c r="AM2" s="118"/>
      <c r="AN2" s="118"/>
      <c r="AQ2" s="127">
        <f t="array" aca="1" ref="AQ2:AR6" ca="1">LOGEST(myData!NSWCases,myData!NSWDayNo,TRUE,TRUE)</f>
        <v>1.1129388734899648</v>
      </c>
      <c r="AR2" s="126">
        <f ca="1"/>
        <v>0.80223605536442077</v>
      </c>
      <c r="BR2" s="106"/>
      <c r="CA2" s="19"/>
      <c r="CB2" s="127">
        <f t="array" aca="1" ref="CB2:CC6" ca="1">LOGEST(myData!TestsCases,myData!TestsDayNo,TRUE,TRUE)</f>
        <v>1.1220396354189119</v>
      </c>
      <c r="CC2" s="126">
        <f ca="1"/>
        <v>6023.8712138007058</v>
      </c>
      <c r="CD2" s="120">
        <v>1</v>
      </c>
      <c r="CE2" s="124">
        <f ca="1">TestsLogestB*(TestsLogestM^CD2)</f>
        <v>6759.0222605434228</v>
      </c>
      <c r="CF2" s="121">
        <f ca="1">TestsLogestB*EXP(LN(TestsLogestM*CD2))</f>
        <v>6759.0222605434228</v>
      </c>
      <c r="CG2" s="25"/>
      <c r="CI2" s="39"/>
      <c r="CK2"/>
      <c r="CW2" s="25"/>
      <c r="DE2" s="25"/>
      <c r="DG2"/>
      <c r="DK2" s="139" t="s">
        <v>1649</v>
      </c>
      <c r="DP2" s="25"/>
      <c r="DQ2" s="25"/>
      <c r="DT2"/>
      <c r="DU2"/>
      <c r="EO2" s="25"/>
      <c r="EP2" s="69"/>
      <c r="EQ2" s="26"/>
      <c r="ER2" s="26"/>
      <c r="ES2"/>
      <c r="ET2"/>
      <c r="EU2" s="83"/>
      <c r="EV2" s="26"/>
      <c r="EW2" s="82"/>
      <c r="EX2" s="82"/>
      <c r="EY2" s="84"/>
      <c r="EZ2"/>
      <c r="FA2" s="26"/>
      <c r="FB2" s="25"/>
      <c r="FC2" s="84"/>
      <c r="FD2" s="84"/>
      <c r="FE2"/>
      <c r="FF2" s="26"/>
      <c r="FG2" s="25"/>
      <c r="FH2"/>
      <c r="FI2" s="72"/>
      <c r="FK2"/>
      <c r="FM2" s="19"/>
      <c r="FN2" s="72"/>
      <c r="FO2" s="25"/>
      <c r="FP2">
        <f t="array" aca="1" ref="FP2:FQ6" ca="1">LOGEST(NSWCases,NSWDates,TRUE,TRUE)</f>
        <v>1.1129388734899648</v>
      </c>
      <c r="FQ2" s="39">
        <f ca="1"/>
        <v>0</v>
      </c>
      <c r="FS2">
        <f t="array" aca="1" ref="FS2:FT6" ca="1">LINEST(LOG(NSWCases),NSWDates,TRUE,TRUE)</f>
        <v>4.6471312012140865E-2</v>
      </c>
      <c r="FT2">
        <f ca="1"/>
        <v>-2038.0950861156025</v>
      </c>
      <c r="FV2">
        <f ca="1">EXP(FT2/10)</f>
        <v>3.0665853076162059E-89</v>
      </c>
      <c r="FW2">
        <f ca="1">LN(LogEstMNSW)</f>
        <v>-3.0689201027537707</v>
      </c>
      <c r="FX2">
        <f ca="1">LN(ABS(LogestBNSW))</f>
        <v>7.6197708692770147</v>
      </c>
      <c r="FY2">
        <f t="array" aca="1" ref="FY2:FZ6" ca="1">LOGEST(NSWCases,NSWDates,TRUE,TRUE)</f>
        <v>1.1129388734899648</v>
      </c>
      <c r="FZ2">
        <f ca="1"/>
        <v>0</v>
      </c>
    </row>
    <row r="3" spans="1:183" x14ac:dyDescent="0.25">
      <c r="B3" s="39">
        <v>9.9999999999999998E-13</v>
      </c>
      <c r="D3" t="str">
        <f>Cengnotation(D2)</f>
        <v>3.55 k</v>
      </c>
      <c r="L3" s="25" t="str">
        <f>"Cases per " &amp; Cengnotation(L2,2)  &amp; " population"</f>
        <v>Cases per 10 M population</v>
      </c>
      <c r="P3" s="106" t="s">
        <v>40</v>
      </c>
      <c r="Q3">
        <v>191</v>
      </c>
      <c r="R3" s="11">
        <f>$Q$2/Q3</f>
        <v>14.403141361256544</v>
      </c>
      <c r="W3" s="25"/>
      <c r="X3" s="25"/>
      <c r="Z3" s="25">
        <f>LEN(GenState)</f>
        <v>0</v>
      </c>
      <c r="AA3" s="25"/>
      <c r="AI3" s="113"/>
      <c r="AJ3" s="113"/>
      <c r="AK3" s="113"/>
      <c r="AL3" s="113"/>
      <c r="AM3" s="113"/>
      <c r="AN3" s="113"/>
      <c r="AQ3" s="127">
        <f ca="1"/>
        <v>5.9771208768992475E-3</v>
      </c>
      <c r="AR3" s="126">
        <f ca="1"/>
        <v>0.23724728028128297</v>
      </c>
      <c r="BR3" s="106"/>
      <c r="BW3">
        <f>MATCH(solvMsgs!MinCases,tblData[Generic Cases Per Capita],1)</f>
        <v>59</v>
      </c>
      <c r="CB3" s="127">
        <f ca="1"/>
        <v>4.3585990075508934E-3</v>
      </c>
      <c r="CC3" s="126">
        <f ca="1"/>
        <v>7.2344866110359271E-2</v>
      </c>
      <c r="CD3" s="120">
        <v>5</v>
      </c>
      <c r="CE3" s="124">
        <f ca="1">TestsLogestB*(TestsLogestM^CD3)</f>
        <v>10713.137287405332</v>
      </c>
      <c r="CF3" s="121">
        <f ca="1">TestsLogestB*EXP(LN(TestsLogestM*CD3))</f>
        <v>33795.111302717116</v>
      </c>
      <c r="CG3" s="25"/>
      <c r="CI3" s="39"/>
      <c r="CK3"/>
      <c r="CW3" s="25"/>
      <c r="DE3" s="25"/>
      <c r="DG3"/>
      <c r="DP3" s="25"/>
      <c r="DQ3" s="25"/>
      <c r="DT3"/>
      <c r="DU3"/>
      <c r="EO3" s="25"/>
      <c r="EP3" s="69"/>
      <c r="EQ3" s="26"/>
      <c r="ER3" s="26"/>
      <c r="ES3"/>
      <c r="ET3"/>
      <c r="EU3" s="83"/>
      <c r="EV3" s="26"/>
      <c r="EW3" s="82"/>
      <c r="EX3" s="82"/>
      <c r="EY3" s="84"/>
      <c r="EZ3"/>
      <c r="FA3" s="26"/>
      <c r="FB3" s="25"/>
      <c r="FC3" s="84"/>
      <c r="FD3" s="84"/>
      <c r="FE3"/>
      <c r="FF3" s="26"/>
      <c r="FG3" s="25"/>
      <c r="FH3"/>
      <c r="FI3" s="72"/>
      <c r="FK3"/>
      <c r="FM3" s="19"/>
      <c r="FN3" s="72"/>
      <c r="FO3" s="25"/>
      <c r="FP3">
        <f ca="1"/>
        <v>5.9771208768992475E-3</v>
      </c>
      <c r="FQ3">
        <f ca="1"/>
        <v>262.33287295943251</v>
      </c>
      <c r="FS3">
        <f ca="1"/>
        <v>2.5958306145060692E-3</v>
      </c>
      <c r="FT3">
        <f ca="1"/>
        <v>113.92971914810833</v>
      </c>
      <c r="FY3">
        <f ca="1"/>
        <v>5.9771208768992475E-3</v>
      </c>
      <c r="FZ3">
        <f ca="1"/>
        <v>262.33287295943251</v>
      </c>
    </row>
    <row r="4" spans="1:183" ht="19.5" thickBot="1" x14ac:dyDescent="0.35">
      <c r="A4" s="28" t="s">
        <v>213</v>
      </c>
      <c r="P4" s="106" t="s">
        <v>957</v>
      </c>
      <c r="Q4">
        <v>1666</v>
      </c>
      <c r="R4" s="19">
        <f>$Q$2/Q4</f>
        <v>1.6512605042016806</v>
      </c>
      <c r="W4" s="25"/>
      <c r="X4" s="25"/>
      <c r="AI4" s="110"/>
      <c r="AJ4" s="110"/>
      <c r="AK4" s="110"/>
      <c r="AL4" s="110"/>
      <c r="AM4" s="110"/>
      <c r="AN4" s="110"/>
      <c r="AQ4" s="128">
        <f ca="1"/>
        <v>0.82923319702922871</v>
      </c>
      <c r="AR4" s="126">
        <f ca="1"/>
        <v>0.96742614202695987</v>
      </c>
      <c r="BR4" s="106"/>
      <c r="CB4" s="128">
        <f ca="1"/>
        <v>0.96408557091496638</v>
      </c>
      <c r="CC4" s="126">
        <f ca="1"/>
        <v>0.18630143037254265</v>
      </c>
      <c r="CD4" s="122">
        <v>10</v>
      </c>
      <c r="CE4" s="125">
        <f ca="1">TestsLogestB*(TestsLogestM^CD4)</f>
        <v>19052.749712818077</v>
      </c>
      <c r="CF4" s="123">
        <f ca="1">TestsLogestB*EXP(LN(TestsLogestM*CD4))</f>
        <v>67590.222605434217</v>
      </c>
      <c r="CG4" s="25"/>
      <c r="CI4" s="39"/>
      <c r="CK4"/>
      <c r="CW4" s="25"/>
      <c r="DE4" s="25"/>
      <c r="DG4"/>
      <c r="DP4" s="25"/>
      <c r="DQ4" s="25"/>
      <c r="DT4" s="17" t="s">
        <v>171</v>
      </c>
      <c r="DU4"/>
      <c r="EM4" s="11"/>
      <c r="EO4" s="25"/>
      <c r="EP4" s="69"/>
      <c r="EQ4" s="26"/>
      <c r="ER4" s="26"/>
      <c r="ES4"/>
      <c r="ET4"/>
      <c r="EU4" s="83"/>
      <c r="EV4" s="26"/>
      <c r="EW4" s="82"/>
      <c r="EX4" s="82"/>
      <c r="EY4" s="84"/>
      <c r="EZ4"/>
      <c r="FA4" s="26"/>
      <c r="FB4" s="25"/>
      <c r="FC4" s="84"/>
      <c r="FD4" s="84"/>
      <c r="FE4"/>
      <c r="FF4" s="26"/>
      <c r="FG4" s="25"/>
      <c r="FH4"/>
      <c r="FI4" s="72"/>
      <c r="FK4"/>
      <c r="FM4" s="19"/>
      <c r="FN4" s="72"/>
      <c r="FO4" s="25"/>
      <c r="FP4">
        <f ca="1"/>
        <v>0.82923319702922871</v>
      </c>
      <c r="FQ4">
        <f ca="1"/>
        <v>0.96742614202695987</v>
      </c>
      <c r="FS4">
        <f ca="1"/>
        <v>0.8292331970292286</v>
      </c>
      <c r="FT4">
        <f ca="1"/>
        <v>0.42014783513126025</v>
      </c>
      <c r="FY4">
        <f ca="1"/>
        <v>0.82923319702922871</v>
      </c>
      <c r="FZ4">
        <f ca="1"/>
        <v>0.96742614202695987</v>
      </c>
    </row>
    <row r="5" spans="1:183" x14ac:dyDescent="0.25">
      <c r="N5" s="13"/>
      <c r="W5" s="25"/>
      <c r="X5" s="25"/>
      <c r="AQ5" s="129">
        <f ca="1"/>
        <v>320.4919811803037</v>
      </c>
      <c r="AR5" s="130">
        <f ca="1"/>
        <v>66</v>
      </c>
      <c r="BG5">
        <f ca="1">COUNTA(tblData[Date])-COUNT(tblData[Skorea LogiP(t) Per Capita])</f>
        <v>29</v>
      </c>
      <c r="BR5" s="106"/>
      <c r="CB5" s="129">
        <f ca="1"/>
        <v>697.94301294447837</v>
      </c>
      <c r="CC5" s="130">
        <f ca="1"/>
        <v>26</v>
      </c>
      <c r="CD5"/>
      <c r="CG5" s="25"/>
      <c r="CI5" s="39"/>
      <c r="CK5"/>
      <c r="CW5" s="25"/>
      <c r="DE5" s="25"/>
      <c r="DG5"/>
      <c r="DP5" s="25">
        <f>AuMaxCasespc</f>
        <v>2013.8779372338747</v>
      </c>
      <c r="DQ5" s="25"/>
      <c r="DT5"/>
      <c r="DU5"/>
      <c r="EO5" s="25"/>
      <c r="EP5" s="69"/>
      <c r="EQ5" s="26"/>
      <c r="ER5" s="26"/>
      <c r="ES5"/>
      <c r="ET5"/>
      <c r="EU5" s="11"/>
      <c r="EV5" s="26"/>
      <c r="EW5" s="82"/>
      <c r="EX5" s="82"/>
      <c r="EY5" s="84"/>
      <c r="EZ5"/>
      <c r="FA5" s="26"/>
      <c r="FB5" s="25"/>
      <c r="FC5" s="84"/>
      <c r="FD5" s="84"/>
      <c r="FE5"/>
      <c r="FF5" s="26"/>
      <c r="FG5" s="25"/>
      <c r="FH5"/>
      <c r="FI5" s="72"/>
      <c r="FK5"/>
      <c r="FM5" s="19"/>
      <c r="FN5" s="72"/>
      <c r="FO5" s="25"/>
      <c r="FP5">
        <f ca="1"/>
        <v>320.4919811803037</v>
      </c>
      <c r="FQ5">
        <f ca="1"/>
        <v>66</v>
      </c>
      <c r="FS5">
        <f ca="1"/>
        <v>320.49198118030375</v>
      </c>
      <c r="FT5">
        <f ca="1"/>
        <v>66</v>
      </c>
      <c r="FY5">
        <f ca="1"/>
        <v>320.4919811803037</v>
      </c>
      <c r="FZ5">
        <f ca="1"/>
        <v>66</v>
      </c>
    </row>
    <row r="6" spans="1:183" s="25" customFormat="1" x14ac:dyDescent="0.25">
      <c r="E6" s="25">
        <f>2032-114</f>
        <v>1918</v>
      </c>
      <c r="M6" s="11"/>
      <c r="N6" s="19"/>
      <c r="O6" s="19"/>
      <c r="P6" s="106"/>
      <c r="U6" s="19"/>
      <c r="V6" s="25">
        <f>INDEX(tblPopulation[Population],MATCH($U$10,tblPopulation[Country],0),1)</f>
        <v>1439323776</v>
      </c>
      <c r="AA6" s="142"/>
      <c r="AQ6" s="129">
        <f ca="1"/>
        <v>299.95272063850513</v>
      </c>
      <c r="AR6" s="130">
        <f ca="1"/>
        <v>61.770280458293051</v>
      </c>
      <c r="AS6" s="25" t="str">
        <f ca="1">"NSW Exponential Growth: "&amp;CHAR(10)&amp;"y = " &amp; TEXT(NSWLogestB,"##0.#") &amp; " x " &amp; TEXT(NSWLogestM,"#0.###") &amp; "^ [day#]"&amp;", r^2="&amp;TEXT(100*AQ4,"##.#")&amp;"%"&amp;" mse="&amp;TEXT(NSWLogestmsq,"#####")</f>
        <v>NSW Exponential Growth: 
y = 0.8 x 1.113^ [day#], r^2=82.9% mse=441</v>
      </c>
      <c r="AY6" s="11"/>
      <c r="AZ6" s="11"/>
      <c r="BC6" s="137"/>
      <c r="BG6" s="25">
        <f ca="1">COUNT(tblData[Skorea LogiP(t) Per Capita])</f>
        <v>78</v>
      </c>
      <c r="BH6" s="137"/>
      <c r="BP6" s="11"/>
      <c r="BR6" s="106"/>
      <c r="BU6" s="106"/>
      <c r="BZ6" s="11"/>
      <c r="CB6" s="129">
        <f ca="1"/>
        <v>24.224361705852228</v>
      </c>
      <c r="CC6" s="130">
        <f ca="1"/>
        <v>0.90241379693023938</v>
      </c>
      <c r="CD6" s="25" t="str">
        <f ca="1">"Exponential Growth: "&amp;CHAR(10)&amp;"y = " &amp; TEXT(TestsLogestB,"##0.#") &amp; " x " &amp; TEXT(TestsLogestM,"#0.###") &amp; "^ [day number]"&amp;", r^2="&amp;TEXT(100*CB4,"##.#")&amp;"%"&amp;" mse="&amp;TEXT(TestsLogestMsq,"#####")</f>
        <v>Exponential Growth: 
y = 6023.9 x 1.122^ [day number], r^2=96.4% mse=56355</v>
      </c>
      <c r="CI6" s="39"/>
      <c r="CV6" s="26"/>
      <c r="DK6" s="30" t="s">
        <v>1648</v>
      </c>
      <c r="DP6" s="25">
        <f>1+MATCH(AuMaxCasespc,tblData[China Cases Per Capita],1)</f>
        <v>72</v>
      </c>
      <c r="DT6" s="25" t="s">
        <v>1251</v>
      </c>
      <c r="EC6" s="25">
        <f>MIN(tblData[US Cases Per Capita])</f>
        <v>3.037411069235945E-2</v>
      </c>
      <c r="EK6" s="69"/>
      <c r="EL6" s="26"/>
      <c r="EM6" s="69"/>
      <c r="EN6" s="26"/>
      <c r="EP6" s="69"/>
      <c r="EQ6" s="26"/>
      <c r="ER6" s="26"/>
      <c r="EU6" s="83"/>
      <c r="EV6" s="26"/>
      <c r="EW6" s="82"/>
      <c r="EX6" s="82"/>
      <c r="EY6" s="84"/>
      <c r="FA6" s="26"/>
      <c r="FC6" s="84"/>
      <c r="FD6" s="84"/>
      <c r="FF6" s="26"/>
      <c r="FI6" s="72"/>
      <c r="FM6" s="19"/>
      <c r="FN6" s="72"/>
      <c r="FP6" s="25">
        <f ca="1"/>
        <v>299.95272063850513</v>
      </c>
      <c r="FQ6" s="25">
        <f ca="1"/>
        <v>61.770280458293051</v>
      </c>
      <c r="FS6" s="25">
        <f ca="1"/>
        <v>56.574591662879016</v>
      </c>
      <c r="FT6" s="25">
        <f ca="1"/>
        <v>11.650597422121987</v>
      </c>
      <c r="FY6" s="25">
        <f ca="1"/>
        <v>299.95272063850513</v>
      </c>
      <c r="FZ6" s="25">
        <f ca="1"/>
        <v>61.770280458293051</v>
      </c>
    </row>
    <row r="7" spans="1:183" s="25" customFormat="1" x14ac:dyDescent="0.25">
      <c r="B7" s="25" t="s">
        <v>1002</v>
      </c>
      <c r="M7" s="13"/>
      <c r="N7" s="19"/>
      <c r="O7" s="19"/>
      <c r="P7" s="106"/>
      <c r="U7" s="19"/>
      <c r="AB7" s="13"/>
      <c r="AS7" s="25" t="str">
        <f ca="1">"NSW Logistic Growth Limit " &amp; TEXT(DD12,"##0.00E+0") &amp; " mse = " &amp; TEXT( msqNSW,"#####")</f>
        <v>NSW Logistic Growth Limit 3.00E+3 mse = 23</v>
      </c>
      <c r="AY7" s="11"/>
      <c r="AZ7" s="11"/>
      <c r="BC7" s="137"/>
      <c r="BH7" s="137"/>
      <c r="BP7" s="11"/>
      <c r="BR7" s="106"/>
      <c r="BU7" s="106"/>
      <c r="BZ7" s="11"/>
      <c r="CD7" s="25" t="str">
        <f>"Test Logistic Growth Limit " &amp; TEXT(DD19,"##0.00E+0") &amp; " mse = " &amp; TEXT( msqTests,"#####")</f>
        <v>Test Logistic Growth Limit 127.23E+3 mse = 1594</v>
      </c>
      <c r="CI7" s="39"/>
      <c r="CK7" s="26"/>
      <c r="DK7" s="144" t="s">
        <v>2146</v>
      </c>
      <c r="DT7" s="25" t="str">
        <f>"COVID 19  " &amp; TEXT(MAX(DO11:DO21),"ddd dd-mmm-yyyy")&amp;IF(PopScaling=0,"",", "&amp;PerPersonLabel)</f>
        <v>COVID 19  Sat 21-Nov-2020, Cases per 10 M population</v>
      </c>
      <c r="EC7" s="25">
        <f>1+MATCH(solvMsgs!MinCases, tblData[US Cases Per Capita],1)</f>
        <v>53</v>
      </c>
      <c r="EK7" s="69"/>
      <c r="EL7" s="26"/>
      <c r="EM7" s="69"/>
      <c r="EN7" s="26"/>
      <c r="EP7" s="69"/>
      <c r="EQ7" s="26"/>
      <c r="ER7" s="26"/>
      <c r="EU7" s="83"/>
      <c r="EV7" s="26"/>
      <c r="EW7" s="82"/>
      <c r="EX7" s="82"/>
      <c r="EY7" s="84"/>
      <c r="FA7" s="26"/>
      <c r="FC7" s="84"/>
      <c r="FD7" s="84"/>
      <c r="FF7" s="26"/>
      <c r="FI7" s="72"/>
      <c r="FK7" s="72"/>
      <c r="FM7" s="19"/>
      <c r="FN7" s="72"/>
    </row>
    <row r="8" spans="1:183" x14ac:dyDescent="0.25">
      <c r="B8" s="42" t="s">
        <v>548</v>
      </c>
      <c r="C8" s="40"/>
      <c r="D8" s="40"/>
      <c r="F8" s="40"/>
      <c r="G8" s="40"/>
      <c r="H8" s="40"/>
      <c r="I8" s="40"/>
      <c r="J8" s="40"/>
      <c r="K8" s="41">
        <f>NSWpop/L9</f>
        <v>10000000</v>
      </c>
      <c r="L8" s="41">
        <f>INDEX(tblPopulation[Population],MATCH("NSW",tblPopulation[State],0),1)</f>
        <v>8080000</v>
      </c>
      <c r="N8" s="41">
        <f>INDEX(tblPopulation[Population],MATCH(M$10,tblPopulation[Country],0),1)</f>
        <v>60485000</v>
      </c>
      <c r="P8" s="106">
        <f>INDEX(tblPopulation[Population],MATCH(O$10,tblPopulation[CtryAbbrev],0),1)</f>
        <v>329227746</v>
      </c>
      <c r="Q8" s="41"/>
      <c r="R8" s="41">
        <f>INDEX(tblPopulation[Population],MATCH(Q$10,tblPopulation[CtryAbbrev],0),1)</f>
        <v>51400000</v>
      </c>
      <c r="S8" s="41"/>
      <c r="T8" s="107">
        <f>INDEX(tblPopulation[Population],MATCH(S$10,tblPopulation[CtryAbbrev],0),1)</f>
        <v>66440000</v>
      </c>
      <c r="U8" s="41"/>
      <c r="V8" s="41">
        <f>INDEX(tblPopulation[Population],MATCH(U$10,tblPopulation[Country],0),1)</f>
        <v>1439323776</v>
      </c>
      <c r="W8" s="41"/>
      <c r="X8" s="41">
        <f>INDEX(tblPopulation[Population],MATCH(W$10,tblPopulation[Country],0),1)</f>
        <v>5850000</v>
      </c>
      <c r="Y8" s="41"/>
      <c r="Z8" s="107">
        <f>INDEX(tblPopulation[Population],$AC$2,1)</f>
        <v>5230000</v>
      </c>
      <c r="AA8" s="40"/>
      <c r="AB8" s="40"/>
      <c r="AC8" s="40"/>
      <c r="AD8" s="40"/>
      <c r="AE8" s="107">
        <v>25364000</v>
      </c>
      <c r="AF8" s="41"/>
      <c r="AG8" s="41"/>
      <c r="AH8" s="40"/>
      <c r="AI8" s="40"/>
      <c r="AJ8" s="107">
        <f>AuPop</f>
        <v>25364000</v>
      </c>
      <c r="AK8" s="40"/>
      <c r="AL8" s="40"/>
      <c r="AM8" s="41"/>
      <c r="AN8" s="41"/>
      <c r="AO8" s="40"/>
      <c r="AP8" s="40"/>
      <c r="AQ8" s="40"/>
      <c r="AR8" s="41">
        <f>NSWpop</f>
        <v>8080000</v>
      </c>
      <c r="AS8" s="25" t="s">
        <v>1970</v>
      </c>
      <c r="AU8" s="11">
        <f ca="1">SQRT(SUM(tblData[NSW LOGEST Sq Err])/COUNT(tblData[NSW LOGEST Sq Err]))</f>
        <v>441.02600695307279</v>
      </c>
      <c r="AV8" s="11"/>
      <c r="AW8" s="41">
        <f>ItalyPop</f>
        <v>60485000</v>
      </c>
      <c r="AX8" s="41"/>
      <c r="BA8" s="40"/>
      <c r="BB8" s="41">
        <f>USpop</f>
        <v>329227746</v>
      </c>
      <c r="BD8" s="137"/>
      <c r="BE8" s="137"/>
      <c r="BF8" s="41"/>
      <c r="BG8" s="41">
        <f>SKoreaPop</f>
        <v>51400000</v>
      </c>
      <c r="BH8" s="41"/>
      <c r="BI8" s="41"/>
      <c r="BJ8" s="41"/>
      <c r="BK8" s="138"/>
      <c r="BL8" s="41">
        <f>UKPop</f>
        <v>66440000</v>
      </c>
      <c r="BM8" s="41"/>
      <c r="BN8" s="41"/>
      <c r="BO8" s="41"/>
      <c r="BP8" s="41"/>
      <c r="BQ8" s="41">
        <f>ChinaPop</f>
        <v>1439323776</v>
      </c>
      <c r="BR8" s="41"/>
      <c r="BS8" s="41"/>
      <c r="BT8" s="41"/>
      <c r="BU8" s="11"/>
      <c r="BV8" s="41">
        <f>SingaporePop</f>
        <v>5850000</v>
      </c>
      <c r="BW8" s="41"/>
      <c r="BX8" s="41"/>
      <c r="BY8" s="41"/>
      <c r="BZ8" s="106"/>
      <c r="CA8" s="106">
        <f>INDEX(tblPopulation[Population],GenMatch,1)</f>
        <v>5230000</v>
      </c>
      <c r="CB8" s="41"/>
      <c r="CC8" s="41"/>
      <c r="CD8" s="41"/>
      <c r="CE8"/>
      <c r="CF8" s="11"/>
      <c r="CG8" s="11"/>
      <c r="CH8" s="11"/>
      <c r="CI8" s="11"/>
      <c r="CJ8" s="11"/>
      <c r="CK8"/>
      <c r="CL8"/>
      <c r="CN8" s="41">
        <f>NSWpop</f>
        <v>8080000</v>
      </c>
      <c r="CO8" t="s">
        <v>1553</v>
      </c>
      <c r="CP8" s="11">
        <f>SQRT(SUM(tblData[Test LOGEST Sq Err])/COUNT(tblData[Test LOGEST Sq Err]))</f>
        <v>56355.159306559239</v>
      </c>
      <c r="CQ8" s="25"/>
      <c r="CR8" s="41">
        <f>NSWpop</f>
        <v>8080000</v>
      </c>
      <c r="CS8" s="39"/>
      <c r="CU8" s="25"/>
      <c r="CW8" s="25"/>
      <c r="CX8"/>
      <c r="CY8"/>
      <c r="DJ8" s="25"/>
      <c r="DN8" s="25"/>
      <c r="DO8" s="25"/>
      <c r="DR8"/>
      <c r="DS8"/>
      <c r="DT8"/>
      <c r="DU8"/>
      <c r="DY8" s="25"/>
      <c r="DZ8" s="25"/>
      <c r="EA8" s="25"/>
      <c r="EB8" s="25"/>
      <c r="EC8" s="25" t="str">
        <f>"COVID 19 Least Sq Err Logistic Eqns at " &amp; TEXT(MAX(DO16:DO23),"ddd dd-mmm-yyyy")&amp;IF(PopScaling=0,"",", "&amp;PerPersonLabel)</f>
        <v>COVID 19 Least Sq Err Logistic Eqns at Thu 02-Apr-2020, Cases per 10 M population</v>
      </c>
      <c r="EK8"/>
      <c r="EL8" s="144">
        <f>INDEX(tblData[Date],EC7)</f>
        <v>43904</v>
      </c>
      <c r="EM8"/>
      <c r="EN8"/>
      <c r="EO8"/>
      <c r="EP8"/>
      <c r="EQ8"/>
      <c r="ER8"/>
      <c r="ES8"/>
      <c r="ET8" s="69"/>
      <c r="EU8" s="26"/>
      <c r="EV8" s="69" t="s">
        <v>1000</v>
      </c>
      <c r="EX8" s="25"/>
      <c r="EY8" s="69"/>
      <c r="EZ8" s="26"/>
      <c r="FA8" s="26"/>
      <c r="FC8"/>
      <c r="FD8" s="83"/>
      <c r="FE8" s="26"/>
      <c r="FF8" s="82"/>
      <c r="FG8" s="82"/>
      <c r="FH8" s="84"/>
      <c r="FI8"/>
      <c r="FJ8" s="26"/>
      <c r="FK8" s="25"/>
      <c r="FL8" s="84"/>
      <c r="FM8" s="84"/>
      <c r="FO8" s="26"/>
      <c r="FP8" s="25"/>
      <c r="FQ8"/>
      <c r="FR8" s="72"/>
      <c r="FS8" s="72"/>
      <c r="FU8" s="72"/>
      <c r="FV8" s="19"/>
      <c r="FW8" s="72"/>
      <c r="FX8" s="25"/>
    </row>
    <row r="9" spans="1:183" s="25" customFormat="1" ht="15.75" thickBot="1" x14ac:dyDescent="0.3">
      <c r="B9" s="42" t="s">
        <v>550</v>
      </c>
      <c r="C9" s="40"/>
      <c r="D9" s="40"/>
      <c r="F9" s="40"/>
      <c r="G9" s="40"/>
      <c r="H9" s="40"/>
      <c r="I9" s="40"/>
      <c r="J9" s="40"/>
      <c r="K9" s="40"/>
      <c r="L9" s="41">
        <f>IF(PopScaling=0,1,NSWpop/PerPerson)</f>
        <v>0.80800000000000005</v>
      </c>
      <c r="N9" s="41">
        <f>IF(PopScaling=0,1,ItalyPop/PerPerson)</f>
        <v>6.0484999999999998</v>
      </c>
      <c r="P9" s="106">
        <f>IF(PopScaling=0,1,USpop/PerPerson)</f>
        <v>32.922774599999997</v>
      </c>
      <c r="Q9" s="41"/>
      <c r="R9" s="41">
        <f>IF(PopScaling=0,1,SKoreaPop/PerPerson)</f>
        <v>5.14</v>
      </c>
      <c r="S9" s="41"/>
      <c r="T9" s="41">
        <f>IF(PopScaling=0,1,UKPop/PerPerson)</f>
        <v>6.6440000000000001</v>
      </c>
      <c r="U9" s="41"/>
      <c r="V9" s="41">
        <f>IF(PopScaling=0,1,ChinaPop/PerPerson)</f>
        <v>143.9323776</v>
      </c>
      <c r="W9" s="41"/>
      <c r="X9" s="41">
        <f>IF(PopScaling=0,1,SingaporePop/PerPerson)</f>
        <v>0.58499999999999996</v>
      </c>
      <c r="Y9" s="41"/>
      <c r="Z9" s="41">
        <f>IF(PopScaling=0,1,GenPop/PerPerson)</f>
        <v>0.52300000000000002</v>
      </c>
      <c r="AA9" s="40"/>
      <c r="AB9" s="40"/>
      <c r="AC9" s="40"/>
      <c r="AD9" s="40"/>
      <c r="AE9" s="40">
        <f>IF(PopScaling=0,1,AuPop/PerPerson)</f>
        <v>2.5364</v>
      </c>
      <c r="AF9" s="40"/>
      <c r="AG9" s="40"/>
      <c r="AH9" s="40"/>
      <c r="AI9" s="40"/>
      <c r="AJ9" s="40">
        <f>IF(PopScaling=0,1,AuPop/PerPerson)</f>
        <v>2.5364</v>
      </c>
      <c r="AK9" s="40"/>
      <c r="AL9" s="40"/>
      <c r="AM9" s="41"/>
      <c r="AN9" s="41"/>
      <c r="AO9" s="40"/>
      <c r="AP9" s="40"/>
      <c r="AQ9" s="40"/>
      <c r="AR9" s="41">
        <f>IF(PopScaling=0,1,AR8/10000000)</f>
        <v>0.80800000000000005</v>
      </c>
      <c r="AS9" s="25" t="s">
        <v>1969</v>
      </c>
      <c r="AU9" s="20">
        <f ca="1">msqNSW</f>
        <v>22.641288157537449</v>
      </c>
      <c r="AV9" s="20"/>
      <c r="AW9" s="41">
        <f>IF(PopScaling=0,1,AW8/10000000)</f>
        <v>6.0484999999999998</v>
      </c>
      <c r="AX9" s="41"/>
      <c r="AY9" s="11"/>
      <c r="AZ9" s="11"/>
      <c r="BA9" s="40"/>
      <c r="BB9" s="41">
        <f>IF(PopScaling=0,1,BB8/10000000)</f>
        <v>32.922774599999997</v>
      </c>
      <c r="BC9" s="137"/>
      <c r="BD9" s="137"/>
      <c r="BE9" s="137"/>
      <c r="BF9" s="41"/>
      <c r="BG9" s="41">
        <f>IF(PopScaling=0,1,BG8/10000000)</f>
        <v>5.14</v>
      </c>
      <c r="BH9" s="41"/>
      <c r="BI9" s="41"/>
      <c r="BJ9" s="41"/>
      <c r="BK9" s="138"/>
      <c r="BL9" s="41">
        <f>IF(PopScaling=0,1,BL8/10000000)</f>
        <v>6.6440000000000001</v>
      </c>
      <c r="BM9" s="41"/>
      <c r="BN9" s="41"/>
      <c r="BO9" s="41"/>
      <c r="BP9" s="41"/>
      <c r="BQ9" s="41">
        <f>IF(PopScaling=0,1,BQ8/10000000)</f>
        <v>143.9323776</v>
      </c>
      <c r="BR9" s="41"/>
      <c r="BS9" s="41"/>
      <c r="BT9" s="41"/>
      <c r="BU9" s="11"/>
      <c r="BV9" s="41">
        <f>IF(PopScaling=0,1,BV8/10000000)</f>
        <v>0.58499999999999996</v>
      </c>
      <c r="BW9" s="41"/>
      <c r="BX9" s="41"/>
      <c r="BY9" s="41"/>
      <c r="BZ9" s="106"/>
      <c r="CA9" s="106">
        <f>IF(PopScaling=0,1,CA8/10000000)</f>
        <v>0.52300000000000002</v>
      </c>
      <c r="CB9" s="41"/>
      <c r="CC9" s="41"/>
      <c r="CD9" s="41"/>
      <c r="CF9" s="11"/>
      <c r="CG9" s="11"/>
      <c r="CH9" s="11"/>
      <c r="CI9" s="11"/>
      <c r="CJ9" s="11"/>
      <c r="CN9" s="41">
        <f>IF(PopScaling=0,1,CN8/10000000)</f>
        <v>0.80800000000000005</v>
      </c>
      <c r="CO9" s="25" t="s">
        <v>1969</v>
      </c>
      <c r="CP9" s="20">
        <f>msqTests</f>
        <v>1594.0108269600785</v>
      </c>
      <c r="CR9" s="41">
        <f>IF(PopScaling=0,1,CR8/10000000)</f>
        <v>0.80800000000000005</v>
      </c>
      <c r="CS9" s="39"/>
      <c r="EC9" s="25" t="str">
        <f>"COVID 19 Least Sq Err Logistic Eqns at " &amp; TEXT(MAX(DO16:DO23),"ddd dd-mmm-yyyy")&amp;IF(PopScaling=0,"",", "&amp;PerPersonLabel)</f>
        <v>COVID 19 Least Sq Err Logistic Eqns at Thu 02-Apr-2020, Cases per 10 M population</v>
      </c>
      <c r="EG9" s="25" t="s">
        <v>724</v>
      </c>
      <c r="ET9" s="69"/>
      <c r="EU9" s="26"/>
      <c r="EV9" s="69"/>
      <c r="EW9" s="26"/>
      <c r="EY9" s="69"/>
      <c r="EZ9" s="26"/>
      <c r="FA9" s="26"/>
      <c r="FD9" s="83"/>
      <c r="FE9" s="26"/>
      <c r="FF9" s="82"/>
      <c r="FG9" s="82"/>
      <c r="FH9" s="84"/>
      <c r="FJ9" s="26"/>
      <c r="FL9" s="84"/>
      <c r="FM9" s="84"/>
      <c r="FO9" s="26"/>
      <c r="FR9" s="72"/>
      <c r="FS9" s="72"/>
      <c r="FU9" s="72"/>
      <c r="FV9" s="19"/>
      <c r="FW9" s="72"/>
    </row>
    <row r="10" spans="1:183" s="14" customFormat="1" ht="69.75" customHeight="1" x14ac:dyDescent="0.25">
      <c r="B10" s="14" t="s">
        <v>154</v>
      </c>
      <c r="C10" s="14" t="s">
        <v>66</v>
      </c>
      <c r="D10" s="60" t="s">
        <v>197</v>
      </c>
      <c r="E10" s="60" t="s">
        <v>47</v>
      </c>
      <c r="F10" s="60" t="s">
        <v>117</v>
      </c>
      <c r="G10" s="60" t="s">
        <v>50</v>
      </c>
      <c r="H10" s="60" t="s">
        <v>62</v>
      </c>
      <c r="I10" s="60" t="s">
        <v>106</v>
      </c>
      <c r="J10" s="60" t="s">
        <v>49</v>
      </c>
      <c r="K10" s="60" t="s">
        <v>95</v>
      </c>
      <c r="L10" s="151" t="s">
        <v>551</v>
      </c>
      <c r="M10" s="150" t="s">
        <v>58</v>
      </c>
      <c r="N10" s="150" t="s">
        <v>552</v>
      </c>
      <c r="O10" s="152" t="s">
        <v>37</v>
      </c>
      <c r="P10" s="153" t="s">
        <v>626</v>
      </c>
      <c r="Q10" s="155" t="s">
        <v>958</v>
      </c>
      <c r="R10" s="155" t="s">
        <v>956</v>
      </c>
      <c r="S10" s="156" t="s">
        <v>937</v>
      </c>
      <c r="T10" s="156" t="s">
        <v>955</v>
      </c>
      <c r="U10" s="157" t="s">
        <v>176</v>
      </c>
      <c r="V10" s="157" t="s">
        <v>625</v>
      </c>
      <c r="W10" s="158" t="s">
        <v>40</v>
      </c>
      <c r="X10" s="158" t="s">
        <v>1282</v>
      </c>
      <c r="Y10" s="105" t="s">
        <v>1365</v>
      </c>
      <c r="Z10" s="105" t="s">
        <v>1362</v>
      </c>
      <c r="AA10" s="150" t="s">
        <v>163</v>
      </c>
      <c r="AB10" s="14" t="s">
        <v>212</v>
      </c>
      <c r="AC10" s="157" t="s">
        <v>368</v>
      </c>
      <c r="AD10" s="155" t="s">
        <v>959</v>
      </c>
      <c r="AE10" s="156" t="s">
        <v>954</v>
      </c>
      <c r="AF10" s="158" t="s">
        <v>1283</v>
      </c>
      <c r="AG10" s="105" t="s">
        <v>1361</v>
      </c>
      <c r="AH10" s="46" t="s">
        <v>168</v>
      </c>
      <c r="AI10" s="46" t="s">
        <v>682</v>
      </c>
      <c r="AJ10" s="64" t="s">
        <v>683</v>
      </c>
      <c r="AK10" s="46" t="s">
        <v>684</v>
      </c>
      <c r="AL10" s="64" t="s">
        <v>686</v>
      </c>
      <c r="AM10" s="46" t="s">
        <v>685</v>
      </c>
      <c r="AN10" s="46" t="s">
        <v>2136</v>
      </c>
      <c r="AO10" s="46" t="s">
        <v>2014</v>
      </c>
      <c r="AP10" s="151" t="s">
        <v>164</v>
      </c>
      <c r="AQ10" s="151" t="s">
        <v>153</v>
      </c>
      <c r="AR10" s="151" t="s">
        <v>165</v>
      </c>
      <c r="AS10" s="151" t="s">
        <v>166</v>
      </c>
      <c r="AT10" s="151" t="s">
        <v>646</v>
      </c>
      <c r="AU10" s="151" t="s">
        <v>2011</v>
      </c>
      <c r="AV10" s="151" t="s">
        <v>2134</v>
      </c>
      <c r="AW10" s="150" t="s">
        <v>174</v>
      </c>
      <c r="AX10" s="150" t="s">
        <v>175</v>
      </c>
      <c r="AY10" s="150" t="s">
        <v>644</v>
      </c>
      <c r="AZ10" s="150" t="s">
        <v>2137</v>
      </c>
      <c r="BA10" s="150" t="s">
        <v>2012</v>
      </c>
      <c r="BB10" s="152" t="s">
        <v>210</v>
      </c>
      <c r="BC10" s="152" t="s">
        <v>211</v>
      </c>
      <c r="BD10" s="152" t="s">
        <v>653</v>
      </c>
      <c r="BE10" s="152" t="s">
        <v>2138</v>
      </c>
      <c r="BF10" s="152" t="s">
        <v>2076</v>
      </c>
      <c r="BG10" s="155" t="s">
        <v>960</v>
      </c>
      <c r="BH10" s="155" t="s">
        <v>961</v>
      </c>
      <c r="BI10" s="155" t="s">
        <v>962</v>
      </c>
      <c r="BJ10" s="155" t="s">
        <v>2142</v>
      </c>
      <c r="BK10" s="155" t="s">
        <v>2021</v>
      </c>
      <c r="BL10" s="156" t="s">
        <v>963</v>
      </c>
      <c r="BM10" s="156" t="s">
        <v>964</v>
      </c>
      <c r="BN10" s="156" t="s">
        <v>965</v>
      </c>
      <c r="BO10" s="156" t="s">
        <v>2141</v>
      </c>
      <c r="BP10" s="156" t="s">
        <v>2077</v>
      </c>
      <c r="BQ10" s="157" t="s">
        <v>384</v>
      </c>
      <c r="BR10" s="157" t="s">
        <v>385</v>
      </c>
      <c r="BS10" s="157" t="s">
        <v>645</v>
      </c>
      <c r="BT10" s="157" t="s">
        <v>2140</v>
      </c>
      <c r="BU10" s="157" t="s">
        <v>2078</v>
      </c>
      <c r="BV10" s="158" t="s">
        <v>1279</v>
      </c>
      <c r="BW10" s="158" t="s">
        <v>1280</v>
      </c>
      <c r="BX10" s="158" t="s">
        <v>1281</v>
      </c>
      <c r="BY10" s="158" t="s">
        <v>2145</v>
      </c>
      <c r="BZ10" s="158" t="s">
        <v>2079</v>
      </c>
      <c r="CA10" s="105" t="s">
        <v>1369</v>
      </c>
      <c r="CB10" s="105" t="s">
        <v>1370</v>
      </c>
      <c r="CC10" s="105" t="s">
        <v>1371</v>
      </c>
      <c r="CD10" s="105" t="s">
        <v>2143</v>
      </c>
      <c r="CE10" s="105" t="s">
        <v>2080</v>
      </c>
      <c r="CF10" s="154" t="s">
        <v>681</v>
      </c>
      <c r="CG10" s="154" t="s">
        <v>189</v>
      </c>
      <c r="CH10" s="154" t="s">
        <v>192</v>
      </c>
      <c r="CI10" s="154" t="s">
        <v>193</v>
      </c>
      <c r="CJ10" s="154" t="s">
        <v>547</v>
      </c>
      <c r="CK10" s="154" t="s">
        <v>545</v>
      </c>
      <c r="CL10" s="154" t="s">
        <v>546</v>
      </c>
      <c r="CM10" s="154" t="s">
        <v>2144</v>
      </c>
      <c r="CN10" s="154" t="s">
        <v>1478</v>
      </c>
      <c r="CO10" s="151" t="s">
        <v>1549</v>
      </c>
      <c r="CP10" s="151" t="s">
        <v>1552</v>
      </c>
      <c r="CQ10" s="151" t="s">
        <v>1965</v>
      </c>
      <c r="CR10" s="151" t="s">
        <v>1966</v>
      </c>
      <c r="CU10" s="1"/>
      <c r="CV10" s="90" t="s">
        <v>1001</v>
      </c>
      <c r="CW10" s="90" t="s">
        <v>1003</v>
      </c>
      <c r="CX10" s="90" t="s">
        <v>155</v>
      </c>
      <c r="CY10" s="90" t="s">
        <v>1004</v>
      </c>
      <c r="CZ10" s="100" t="s">
        <v>523</v>
      </c>
      <c r="DA10" s="91" t="s">
        <v>156</v>
      </c>
      <c r="DB10" s="92" t="s">
        <v>157</v>
      </c>
      <c r="DC10" s="93" t="s">
        <v>158</v>
      </c>
      <c r="DD10" s="94" t="s">
        <v>167</v>
      </c>
      <c r="DE10" s="95" t="s">
        <v>160</v>
      </c>
      <c r="DF10" s="96" t="s">
        <v>2133</v>
      </c>
      <c r="DG10" s="96" t="s">
        <v>2135</v>
      </c>
      <c r="DH10" s="96" t="s">
        <v>161</v>
      </c>
      <c r="DI10" s="97" t="s">
        <v>162</v>
      </c>
      <c r="DJ10" s="98" t="s">
        <v>188</v>
      </c>
      <c r="DK10" s="98" t="s">
        <v>214</v>
      </c>
      <c r="DL10" s="99" t="s">
        <v>1109</v>
      </c>
      <c r="DM10" s="98" t="s">
        <v>521</v>
      </c>
      <c r="DN10" s="136" t="s">
        <v>655</v>
      </c>
      <c r="DO10" s="90" t="s">
        <v>173</v>
      </c>
      <c r="DP10" s="90" t="s">
        <v>172</v>
      </c>
      <c r="DQ10" s="98" t="s">
        <v>488</v>
      </c>
      <c r="DR10" s="98" t="s">
        <v>490</v>
      </c>
      <c r="DS10" s="98" t="s">
        <v>522</v>
      </c>
      <c r="DT10" s="98" t="s">
        <v>673</v>
      </c>
      <c r="DU10" s="90" t="s">
        <v>489</v>
      </c>
      <c r="DV10" s="98" t="s">
        <v>712</v>
      </c>
      <c r="DW10" s="99" t="s">
        <v>708</v>
      </c>
      <c r="DX10" s="99" t="s">
        <v>710</v>
      </c>
      <c r="DY10" s="100" t="s">
        <v>709</v>
      </c>
      <c r="DZ10" s="100" t="s">
        <v>711</v>
      </c>
      <c r="EA10" s="90" t="s">
        <v>1520</v>
      </c>
      <c r="EB10" s="100" t="s">
        <v>1522</v>
      </c>
      <c r="EC10" s="100" t="s">
        <v>1545</v>
      </c>
      <c r="ED10" s="100" t="s">
        <v>1905</v>
      </c>
      <c r="EE10" s="100" t="s">
        <v>2013</v>
      </c>
      <c r="EF10"/>
      <c r="EG10"/>
      <c r="EO10" s="77" t="s">
        <v>154</v>
      </c>
      <c r="EP10" s="78" t="s">
        <v>656</v>
      </c>
      <c r="EQ10" s="79" t="s">
        <v>657</v>
      </c>
      <c r="ER10" s="80"/>
      <c r="EU10" s="159" t="s">
        <v>680</v>
      </c>
      <c r="EV10" s="159" t="s">
        <v>1003</v>
      </c>
      <c r="EW10" s="159" t="s">
        <v>679</v>
      </c>
      <c r="EX10" s="159" t="s">
        <v>1005</v>
      </c>
      <c r="EY10" s="159" t="s">
        <v>523</v>
      </c>
      <c r="EZ10" s="87" t="s">
        <v>156</v>
      </c>
      <c r="FA10" s="88" t="s">
        <v>157</v>
      </c>
      <c r="FB10" s="89" t="s">
        <v>158</v>
      </c>
      <c r="FC10" s="160" t="s">
        <v>167</v>
      </c>
      <c r="FD10" s="160" t="s">
        <v>160</v>
      </c>
      <c r="FE10" s="161" t="s">
        <v>161</v>
      </c>
      <c r="FF10" s="86" t="s">
        <v>162</v>
      </c>
      <c r="FG10" s="162" t="s">
        <v>188</v>
      </c>
      <c r="FH10" s="163" t="s">
        <v>214</v>
      </c>
      <c r="FI10" s="163" t="s">
        <v>1109</v>
      </c>
      <c r="FJ10" s="163" t="s">
        <v>521</v>
      </c>
      <c r="FK10" s="163" t="s">
        <v>655</v>
      </c>
      <c r="FL10" s="163" t="s">
        <v>173</v>
      </c>
      <c r="FM10" s="163" t="s">
        <v>172</v>
      </c>
      <c r="FN10" s="163" t="s">
        <v>488</v>
      </c>
      <c r="FO10" s="163" t="s">
        <v>490</v>
      </c>
      <c r="FP10" s="163" t="s">
        <v>522</v>
      </c>
      <c r="FQ10" s="163" t="s">
        <v>673</v>
      </c>
      <c r="FR10" s="164" t="s">
        <v>489</v>
      </c>
      <c r="FS10" s="164" t="s">
        <v>712</v>
      </c>
      <c r="FT10" s="164" t="s">
        <v>708</v>
      </c>
      <c r="FU10" s="165" t="s">
        <v>710</v>
      </c>
      <c r="FV10" s="166" t="s">
        <v>709</v>
      </c>
      <c r="FW10" s="164" t="s">
        <v>711</v>
      </c>
      <c r="FX10" s="164" t="s">
        <v>1520</v>
      </c>
      <c r="FY10" s="164" t="s">
        <v>1521</v>
      </c>
      <c r="FZ10" s="25"/>
      <c r="GA10" s="25"/>
    </row>
    <row r="11" spans="1:183" x14ac:dyDescent="0.25">
      <c r="B11" s="1">
        <v>43852</v>
      </c>
      <c r="C11">
        <v>0</v>
      </c>
      <c r="D11" s="25">
        <v>0</v>
      </c>
      <c r="E11">
        <v>0</v>
      </c>
      <c r="F11">
        <v>0</v>
      </c>
      <c r="G11">
        <v>0</v>
      </c>
      <c r="H11">
        <v>0</v>
      </c>
      <c r="I11">
        <v>0</v>
      </c>
      <c r="J11">
        <v>0</v>
      </c>
      <c r="K11">
        <v>0</v>
      </c>
      <c r="L11" s="25" t="str">
        <f>IF(ISNUMBER(tblData[[#This Row],[NSW]]),tblData[[#This Row],[New South Wales]]/$L$9,"")</f>
        <v/>
      </c>
      <c r="N11" s="25" t="str">
        <f>IF(ISNUMBER(tblData[Italy]),tblData[Italy]/$N$9,"")</f>
        <v/>
      </c>
      <c r="O11">
        <v>1</v>
      </c>
      <c r="P11" s="106">
        <f>IF(ISNUMBER(tblData[US]),tblData[US]/$P$9,"")</f>
        <v>3.037411069235945E-2</v>
      </c>
      <c r="Q11">
        <v>1</v>
      </c>
      <c r="R11" s="19">
        <f>IF(ISNUMBER(tblData[SKorea]),tblData[SKorea]/$R$9,"")</f>
        <v>0.19455252918287938</v>
      </c>
      <c r="T11" s="25" t="str">
        <f>IF(ISNUMBER(tblData[UK]),tblData[UK]/$T$9,"")</f>
        <v/>
      </c>
      <c r="U11">
        <v>548</v>
      </c>
      <c r="V11" s="20">
        <f>IF(ISNUMBER(tblData[China]),tblData[China]/$V$9,"")</f>
        <v>3.8073434840556684</v>
      </c>
      <c r="W11">
        <v>0</v>
      </c>
      <c r="X11" s="20">
        <f>IF(ISNUMBER(tblData[Singapore]),tblData[Singapore]/$X$9,"")</f>
        <v>0</v>
      </c>
      <c r="Y11"/>
      <c r="Z11" s="20" t="str">
        <f>IF(AND(LEN(tblData[Generic])&gt;0,ISNUMBER(tblData[Generic])),tblData[Generic]/$Z$9,"")</f>
        <v/>
      </c>
      <c r="AA11" s="25" t="str">
        <f ca="1">IF(tblData[[#This Row],[Date]]&lt;StartDt2Italy,"",tblData[[#This Row],[Date]]-ItalyStart)</f>
        <v/>
      </c>
      <c r="AB11" s="25" t="str">
        <f ca="1">IF(tblData[[#This Row],[Date]]&lt;=StartDt2US,"",tblData[[#This Row],[Date]]-USStart)</f>
        <v/>
      </c>
      <c r="AC11" s="25">
        <f ca="1">IF(tblData[[#This Row],[Date]]&lt;StartDt2China,"",tblData[[#This Row],[Date]]-ChinaStart)</f>
        <v>0</v>
      </c>
      <c r="AD11" s="25" t="str">
        <f>IF(tblData[[#This Row],[Date]]&lt;=SKoreaStart,"",tblData[[#This Row],[Date]]-SKoreaStart)</f>
        <v/>
      </c>
      <c r="AE11" s="25" t="str">
        <f ca="1">IF(tblData[[#This Row],[Date]]&lt;=StartDt2UK,"",tblData[[#This Row],[Date]]-UKStart)</f>
        <v/>
      </c>
      <c r="AF11" s="25" t="str">
        <f>IF(tblData[[#This Row],[Date]]&lt;StartDt2Singapore,"",tblData[[#This Row],[Date]]-SingaporeStart)</f>
        <v/>
      </c>
      <c r="AG11" s="25">
        <f ca="1">IF(tblData[[#This Row],[Date]]&lt;StartDt2Generic,"",tblData[[#This Row],[Date]]-GenericStart)</f>
        <v>0</v>
      </c>
      <c r="AH11" t="str">
        <f ca="1">IF(tblData[Date]&gt;StartDt2Au,tblData[Date]-AuStart,"")</f>
        <v/>
      </c>
      <c r="AI11" s="25" t="str">
        <f>IF(tblData[New South Wales]&gt;0,SUM(tblData[[#This Row],[Australian Capital Territory]:[Western Australia]]),"")</f>
        <v/>
      </c>
      <c r="AJ11" s="25" t="str">
        <f>IF(ISNUMBER(tblData[Au]),tblData[Au]/$AE$9,"")</f>
        <v/>
      </c>
      <c r="AK11" s="11" t="str">
        <f ca="1">IF(ISNUMBER(tblData[[#This Row],[Day'# Aust]]),betaAu/(deltaAu+betaPodeltaAu*EXP(-betaAu*tblData[[#This Row],[Day'# Aust]])),"")</f>
        <v/>
      </c>
      <c r="AL11" s="61" t="str">
        <f ca="1">IF(ISNUMBER(tblData[Day'# Aust]),tblData[Au LogiP(t)]/$AJ$9,"")</f>
        <v/>
      </c>
      <c r="AM11" s="11" t="str">
        <f ca="1">IF(AND(tblData[Date]&gt;StartDt2Au,ISNUMBER(tblData[NSW])),(tblData[[#This Row],[Au LogiP(t)]]-tblData[[#This Row],[Au]])^2,"")</f>
        <v/>
      </c>
      <c r="AN11" s="11" t="str">
        <f ca="1">IF(AND(ISNUMBER(tblData[Au]),tblData[Date]&gt;StartDt2Au),(tblData[Au]-AVERAGE(tblData[Au]))^2,"")</f>
        <v/>
      </c>
      <c r="AO11" s="11">
        <f>tblData[[#This Row],[Date]]-Au100dt</f>
        <v>-52</v>
      </c>
      <c r="AP11" t="str">
        <f ca="1">IF(tblData[Date]&gt;StartDt2NSW,tblData[Date]-StartDt2NSW,"")</f>
        <v/>
      </c>
      <c r="AQ11" t="str">
        <f>IF(tblData[[#This Row],[New South Wales]]&gt;0,tblData[[#This Row],[New South Wales]],"")</f>
        <v/>
      </c>
      <c r="AR11" s="11" t="str">
        <f ca="1">IF(tblData[Date]&gt;StartDt2NSW,betaNSW/(deltaNSW+betaPodeltaNSW*EXP(-betaNSW*tblData[[#This Row],[Day '# NSW]])),"")</f>
        <v/>
      </c>
      <c r="AS11" s="12" t="str">
        <f ca="1">IF(AND(ISNUMBER(tblData[NSW]),tblData[Date]&gt;StartDt2NSW),(tblData[[#This Row],[NSW LogiP(t)]]-tblData[[#This Row],[NSW]])^2,"")</f>
        <v/>
      </c>
      <c r="AT11" s="12" t="str">
        <f ca="1">IF(AND(tblData[Date]&gt;StartDt2NSW,ISNUMBER(tblData[Day'# Aust])),tblData[NSW LogiP(t)]/$AR$9,"")</f>
        <v/>
      </c>
      <c r="AU11" s="11">
        <f>tblData[[#This Row],[Date]]-NSW100dt+1</f>
        <v>-48</v>
      </c>
      <c r="AV11" s="11" t="str">
        <f ca="1">IF(AND(ISNUMBER(tblData[NSW]),tblData[Date]&gt;StartDt2NSW),(tblData[NSW]-AVERAGE(tblData[NSW]))^2,"")</f>
        <v/>
      </c>
      <c r="AW11" s="39" t="str">
        <f ca="1">IF(AND(tblData[Date]&gt;StartDt2Italy,ISNUMBER(tblData[Days'# Italy])),betaItaly/(deltaItaly+betaPodeltaItaly*EXP(-betaItaly*tblData[Days'# Italy])),"")</f>
        <v/>
      </c>
      <c r="AX11" s="11" t="str">
        <f ca="1">IF(AND(tblData[Date]&gt;StartDt2Italy,ISNUMBER(tblData[Italy])),(tblData[[#This Row],[Italy LogiP(t)]]-tblData[[#This Row],[Italy]])^2,"")</f>
        <v/>
      </c>
      <c r="AY11" s="11" t="str">
        <f ca="1">IF(AND(tblData[Date]&gt;StartDt2Italy,ISNUMBER(tblData[Days'# Italy])),tblData[[#This Row],[Italy LogiP(t)]]/$AW$9,"")</f>
        <v/>
      </c>
      <c r="AZ11" s="11" t="str">
        <f ca="1">IF(AND(ISNUMBER(tblData[Italy]),tblData[Date]&gt;StartDt2Italy),(tblData[Italy]-AVERAGE(tblData[Italy]))^2,"")</f>
        <v/>
      </c>
      <c r="BA11" s="11">
        <f>tblData[[#This Row],[Date]]-Italy100dt+1</f>
        <v>-35</v>
      </c>
      <c r="BB11" s="11" t="str">
        <f ca="1">IF(AND(tblData[Date]&gt;StartDt2US,ISNUMBER(tblData[[#This Row],[Days'# US]])),betaUS/(deltaUS+betaPodeltaUS*EXP(-betaUS*tblData[Days'# US])),"")</f>
        <v/>
      </c>
      <c r="BC11" s="11" t="str">
        <f ca="1">IF(AND(tblData[Date]&gt;StartDt2US,ISNUMBER(tblData[US])),(tblData[[#This Row],[US LogiP(t)]]-tblData[US])^2,"")</f>
        <v/>
      </c>
      <c r="BD11" s="137" t="str">
        <f ca="1">IF(AND(tblData[Date]&gt;=StartDt2US,ISNUMBER(tblData[[#This Row],[Days'# US]])),tblData[[#This Row],[US LogiP(t)]]/$BB$9,"")</f>
        <v/>
      </c>
      <c r="BE11" s="137" t="str">
        <f ca="1">IF(AND(ISNUMBER(tblData[US]),tblData[Date]&gt;StartDt2US),(tblData[US]-AVERAGE(tblData[US]))^2,"")</f>
        <v/>
      </c>
      <c r="BF11" s="11">
        <f>tblData[[#This Row],[Date]]-US100dt+1</f>
        <v>-51</v>
      </c>
      <c r="BG11" s="11" t="str">
        <f ca="1">IF(tblData[Date]&gt;StartDt2SKorea,betaSKorea/(deltaSKorea+betaPodeltaSKorea*EXP(-betaSKorea*(tblData[Date]-StartDt2SKorea))),"")</f>
        <v/>
      </c>
      <c r="BH11" s="11" t="str">
        <f ca="1">IF(AND(tblData[Date]&gt;StartDt2SKorea,ISNUMBER(tblData[SKorea])),(tblData[[#This Row],[SKorea LogiP(t)]]-tblData[[#This Row],[SKorea]])^2,"")</f>
        <v/>
      </c>
      <c r="BI11" s="11" t="str">
        <f ca="1">IF(tblData[Date]&gt;StartDt2SKorea,tblData[[#This Row],[SKorea LogiP(t)]]/$BG$9,"")</f>
        <v/>
      </c>
      <c r="BJ11" s="11" t="str">
        <f ca="1">IF(AND(ISNUMBER(tblData[SKorea]),tblData[Date]&gt;StartDt2SKorea),(tblData[SKorea]-AVERAGE(tblData[SKorea]))^2,"")</f>
        <v/>
      </c>
      <c r="BK11" s="11">
        <f>tblData[[#This Row],[Date]]-SKorea100dt+1</f>
        <v>-30</v>
      </c>
      <c r="BL11" s="137" t="str">
        <f ca="1">IF(AND(tblData[Date]&gt;StartDt2UK,ISNUMBER(tblData[Days'# UK])),betaUK/(deltaUK+betaPodeltaUK*EXP(-betaUK*tblData[Days'# UK])),"")</f>
        <v/>
      </c>
      <c r="BM11" s="11" t="str">
        <f ca="1">IF(AND(tblData[Date]&gt;StartDt2UK,ISNUMBER(tblData[UK])),(tblData[[#This Row],[UK LogiP(t)]]-tblData[[#This Row],[UK]])^2,"")</f>
        <v/>
      </c>
      <c r="BN11" s="11" t="str">
        <f ca="1">IF(ISNUMBER(tblData[Days'# UK]),tblData[[#This Row],[UK LogiP(t)]]/$BL$9,"")</f>
        <v/>
      </c>
      <c r="BO11" s="137" t="str">
        <f ca="1">IF(AND(ISNUMBER(tblData[UK]),tblData[Date]&gt;StartDt2UK),(tblData[UK]-AVERAGE(tblData[UK]))^2,"")</f>
        <v/>
      </c>
      <c r="BP11" s="11">
        <f>tblData[[#This Row],[Date]]-UK100dt</f>
        <v>-50</v>
      </c>
      <c r="BQ11" s="11">
        <f ca="1">IF(ISNUMBER(tblData[Days'# China]),betaChina/(deltaChina+betaPodeltaChina*EXP(-betaChina*tblData[Days'# China])),"")</f>
        <v>1564.3318847176652</v>
      </c>
      <c r="BR11" s="11">
        <f ca="1">IF(ISNUMBER(tblData[China]),(tblData[[#This Row],[China LogiP(t)]]-tblData[[#This Row],[China]])^2,"")</f>
        <v>1032930.4998937615</v>
      </c>
      <c r="BS11" s="11">
        <f ca="1">tblData[[#This Row],[China LogiP(t)]]/$BQ$9</f>
        <v>10.868519722956798</v>
      </c>
      <c r="BT11" s="137" t="str">
        <f ca="1">IF(AND(ISNUMBER(tblData[China]),tblData[Date]&gt;StartDt2China),(tblData[China]-AVERAGE(tblData[China]))^2,"")</f>
        <v/>
      </c>
      <c r="BU11" s="11">
        <f>tblData[[#This Row],[Date]]-China100dt</f>
        <v>0</v>
      </c>
      <c r="BV11" s="106" t="str">
        <f>IF(ISNUMBER(tblData[Day'# Singapore]),betaSingapore/(deltaSingapore+betaPodeltaSingapore*EXP(-betaSingapore*tblData[Day'# Singapore])),"")</f>
        <v/>
      </c>
      <c r="BW11" s="11" t="str">
        <f>IF(AND(ISNUMBER(tblData[Singapore]),tblData[Date]&gt;=StartDt2Singapore),(tblData[[#This Row],[Singapore LogiP(t)]]-tblData[[#This Row],[Singapore]])^2,"")</f>
        <v/>
      </c>
      <c r="BX11" s="106" t="str">
        <f>IF(ISNUMBER(tblData[Day'# Singapore]),tblData[Singapore LogiP(t)]/$BV$9,"")</f>
        <v/>
      </c>
      <c r="BY11" s="106" t="str">
        <f>IF(AND(ISNUMBER(tblData[Singapore]),tblData[Date]&gt;StartDt2Singapore),(tblData[Singapore]-AVERAGE(tblData[Singapore]))^2,"")</f>
        <v/>
      </c>
      <c r="BZ11" s="11">
        <f>tblData[[#This Row],[Date]]-Singapore100dt+1</f>
        <v>-19</v>
      </c>
      <c r="CA11" s="11" t="str">
        <f ca="1">IF(AND(tblData[Date]&gt;StartDt2Generic,ISNUMBER(tblData[Day'# Generic])),betaGeneric/(deltaGeneric+betaPodeltaGeneric*EXP(-betaGeneric*tblData[Day'# Generic])),"")</f>
        <v/>
      </c>
      <c r="CB11" s="106" t="str">
        <f ca="1">IF(AND(ISNUMBER(tblData[Generic]),tblData[Date]&gt;StartDt2Generic),(tblData[Generic LogiP(t)]-tblData[[#This Row],[Generic]])^2,"")</f>
        <v/>
      </c>
      <c r="CC11" s="104" t="str">
        <f ca="1">IF(AND(ISNUMBER(tblData[Generic]),tblData[Date]&gt;StartDt2Generic),tblData[Generic LogiP(t)]/$CA$9,"")</f>
        <v/>
      </c>
      <c r="CD11" s="106" t="str">
        <f ca="1">IF(AND(ISNUMBER(tblData[Generic]),tblData[Date]&gt;StartDt2Generic),(tblData[Generic]-AVERAGE(tblData[Generic]))^2,"")</f>
        <v/>
      </c>
      <c r="CE11" s="11">
        <f>tblData[[#This Row],[Date]]-Generic100dt+1</f>
        <v>-58</v>
      </c>
      <c r="CG11" s="11"/>
      <c r="CH11" s="11" t="str">
        <f>IF(ISNUMBER(tblData[[#This Row],[Tests]]),tblData[[#This Row],[Tests]]-CH10,"")</f>
        <v/>
      </c>
      <c r="CI11" s="11" t="str">
        <f>IF(ISNUMBER(tblData[[#This Row],[NSW Under Investigation'']]),tblData[[#This Row],[NSW Under Investigation'']]-CG10,"")</f>
        <v/>
      </c>
      <c r="CJ11" s="11"/>
      <c r="CK11" s="11" t="str">
        <f>IF(AND(tblData[[#This Row],[NSW Test Day Number]]&gt;0,ISNUMBER(tblData[[#This Row],[NSW Test Day Number]])),betaTests/(deltaTests+betaPodeltaTests*EXP(-betaTests*tblData[[#This Row],[NSW Test Day Number]])),"")</f>
        <v/>
      </c>
      <c r="CL11" s="11" t="str">
        <f>IF(tblData[Tests]&gt;0,(tblData[[#This Row],[Tests]]-tblData[[#This Row],[NSW Test Logi]])^2,"")</f>
        <v/>
      </c>
      <c r="CM11" s="106" t="str">
        <f>IF(AND(ISNUMBER(tblData[Tests]),tblData[Date]&gt;StartDt2Tests),(tblData[Tests]-AVERAGE(tblData[Tests]))^2,"")</f>
        <v/>
      </c>
      <c r="CN11" s="11" t="str">
        <f>IF(ISNUMBER(tblData[Tests]),tblData[Tests]/$CN$9/100,"")</f>
        <v/>
      </c>
      <c r="CO11" s="11" t="str">
        <f>IF(AND(tblData[[#This Row],[NSW Test Day Number]]&gt;0,ISNUMBER(tblData[[#This Row],[NSW Test Day Number]])),TestsLogestB*TestsLogestM^tblData[[#This Row],[NSW Test Day Number]],"")</f>
        <v/>
      </c>
      <c r="CP11" s="11" t="str">
        <f>IF(AND(tblData[[#This Row],[NSW Test Day Number]]&gt;0,ISNUMBER(tblData[Tests])),(tblData[Tests]-tblData[[#This Row],[NSW Test Per Capita]])^2,"")</f>
        <v/>
      </c>
      <c r="CQ11" s="11" t="str">
        <f ca="1">IF(AND(tblData[Day '# NSW]&gt;0,ISNUMBER(tblData[[#This Row],[Day '# NSW]])),NSWLogestB*NSWLogestM^tblData[[#This Row],[Day '# NSW]]/$CR$9,"")</f>
        <v/>
      </c>
      <c r="CR11" s="39" t="str">
        <f ca="1">IF(AND(ISNUMBER(tblData[NSW]),tblData[Date]&gt;StartDt2NSW),(tblData[NSW]/$CR$9-tblData[[#This Row],[NSW Cases LogEst]])^2,"")</f>
        <v/>
      </c>
      <c r="CS11" s="11"/>
      <c r="CT11" s="11"/>
      <c r="CU11" s="1"/>
      <c r="CV11" t="s">
        <v>48</v>
      </c>
      <c r="CW11" s="168">
        <v>43923.637152777781</v>
      </c>
      <c r="CX11" s="72">
        <f>INDEX(tblPopulation[Day 0],MATCH(tblRuns[[#This Row],[Place]],tblPopulation[Country],0),1)</f>
        <v>43855</v>
      </c>
      <c r="CY11" s="72">
        <f ca="1">INDEX(tblPopulation[Logistic Start2],MATCH($CV11,tblPopulation[Country],0),1)</f>
        <v>43855</v>
      </c>
      <c r="CZ11">
        <v>0</v>
      </c>
      <c r="DA11" s="44">
        <v>0.25308130805396523</v>
      </c>
      <c r="DB11">
        <v>4.0953850247972857E-5</v>
      </c>
      <c r="DC11" s="83">
        <v>1E-3</v>
      </c>
      <c r="DD11">
        <f>betaAu/deltaAu</f>
        <v>6179.670690828204</v>
      </c>
      <c r="DE11" s="19">
        <f ca="1">SQRT(SUM(tblData[AU Sq Err])/COUNT(tblData[AU Sq Err]))</f>
        <v>34.611690822547168</v>
      </c>
      <c r="DF11" s="24">
        <f ca="1">SUM(tblData[AU Mean Devn Sq])</f>
        <v>133498441.49842831</v>
      </c>
      <c r="DG11" s="81">
        <f ca="1">1-(SUM(tblData[AU Sq Err])/SUM(tblData[AU Mean Devn Sq]))</f>
        <v>0.99938979136599537</v>
      </c>
      <c r="DH11" s="83">
        <f>(betaAu/PoAu)-deltaAu</f>
        <v>253.08126710011496</v>
      </c>
      <c r="DI11" s="83">
        <f>tblRuns[d]*1000</f>
        <v>4.0953850247972858E-2</v>
      </c>
      <c r="DJ11" s="26">
        <f t="array" ref="DJ11">MAX(IF(ISNUMBER(tblData[Au]),tblData[Date]))</f>
        <v>44156</v>
      </c>
      <c r="DK11" s="26" t="str">
        <f>Cengnotation(tblRuns[[#This Row],[Asymptote b/d]],3)</f>
        <v>6.18 k</v>
      </c>
      <c r="DL11" s="106">
        <f ca="1">MAX(tblData[Au LogiP(t)])</f>
        <v>6179.670690828204</v>
      </c>
      <c r="DM11" s="25">
        <f>MAX(tblData[Au])</f>
        <v>5108</v>
      </c>
      <c r="DN11" s="25" t="str">
        <f>Cengnotation(DD11/(AuPop/PerPerson),3)</f>
        <v>2.44 k</v>
      </c>
      <c r="DO11" s="1">
        <f t="array" ref="DO11">MAX(IF(ISNUMBER(tblData[Au]),tblData[Date]))</f>
        <v>44156</v>
      </c>
      <c r="DP11">
        <f t="array" ref="DP11">COUNT(IF(ISNUMBER(tblData[Au]),tblData[Date]))</f>
        <v>104</v>
      </c>
      <c r="DQ11"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b=0.253, d=4.10E-05, P0=.001, r2=999.4E-3, Limit=2.44 k=&gt;6.18 k cases </v>
      </c>
      <c r="DS11" s="25" t="str">
        <f t="shared" ref="DS11:DS19" si="0">CV11&amp;" Limit " &amp; IF(PopScaling=0,DK11,DN11)</f>
        <v>Australia Limit 2.44 k</v>
      </c>
      <c r="DU11" s="18" t="str">
        <f ca="1">"COVID19 "&amp;CV11 &amp; " " &amp;LogFormula&amp;CHAR(10)&amp;tblRuns[[#This Row],[Parameter List]]&amp;CHAR(10)&amp;" (Fit: " &amp; TEXT(tblRuns[Logistic Start2],"ddd dd-mmm") &amp; " - " &amp; TEXT(tblRuns[Last Date],"ddd dd-mmm")&amp;")"&amp;IF(PopScaling=0,"",", "&amp;PerPersonLabel)</f>
        <v>COVID19 Australia P(t) = b / {d+[( b/Po - d ) ]* exp(-b*t)}
b=0.253, d=4.10E-05, P0=.001, r2=999.4E-3, Limit=2.44 k=&gt;6.18 k cases 
 (Fit: Sat 25-Jan - Sat 21-Nov), Cases per 10 M population</v>
      </c>
      <c r="DV11" s="20">
        <f>MAX(tblData[Au Cases Per Capita])</f>
        <v>2013.8779372338747</v>
      </c>
      <c r="DW11" s="170"/>
      <c r="DX11" s="25"/>
      <c r="EA11" s="25" t="e">
        <f>"At " &amp; TEXT(tblRuns[[#This Row],[Last Date]],"ddd dd-mmm ") &amp; tblRuns[[#This Row],[Place]] &amp;  TEXT(AuMaxCasespc," ###0") &amp; " cases per 10M was " &amp; DZ13  &amp; " days behind Italy, " &amp; IF(DZ14&gt;0, DZ14 &amp; " days behind", -DZ14 &amp; " days ahead of ") &amp; " USA, "&amp;  IF(ISERROR(DZ15),",",DZ15 &amp; "days behind China, ") &amp; DZ16 &amp; " days behind South Korea, " &amp; DZ17 &amp; " days behind UK"</f>
        <v>#REF!</v>
      </c>
      <c r="EB11" s="11">
        <f ca="1">INDEX(tblData[Au LogiP(t)],MATCH(VALUE(tblRuns[AtDate])+7,tblData[Date],1))</f>
        <v>6179.670690828204</v>
      </c>
      <c r="EC11" s="19">
        <f ca="1">tblRuns[Mean Sq Err]/tblRuns[Max Cases Per Capita]</f>
        <v>1.7186588215017354E-2</v>
      </c>
      <c r="ED11" s="144">
        <f>IF(MIN(tblData[Au Cases Per Capita])&gt;0,MIN(tblData[Date]),INDEX(tblData[Date],1+MATCH(solvMsgs!MinCases, tblData[Au Cases Per Capita],1)))</f>
        <v>43904</v>
      </c>
      <c r="EE11" s="145" t="str">
        <f>tblRuns[[#This Row],[Place]]&amp;" from "&amp;TEXT(tblRuns[DateOver100],"dd-mmm")</f>
        <v>Australia from 14-Mar</v>
      </c>
      <c r="EF11" s="25" t="s">
        <v>682</v>
      </c>
      <c r="EG11" t="str">
        <f ca="1">CELL("address",INDEX(tblData[Au],1+MATCH(100,tblData[Au],1)) OFFSET(tblData[Au],30,0,30,20))</f>
        <v>$AI$59</v>
      </c>
      <c r="EH11" t="str">
        <f ca="1">CELL("address",OFFSET(tblData[Au],50,0,30,1))</f>
        <v>$AI$61</v>
      </c>
      <c r="EI11" s="25" t="str">
        <f ca="1">CELL("address",INDEX(tblData[NSW],1+MATCH(100,tblData[NSW],1)))</f>
        <v>$AQ$63</v>
      </c>
      <c r="EJ11" s="146"/>
      <c r="EK11"/>
      <c r="EL11"/>
      <c r="EM11"/>
      <c r="EN11"/>
      <c r="EO11" s="73">
        <v>43852</v>
      </c>
      <c r="EP11" s="75">
        <f>NSWpop</f>
        <v>8080000</v>
      </c>
      <c r="EQ11" s="76">
        <f>PerPerson</f>
        <v>10000000</v>
      </c>
      <c r="ER11" s="74"/>
      <c r="ES11"/>
      <c r="ET11"/>
      <c r="EU11" s="25" t="s">
        <v>48</v>
      </c>
      <c r="EV11" s="69"/>
      <c r="EW11" s="26">
        <v>43855</v>
      </c>
      <c r="EY11" s="25">
        <v>0</v>
      </c>
      <c r="EZ11" s="22">
        <v>0.19828176912463458</v>
      </c>
      <c r="FA11" s="24">
        <v>1.0000000000015669E-10</v>
      </c>
      <c r="FB11" s="21">
        <v>1.5235707215503663E-2</v>
      </c>
      <c r="FC11" s="82">
        <v>1982817691.2432389</v>
      </c>
      <c r="FD11" s="82">
        <v>10.841918819926793</v>
      </c>
      <c r="FE11" s="34">
        <v>13.014280618450188</v>
      </c>
      <c r="FF11" s="84">
        <v>1.0000000000015668E-7</v>
      </c>
      <c r="FG11" s="26">
        <v>43908</v>
      </c>
      <c r="FH11" s="26" t="s">
        <v>687</v>
      </c>
      <c r="FI11" s="84"/>
      <c r="FJ11" s="84">
        <v>565</v>
      </c>
      <c r="FK11" s="19" t="s">
        <v>688</v>
      </c>
      <c r="FL11" s="26">
        <v>43908</v>
      </c>
      <c r="FM11" s="25">
        <v>57</v>
      </c>
      <c r="FN11" s="18" t="s">
        <v>689</v>
      </c>
      <c r="FO11" s="25"/>
      <c r="FP11" s="25" t="s">
        <v>690</v>
      </c>
      <c r="FR11" s="25" t="s">
        <v>691</v>
      </c>
      <c r="FS11" s="19"/>
      <c r="FT11" s="72"/>
      <c r="FU11" s="25"/>
      <c r="FV11" s="72"/>
      <c r="FW11" s="25"/>
      <c r="FX11" s="25"/>
      <c r="FY11" s="25"/>
      <c r="FZ11" s="25"/>
      <c r="GA11" s="20"/>
    </row>
    <row r="12" spans="1:183" x14ac:dyDescent="0.25">
      <c r="B12" s="1">
        <v>43853</v>
      </c>
      <c r="C12">
        <v>0</v>
      </c>
      <c r="D12" s="25">
        <v>0</v>
      </c>
      <c r="E12">
        <v>0</v>
      </c>
      <c r="F12">
        <v>0</v>
      </c>
      <c r="G12">
        <v>0</v>
      </c>
      <c r="H12">
        <v>0</v>
      </c>
      <c r="I12">
        <v>0</v>
      </c>
      <c r="J12">
        <v>0</v>
      </c>
      <c r="K12">
        <v>0</v>
      </c>
      <c r="L12" s="25" t="str">
        <f>IF(ISNUMBER(tblData[[#This Row],[NSW]]),tblData[[#This Row],[New South Wales]]/$L$9,"")</f>
        <v/>
      </c>
      <c r="N12" s="25" t="str">
        <f>IF(ISNUMBER(tblData[Italy]),tblData[Italy]/$N$9,"")</f>
        <v/>
      </c>
      <c r="O12">
        <v>1</v>
      </c>
      <c r="P12" s="106">
        <f>IF(ISNUMBER(tblData[US]),tblData[US]/$P$9,"")</f>
        <v>3.037411069235945E-2</v>
      </c>
      <c r="Q12">
        <v>1</v>
      </c>
      <c r="R12" s="19">
        <f>IF(ISNUMBER(tblData[SKorea]),tblData[SKorea]/$R$9,"")</f>
        <v>0.19455252918287938</v>
      </c>
      <c r="T12" s="25" t="str">
        <f>IF(ISNUMBER(tblData[UK]),tblData[UK]/$T$9,"")</f>
        <v/>
      </c>
      <c r="U12">
        <v>643</v>
      </c>
      <c r="V12" s="20">
        <f>IF(ISNUMBER(tblData[China]),tblData[China]/$V$9,"")</f>
        <v>4.4673756573864862</v>
      </c>
      <c r="W12">
        <v>1</v>
      </c>
      <c r="X12" s="20">
        <f>IF(ISNUMBER(tblData[Singapore]),tblData[Singapore]/$X$9,"")</f>
        <v>1.7094017094017095</v>
      </c>
      <c r="Y12"/>
      <c r="Z12" s="20" t="str">
        <f>IF(AND(LEN(tblData[Generic])&gt;0,ISNUMBER(tblData[Generic])),tblData[Generic]/$Z$9,"")</f>
        <v/>
      </c>
      <c r="AA12" s="25" t="str">
        <f ca="1">IF(tblData[[#This Row],[Date]]&lt;StartDt2Italy,"",tblData[[#This Row],[Date]]-ItalyStart)</f>
        <v/>
      </c>
      <c r="AB12" s="25">
        <f ca="1">IF(tblData[[#This Row],[Date]]&lt;=StartDt2US,"",tblData[[#This Row],[Date]]-USStart)</f>
        <v>1</v>
      </c>
      <c r="AC12" s="25">
        <f ca="1">IF(tblData[[#This Row],[Date]]&lt;StartDt2China,"",tblData[[#This Row],[Date]]-ChinaStart)</f>
        <v>1</v>
      </c>
      <c r="AD12" s="25">
        <f>IF(tblData[[#This Row],[Date]]&lt;=SKoreaStart,"",tblData[[#This Row],[Date]]-SKoreaStart)</f>
        <v>1</v>
      </c>
      <c r="AE12" s="25" t="str">
        <f ca="1">IF(tblData[[#This Row],[Date]]&lt;=StartDt2UK,"",tblData[[#This Row],[Date]]-UKStart)</f>
        <v/>
      </c>
      <c r="AF12" s="25" t="str">
        <f>IF(tblData[[#This Row],[Date]]&lt;StartDt2Singapore,"",tblData[[#This Row],[Date]]-SingaporeStart)</f>
        <v/>
      </c>
      <c r="AG12" s="25">
        <f ca="1">IF(tblData[[#This Row],[Date]]&lt;StartDt2Generic,"",tblData[[#This Row],[Date]]-GenericStart)</f>
        <v>1</v>
      </c>
      <c r="AH12" t="str">
        <f ca="1">IF(tblData[Date]&gt;StartDt2Au,tblData[Date]-AuStart,"")</f>
        <v/>
      </c>
      <c r="AI12" s="25" t="str">
        <f>IF(tblData[New South Wales]&gt;0,SUM(tblData[[#This Row],[Australian Capital Territory]:[Western Australia]]),"")</f>
        <v/>
      </c>
      <c r="AJ12" s="25" t="str">
        <f>IF(ISNUMBER(tblData[Au]),tblData[Au]/$AE$9,"")</f>
        <v/>
      </c>
      <c r="AK12" s="11" t="str">
        <f ca="1">IF(ISNUMBER(tblData[[#This Row],[Day'# Aust]]),betaAu/(deltaAu+betaPodeltaAu*EXP(-betaAu*tblData[[#This Row],[Day'# Aust]])),"")</f>
        <v/>
      </c>
      <c r="AL12" s="61" t="str">
        <f ca="1">IF(ISNUMBER(tblData[Day'# Aust]),tblData[Au LogiP(t)]/$AJ$9,"")</f>
        <v/>
      </c>
      <c r="AM12" s="11" t="str">
        <f ca="1">IF(AND(tblData[Date]&gt;StartDt2Au,ISNUMBER(tblData[NSW])),(tblData[[#This Row],[Au LogiP(t)]]-tblData[[#This Row],[Au]])^2,"")</f>
        <v/>
      </c>
      <c r="AN12" s="11" t="str">
        <f ca="1">IF(AND(ISNUMBER(tblData[Au]),tblData[Date]&gt;StartDt2Au),(tblData[Au]-AVERAGE(tblData[Au]))^2,"")</f>
        <v/>
      </c>
      <c r="AO12" s="11">
        <f>tblData[[#This Row],[Date]]-Au100dt</f>
        <v>-51</v>
      </c>
      <c r="AP12" t="str">
        <f ca="1">IF(tblData[Date]&gt;StartDt2NSW,tblData[Date]-StartDt2NSW,"")</f>
        <v/>
      </c>
      <c r="AQ12" s="25" t="str">
        <f>IF(tblData[[#This Row],[New South Wales]]&gt;0,tblData[[#This Row],[New South Wales]],"")</f>
        <v/>
      </c>
      <c r="AR12" s="11" t="str">
        <f ca="1">IF(tblData[Date]&gt;StartDt2NSW,betaNSW/(deltaNSW+betaPodeltaNSW*EXP(-betaNSW*tblData[[#This Row],[Day '# NSW]])),"")</f>
        <v/>
      </c>
      <c r="AS12" s="12" t="str">
        <f ca="1">IF(AND(ISNUMBER(tblData[NSW]),tblData[Date]&gt;StartDt2NSW),(tblData[[#This Row],[NSW LogiP(t)]]-tblData[[#This Row],[NSW]])^2,"")</f>
        <v/>
      </c>
      <c r="AT12" s="12" t="str">
        <f ca="1">IF(AND(tblData[Date]&gt;StartDt2NSW,ISNUMBER(tblData[Day'# Aust])),tblData[NSW LogiP(t)]/$AR$9,"")</f>
        <v/>
      </c>
      <c r="AU12" s="11">
        <f>tblData[[#This Row],[Date]]-NSW100dt+1</f>
        <v>-47</v>
      </c>
      <c r="AV12" s="11" t="str">
        <f ca="1">IF(AND(ISNUMBER(tblData[NSW]),tblData[Date]&gt;StartDt2NSW),(tblData[NSW]-AVERAGE(tblData[NSW]))^2,"")</f>
        <v/>
      </c>
      <c r="AW12" s="39" t="str">
        <f ca="1">IF(AND(tblData[Date]&gt;StartDt2Italy,ISNUMBER(tblData[Days'# Italy])),betaItaly/(deltaItaly+betaPodeltaItaly*EXP(-betaItaly*tblData[Days'# Italy])),"")</f>
        <v/>
      </c>
      <c r="AX12" s="11" t="str">
        <f ca="1">IF(AND(tblData[Date]&gt;StartDt2Italy,ISNUMBER(tblData[Italy])),(tblData[[#This Row],[Italy LogiP(t)]]-tblData[[#This Row],[Italy]])^2,"")</f>
        <v/>
      </c>
      <c r="AY12" s="11" t="str">
        <f ca="1">IF(AND(tblData[Date]&gt;StartDt2Italy,ISNUMBER(tblData[Days'# Italy])),tblData[[#This Row],[Italy LogiP(t)]]/$AW$9,"")</f>
        <v/>
      </c>
      <c r="AZ12" s="11" t="str">
        <f ca="1">IF(AND(ISNUMBER(tblData[Italy]),tblData[Date]&gt;StartDt2Italy),(tblData[Italy]-AVERAGE(tblData[Italy]))^2,"")</f>
        <v/>
      </c>
      <c r="BA12" s="11">
        <f>tblData[[#This Row],[Date]]-Italy100dt+1</f>
        <v>-34</v>
      </c>
      <c r="BB12" s="11">
        <f ca="1">IF(AND(tblData[Date]&gt;StartDt2US,ISNUMBER(tblData[[#This Row],[Days'# US]])),betaUS/(deltaUS+betaPodeltaUS*EXP(-betaUS*tblData[Days'# US])),"")</f>
        <v>1.328126282985335E-3</v>
      </c>
      <c r="BC12" s="11">
        <f ca="1">IF(AND(tblData[Date]&gt;StartDt2US,ISNUMBER(tblData[US])),(tblData[[#This Row],[US LogiP(t)]]-tblData[US])^2,"")</f>
        <v>0.99734551135345295</v>
      </c>
      <c r="BD12" s="137">
        <f ca="1">IF(AND(tblData[Date]&gt;=StartDt2US,ISNUMBER(tblData[[#This Row],[Days'# US]])),tblData[[#This Row],[US LogiP(t)]]/$BB$9,"")</f>
        <v>4.0340654732828477E-5</v>
      </c>
      <c r="BE12" s="137">
        <f ca="1">IF(AND(ISNUMBER(tblData[US]),tblData[Date]&gt;StartDt2US),(tblData[US]-AVERAGE(tblData[US]))^2,"")</f>
        <v>335389698.94088471</v>
      </c>
      <c r="BF12" s="11">
        <f>tblData[[#This Row],[Date]]-US100dt+1</f>
        <v>-50</v>
      </c>
      <c r="BG12" s="11" t="str">
        <f ca="1">IF(tblData[Date]&gt;StartDt2SKorea,betaSKorea/(deltaSKorea+betaPodeltaSKorea*EXP(-betaSKorea*(tblData[Date]-StartDt2SKorea))),"")</f>
        <v/>
      </c>
      <c r="BH12" s="11" t="str">
        <f ca="1">IF(AND(tblData[Date]&gt;StartDt2SKorea,ISNUMBER(tblData[SKorea])),(tblData[[#This Row],[SKorea LogiP(t)]]-tblData[[#This Row],[SKorea]])^2,"")</f>
        <v/>
      </c>
      <c r="BI12" s="11" t="str">
        <f ca="1">IF(tblData[Date]&gt;StartDt2SKorea,tblData[[#This Row],[SKorea LogiP(t)]]/$BG$9,"")</f>
        <v/>
      </c>
      <c r="BJ12" s="11" t="str">
        <f ca="1">IF(AND(ISNUMBER(tblData[SKorea]),tblData[Date]&gt;StartDt2SKorea),(tblData[SKorea]-AVERAGE(tblData[SKorea]))^2,"")</f>
        <v/>
      </c>
      <c r="BK12" s="11">
        <f>tblData[[#This Row],[Date]]-SKorea100dt+1</f>
        <v>-29</v>
      </c>
      <c r="BL12" s="137" t="str">
        <f ca="1">IF(AND(tblData[Date]&gt;StartDt2UK,ISNUMBER(tblData[Days'# UK])),betaUK/(deltaUK+betaPodeltaUK*EXP(-betaUK*tblData[Days'# UK])),"")</f>
        <v/>
      </c>
      <c r="BM12" s="11" t="str">
        <f ca="1">IF(AND(tblData[Date]&gt;StartDt2UK,ISNUMBER(tblData[UK])),(tblData[[#This Row],[UK LogiP(t)]]-tblData[[#This Row],[UK]])^2,"")</f>
        <v/>
      </c>
      <c r="BN12" s="11" t="str">
        <f ca="1">IF(ISNUMBER(tblData[Days'# UK]),tblData[[#This Row],[UK LogiP(t)]]/$BL$9,"")</f>
        <v/>
      </c>
      <c r="BO12" s="137" t="str">
        <f ca="1">IF(AND(ISNUMBER(tblData[UK]),tblData[Date]&gt;StartDt2UK),(tblData[UK]-AVERAGE(tblData[UK]))^2,"")</f>
        <v/>
      </c>
      <c r="BP12" s="11">
        <f>tblData[[#This Row],[Date]]-UK100dt</f>
        <v>-49</v>
      </c>
      <c r="BQ12" s="11">
        <f ca="1">IF(ISNUMBER(tblData[Days'# China]),betaChina/(deltaChina+betaPodeltaChina*EXP(-betaChina*tblData[Days'# China])),"")</f>
        <v>1941.7130638084823</v>
      </c>
      <c r="BR12" s="11">
        <f ca="1">IF(ISNUMBER(tblData[China]),(tblData[[#This Row],[China LogiP(t)]]-tblData[[#This Row],[China]])^2,"")</f>
        <v>1686655.622106815</v>
      </c>
      <c r="BS12" s="11">
        <f ca="1">tblData[[#This Row],[China LogiP(t)]]/$BQ$9</f>
        <v>13.490453615687944</v>
      </c>
      <c r="BT12" s="137">
        <f ca="1">IF(AND(ISNUMBER(tblData[China]),tblData[Date]&gt;StartDt2China),(tblData[China]-AVERAGE(tblData[China]))^2,"")</f>
        <v>3538579169.0158701</v>
      </c>
      <c r="BU12" s="11">
        <f>tblData[[#This Row],[Date]]-China100dt</f>
        <v>1</v>
      </c>
      <c r="BV12" s="106" t="str">
        <f>IF(ISNUMBER(tblData[Day'# Singapore]),betaSingapore/(deltaSingapore+betaPodeltaSingapore*EXP(-betaSingapore*tblData[Day'# Singapore])),"")</f>
        <v/>
      </c>
      <c r="BW12" s="11" t="str">
        <f>IF(AND(ISNUMBER(tblData[Singapore]),tblData[Date]&gt;=StartDt2Singapore),(tblData[[#This Row],[Singapore LogiP(t)]]-tblData[[#This Row],[Singapore]])^2,"")</f>
        <v/>
      </c>
      <c r="BX12" s="106" t="str">
        <f>IF(ISNUMBER(tblData[Day'# Singapore]),tblData[Singapore LogiP(t)]/$BV$9,"")</f>
        <v/>
      </c>
      <c r="BY12" s="106" t="str">
        <f>IF(AND(ISNUMBER(tblData[Singapore]),tblData[Date]&gt;StartDt2Singapore),(tblData[Singapore]-AVERAGE(tblData[Singapore]))^2,"")</f>
        <v/>
      </c>
      <c r="BZ12" s="11">
        <f>tblData[[#This Row],[Date]]-Singapore100dt+1</f>
        <v>-18</v>
      </c>
      <c r="CA12" s="11">
        <f ca="1">IF(AND(tblData[Date]&gt;StartDt2Generic,ISNUMBER(tblData[Day'# Generic])),betaGeneric/(deltaGeneric+betaPodeltaGeneric*EXP(-betaGeneric*tblData[Day'# Generic])),"")</f>
        <v>1.2175949624427572E-3</v>
      </c>
      <c r="CB12" s="106" t="str">
        <f ca="1">IF(AND(ISNUMBER(tblData[Generic]),tblData[Date]&gt;StartDt2Generic),(tblData[Generic LogiP(t)]-tblData[[#This Row],[Generic]])^2,"")</f>
        <v/>
      </c>
      <c r="CC12" s="11" t="str">
        <f ca="1">IF(AND(ISNUMBER(tblData[Generic]),tblData[Date]&gt;StartDt2Generic),tblData[Generic LogiP(t)]/$CA$9,"")</f>
        <v/>
      </c>
      <c r="CD12" s="106" t="str">
        <f ca="1">IF(AND(ISNUMBER(tblData[Generic]),tblData[Date]&gt;StartDt2Generic),(tblData[Generic]-AVERAGE(tblData[Generic]))^2,"")</f>
        <v/>
      </c>
      <c r="CE12" s="11">
        <f>tblData[[#This Row],[Date]]-Generic100dt+1</f>
        <v>-57</v>
      </c>
      <c r="CG12" s="11"/>
      <c r="CH12" s="11" t="str">
        <f>IF(ISNUMBER(tblData[[#This Row],[Tests]]),tblData[[#This Row],[Tests]]-CH11,"")</f>
        <v/>
      </c>
      <c r="CI12" s="11" t="str">
        <f>IF(ISNUMBER(tblData[[#This Row],[NSW Under Investigation'']]),tblData[[#This Row],[NSW Under Investigation'']]-CG11,"")</f>
        <v/>
      </c>
      <c r="CJ12" s="11"/>
      <c r="CK12" s="11" t="str">
        <f>IF(AND(tblData[[#This Row],[NSW Test Day Number]]&gt;0,ISNUMBER(tblData[[#This Row],[NSW Test Day Number]])),betaTests/(deltaTests+betaPodeltaTests*EXP(-betaTests*tblData[[#This Row],[NSW Test Day Number]])),"")</f>
        <v/>
      </c>
      <c r="CL12" s="11" t="str">
        <f>IF(tblData[Tests]&gt;0,(tblData[[#This Row],[Tests]]-tblData[[#This Row],[NSW Test Logi]])^2,"")</f>
        <v/>
      </c>
      <c r="CM12" s="106" t="str">
        <f>IF(AND(ISNUMBER(tblData[Tests]),tblData[Date]&gt;StartDt2Tests),(tblData[Tests]-AVERAGE(tblData[Tests]))^2,"")</f>
        <v/>
      </c>
      <c r="CN12" s="11" t="str">
        <f>IF(ISNUMBER(tblData[Tests]),tblData[Tests]/$CN$9/100,"")</f>
        <v/>
      </c>
      <c r="CO12" s="11" t="str">
        <f>IF(AND(tblData[[#This Row],[NSW Test Day Number]]&gt;0,ISNUMBER(tblData[[#This Row],[NSW Test Day Number]])),TestsLogestB*TestsLogestM^tblData[[#This Row],[NSW Test Day Number]],"")</f>
        <v/>
      </c>
      <c r="CP12" s="11" t="str">
        <f>IF(AND(tblData[[#This Row],[NSW Test Day Number]]&gt;0,ISNUMBER(tblData[Tests])),(tblData[Tests]-tblData[[#This Row],[NSW Test Per Capita]])^2,"")</f>
        <v/>
      </c>
      <c r="CQ12" s="11" t="str">
        <f ca="1">IF(AND(tblData[Day '# NSW]&gt;0,ISNUMBER(tblData[[#This Row],[Day '# NSW]])),NSWLogestB*NSWLogestM^tblData[[#This Row],[Day '# NSW]]/$CR$9,"")</f>
        <v/>
      </c>
      <c r="CR12" s="39" t="str">
        <f ca="1">IF(AND(ISNUMBER(tblData[NSW]),tblData[Date]&gt;StartDt2NSW),(tblData[NSW]/$CR$9-tblData[[#This Row],[NSW Cases LogEst]])^2,"")</f>
        <v/>
      </c>
      <c r="CS12" s="11"/>
      <c r="CT12" s="11"/>
      <c r="CU12" s="1"/>
      <c r="CV12" s="54" t="s">
        <v>153</v>
      </c>
      <c r="CW12" s="169">
        <v>43923.637233796297</v>
      </c>
      <c r="CX12" s="72">
        <f>INDEX(tblPopulation[Day 0],MATCH(tblRuns[[#This Row],[Place]],tblPopulation[State],0),1)</f>
        <v>43855</v>
      </c>
      <c r="CY12" s="72">
        <f ca="1">INDEX(tblPopulation[Logistic Start2],MATCH($CV12,tblPopulation[CtryAbbrev],0),1)</f>
        <v>43855</v>
      </c>
      <c r="CZ12" s="54">
        <v>1</v>
      </c>
      <c r="DA12" s="44">
        <v>0.23780005535110346</v>
      </c>
      <c r="DB12" s="59">
        <v>7.9259816751663258E-5</v>
      </c>
      <c r="DC12" s="102">
        <v>1E-3</v>
      </c>
      <c r="DD12" s="54">
        <f>betaNSW/deltaNSW</f>
        <v>3000.259969010252</v>
      </c>
      <c r="DE12" s="56">
        <f ca="1">SQRT(SUM(tblData[NSW Sq Err])/COUNT(tblData[NSW Sq Err]))</f>
        <v>22.641288157537449</v>
      </c>
      <c r="DF12" s="24">
        <f ca="1">SUM(tblData[NSW Mean Devn Sq])</f>
        <v>24324895.297836591</v>
      </c>
      <c r="DG12" s="172">
        <f ca="1">1-(SUM(tblData[NSW Sq Err])/SUM(tblData[NSW Mean Devn Sq]))</f>
        <v>0.99856695378234495</v>
      </c>
      <c r="DH12" s="83">
        <f>(betaNSW/PoNSW)-deltaNSW</f>
        <v>237.79997609128671</v>
      </c>
      <c r="DI12" s="83">
        <f>tblRuns[d]*1000</f>
        <v>7.9259816751663256E-2</v>
      </c>
      <c r="DJ12" s="26">
        <f t="array" ref="DJ12">MAX(IF(ISNUMBER(tblData[NSW]),tblData[Date]))</f>
        <v>43923</v>
      </c>
      <c r="DK12" s="26" t="str">
        <f>Cengnotation(tblRuns[[#This Row],[Asymptote b/d]],3)</f>
        <v>3.00 k</v>
      </c>
      <c r="DL12" s="106">
        <f ca="1">MAX(tblData[NSW LogiP(t)])</f>
        <v>3000.259969010252</v>
      </c>
      <c r="DM12" s="54">
        <f>MAX(tblData[NSW])</f>
        <v>2298</v>
      </c>
      <c r="DN12" s="54" t="str">
        <f>Cengnotation(DD12/(NSWpop/PerPerson),3)</f>
        <v>3.71 k</v>
      </c>
      <c r="DO12" s="55">
        <f t="array" ref="DO12">MAX(IF(ISNUMBER(tblData[NSW]),tblData[Date]))</f>
        <v>43923</v>
      </c>
      <c r="DP12" s="101">
        <f t="array" ref="DP12">COUNT(IF(ISNUMBER(tblData[NSW]),tblData[Date]))</f>
        <v>69</v>
      </c>
      <c r="DQ12"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b=0.238, d=7.93E-05, P0=.001, r2=998.6E-3, Limit=3.71 k=&gt;3.00 k cases </v>
      </c>
      <c r="DR12" s="54"/>
      <c r="DS12" s="54" t="str">
        <f t="shared" si="0"/>
        <v>NSW Limit 3.71 k</v>
      </c>
      <c r="DT12" s="54"/>
      <c r="DU12" s="18" t="str">
        <f ca="1">"COVID19 "&amp;CV12 &amp; " " &amp;LogFormula&amp;CHAR(10)&amp;DQ12&amp;CHAR(10)&amp;" (Fit: " &amp; TEXT(tblRuns[Logistic Start2],"ddd dd-mmm") &amp; " - " &amp; TEXT(tblRuns[Last Date],"ddd dd-mmm")&amp;")"&amp;IF(PopScaling=0,"",", "&amp;PerPersonLabel)</f>
        <v>COVID19 NSW P(t) = b / {d+[( b/Po - d ) ]* exp(-b*t)}
b=0.238, d=7.93E-05, P0=.001, r2=998.6E-3, Limit=3.71 k=&gt;3.00 k cases 
 (Fit: Sat 25-Jan - Thu 02-Apr), Cases per 10 M population</v>
      </c>
      <c r="DV12" s="20">
        <f>MAX(tblData[NSW Cases per Capita])</f>
        <v>2844.0594059405939</v>
      </c>
      <c r="DW12" s="171"/>
      <c r="DX12" s="57"/>
      <c r="DZ12" s="11"/>
      <c r="EA12" s="25" t="str">
        <f>"At " &amp; TEXT(tblRuns[[#This Row],[Last Date]],"ddd dd-mmm " ) &amp;  CV12  &amp;  TEXT(NSWMaxCasespc," ###0") &amp; " cases per 10M was " &amp; DX13 &amp; " days behind Italy, " &amp; IF(DX14&gt;0, DX14 &amp; " days behind", -DX14 &amp; " days ahead of") &amp; " USA &amp; " &amp;  DX15 &amp; " days behind China, " &amp; DX16 &amp; " days behind South Korea, " &amp; DX17 &amp; " days behind UK"</f>
        <v>At Thu 02-Apr NSW 2844 cases per 10M was 20 days behind Italy, 6 days behind USA &amp; -11 days behind China, -5 days behind South Korea, 4 days behind UK</v>
      </c>
      <c r="EB12" s="11">
        <f ca="1">INDEX(tblData[NSW LogiP(t)],MATCH(VALUE(tblRuns[AtDate])+7,tblData[Date],1))</f>
        <v>2549.1463982529417</v>
      </c>
      <c r="EC12" s="19">
        <f ca="1">tblRuns[Mean Sq Err]/tblRuns[Max Cases Per Capita]</f>
        <v>7.960905496645021E-3</v>
      </c>
      <c r="ED12" s="144">
        <f>IF(MIN(tblData[NSW Cases per Capita])&gt;0,MIN(tblData[Date]),INDEX(tblData[Date],1+MATCH(solvMsgs!MinCases, tblData[NSW Cases per Capita],1)))</f>
        <v>43901</v>
      </c>
      <c r="EE12" s="145" t="str">
        <f>tblRuns[[#This Row],[Place]]&amp;" from "&amp;TEXT(tblRuns[DateOver100],"dd-mmm")</f>
        <v>NSW from 11-Mar</v>
      </c>
      <c r="EF12" s="25" t="s">
        <v>153</v>
      </c>
      <c r="EG12" t="str">
        <f ca="1">CELL("address",INDEX(tblData[NSW Cases per Capita],1+MATCH(100,tblData[NSW],1)) NSWCases)</f>
        <v>$L$63</v>
      </c>
      <c r="EH12" s="25" t="str">
        <f ca="1">CELL("address",NSWCases)</f>
        <v>$L$15</v>
      </c>
      <c r="EI12" t="str">
        <f ca="1">ADDRESS(ROW(NSWCases),COLUMN(NSWCases))&amp;":"&amp;ADDRESS(ROW(NSWCases)+ROWS(NSWCases)-1,COLUMN(NSWCases)+COLUMNS(NSWCases)-1)</f>
        <v>$L$15:$L$82</v>
      </c>
      <c r="EJ12" s="147">
        <f t="array" aca="1" ref="EJ12" ca="1">COUNT(NSWCases OFFSET(tblData[NSW Cases per Capita],1+MATCH(100,tblData[NSW],1),0,100,1))</f>
        <v>19</v>
      </c>
      <c r="EK12"/>
      <c r="EL12"/>
      <c r="EM12"/>
      <c r="EN12"/>
      <c r="EO12" s="73">
        <v>44004</v>
      </c>
      <c r="EP12" s="75">
        <f>EP11</f>
        <v>8080000</v>
      </c>
      <c r="EQ12" s="76">
        <f>PerPerson</f>
        <v>10000000</v>
      </c>
      <c r="ER12" s="74">
        <f>delta</f>
        <v>5.5497236683652495E-5</v>
      </c>
      <c r="ES12"/>
      <c r="ET12"/>
      <c r="EU12" s="25" t="s">
        <v>48</v>
      </c>
      <c r="EV12" s="69"/>
      <c r="EW12" s="26">
        <v>43855</v>
      </c>
      <c r="EY12" s="25">
        <v>0</v>
      </c>
      <c r="EZ12" s="25">
        <v>0.19828176912463458</v>
      </c>
      <c r="FA12" s="24">
        <v>1.0000000000015669E-10</v>
      </c>
      <c r="FB12" s="21">
        <v>1.5235707215503663E-2</v>
      </c>
      <c r="FC12" s="82">
        <v>1982817691.2432389</v>
      </c>
      <c r="FD12" s="82">
        <v>12.353786198782009</v>
      </c>
      <c r="FE12" s="12">
        <v>13.014280618450188</v>
      </c>
      <c r="FF12" s="84">
        <v>1.0000000000015668E-7</v>
      </c>
      <c r="FG12" s="26">
        <v>43908</v>
      </c>
      <c r="FH12" s="26" t="s">
        <v>687</v>
      </c>
      <c r="FI12" s="84"/>
      <c r="FJ12" s="84">
        <v>636</v>
      </c>
      <c r="FK12" s="25" t="s">
        <v>688</v>
      </c>
      <c r="FL12" s="26">
        <v>43908</v>
      </c>
      <c r="FM12" s="25">
        <v>58</v>
      </c>
      <c r="FN12" s="26" t="s">
        <v>689</v>
      </c>
      <c r="FO12" s="25"/>
      <c r="FP12" s="25" t="s">
        <v>690</v>
      </c>
      <c r="FR12" s="18" t="s">
        <v>713</v>
      </c>
      <c r="FS12" s="19">
        <v>250.74909320296484</v>
      </c>
      <c r="FT12" s="72"/>
      <c r="FU12" s="25"/>
      <c r="FV12" s="72"/>
      <c r="FW12" s="25"/>
      <c r="FX12" s="25" t="s">
        <v>714</v>
      </c>
      <c r="FY12" s="25"/>
      <c r="FZ12" s="25"/>
      <c r="GA12" s="25"/>
    </row>
    <row r="13" spans="1:183" x14ac:dyDescent="0.25">
      <c r="B13" s="1">
        <v>43854</v>
      </c>
      <c r="C13">
        <v>0</v>
      </c>
      <c r="D13" s="25">
        <v>0</v>
      </c>
      <c r="E13">
        <v>0</v>
      </c>
      <c r="F13">
        <v>0</v>
      </c>
      <c r="G13">
        <v>0</v>
      </c>
      <c r="H13">
        <v>0</v>
      </c>
      <c r="I13">
        <v>0</v>
      </c>
      <c r="J13">
        <v>0</v>
      </c>
      <c r="K13">
        <v>0</v>
      </c>
      <c r="L13" s="25" t="str">
        <f>IF(ISNUMBER(tblData[[#This Row],[NSW]]),tblData[[#This Row],[New South Wales]]/$L$9,"")</f>
        <v/>
      </c>
      <c r="N13" s="25" t="str">
        <f>IF(ISNUMBER(tblData[Italy]),tblData[Italy]/$N$9,"")</f>
        <v/>
      </c>
      <c r="O13">
        <v>2</v>
      </c>
      <c r="P13" s="106">
        <f>IF(ISNUMBER(tblData[US]),tblData[US]/$P$9,"")</f>
        <v>6.0748221384718901E-2</v>
      </c>
      <c r="Q13">
        <v>2</v>
      </c>
      <c r="R13" s="19">
        <f>IF(ISNUMBER(tblData[SKorea]),tblData[SKorea]/$R$9,"")</f>
        <v>0.38910505836575876</v>
      </c>
      <c r="T13" s="25" t="str">
        <f>IF(ISNUMBER(tblData[UK]),tblData[UK]/$T$9,"")</f>
        <v/>
      </c>
      <c r="U13">
        <v>920</v>
      </c>
      <c r="V13" s="20">
        <f>IF(ISNUMBER(tblData[China]),tblData[China]/$V$9,"")</f>
        <v>6.391890520677399</v>
      </c>
      <c r="W13">
        <v>3</v>
      </c>
      <c r="X13" s="20">
        <f>IF(ISNUMBER(tblData[Singapore]),tblData[Singapore]/$X$9,"")</f>
        <v>5.1282051282051286</v>
      </c>
      <c r="Y13"/>
      <c r="Z13" s="20" t="str">
        <f>IF(AND(LEN(tblData[Generic])&gt;0,ISNUMBER(tblData[Generic])),tblData[Generic]/$Z$9,"")</f>
        <v/>
      </c>
      <c r="AA13" s="25" t="str">
        <f ca="1">IF(tblData[[#This Row],[Date]]&lt;StartDt2Italy,"",tblData[[#This Row],[Date]]-ItalyStart)</f>
        <v/>
      </c>
      <c r="AB13" s="25">
        <f ca="1">IF(tblData[[#This Row],[Date]]&lt;=StartDt2US,"",tblData[[#This Row],[Date]]-USStart)</f>
        <v>2</v>
      </c>
      <c r="AC13" s="25">
        <f ca="1">IF(tblData[[#This Row],[Date]]&lt;StartDt2China,"",tblData[[#This Row],[Date]]-ChinaStart)</f>
        <v>2</v>
      </c>
      <c r="AD13" s="25">
        <f>IF(tblData[[#This Row],[Date]]&lt;=SKoreaStart,"",tblData[[#This Row],[Date]]-SKoreaStart)</f>
        <v>2</v>
      </c>
      <c r="AE13" s="25" t="str">
        <f ca="1">IF(tblData[[#This Row],[Date]]&lt;=StartDt2UK,"",tblData[[#This Row],[Date]]-UKStart)</f>
        <v/>
      </c>
      <c r="AF13" s="25" t="str">
        <f>IF(tblData[[#This Row],[Date]]&lt;StartDt2Singapore,"",tblData[[#This Row],[Date]]-SingaporeStart)</f>
        <v/>
      </c>
      <c r="AG13" s="25">
        <f ca="1">IF(tblData[[#This Row],[Date]]&lt;StartDt2Generic,"",tblData[[#This Row],[Date]]-GenericStart)</f>
        <v>2</v>
      </c>
      <c r="AH13" t="str">
        <f ca="1">IF(tblData[Date]&gt;StartDt2Au,tblData[Date]-AuStart,"")</f>
        <v/>
      </c>
      <c r="AI13" s="25" t="str">
        <f>IF(tblData[New South Wales]&gt;0,SUM(tblData[[#This Row],[Australian Capital Territory]:[Western Australia]]),"")</f>
        <v/>
      </c>
      <c r="AJ13" s="25" t="str">
        <f>IF(ISNUMBER(tblData[Au]),tblData[Au]/$AE$9,"")</f>
        <v/>
      </c>
      <c r="AK13" s="11" t="str">
        <f ca="1">IF(ISNUMBER(tblData[[#This Row],[Day'# Aust]]),betaAu/(deltaAu+betaPodeltaAu*EXP(-betaAu*tblData[[#This Row],[Day'# Aust]])),"")</f>
        <v/>
      </c>
      <c r="AL13" s="61" t="str">
        <f ca="1">IF(ISNUMBER(tblData[Day'# Aust]),tblData[Au LogiP(t)]/$AJ$9,"")</f>
        <v/>
      </c>
      <c r="AM13" s="11" t="str">
        <f ca="1">IF(AND(tblData[Date]&gt;StartDt2Au,ISNUMBER(tblData[NSW])),(tblData[[#This Row],[Au LogiP(t)]]-tblData[[#This Row],[Au]])^2,"")</f>
        <v/>
      </c>
      <c r="AN13" s="11" t="str">
        <f ca="1">IF(AND(ISNUMBER(tblData[Au]),tblData[Date]&gt;StartDt2Au),(tblData[Au]-AVERAGE(tblData[Au]))^2,"")</f>
        <v/>
      </c>
      <c r="AO13" s="11">
        <f>tblData[[#This Row],[Date]]-Au100dt</f>
        <v>-50</v>
      </c>
      <c r="AP13" t="str">
        <f ca="1">IF(tblData[Date]&gt;StartDt2NSW,tblData[Date]-StartDt2NSW,"")</f>
        <v/>
      </c>
      <c r="AQ13" s="25" t="str">
        <f>IF(tblData[[#This Row],[New South Wales]]&gt;0,tblData[[#This Row],[New South Wales]],"")</f>
        <v/>
      </c>
      <c r="AR13" s="11" t="str">
        <f ca="1">IF(tblData[Date]&gt;StartDt2NSW,betaNSW/(deltaNSW+betaPodeltaNSW*EXP(-betaNSW*tblData[[#This Row],[Day '# NSW]])),"")</f>
        <v/>
      </c>
      <c r="AS13" s="12" t="str">
        <f ca="1">IF(AND(ISNUMBER(tblData[NSW]),tblData[Date]&gt;StartDt2NSW),(tblData[[#This Row],[NSW LogiP(t)]]-tblData[[#This Row],[NSW]])^2,"")</f>
        <v/>
      </c>
      <c r="AT13" s="12" t="str">
        <f ca="1">IF(AND(tblData[Date]&gt;StartDt2NSW,ISNUMBER(tblData[Day'# Aust])),tblData[NSW LogiP(t)]/$AR$9,"")</f>
        <v/>
      </c>
      <c r="AU13" s="11">
        <f>tblData[[#This Row],[Date]]-NSW100dt+1</f>
        <v>-46</v>
      </c>
      <c r="AV13" s="11" t="str">
        <f ca="1">IF(AND(ISNUMBER(tblData[NSW]),tblData[Date]&gt;StartDt2NSW),(tblData[NSW]-AVERAGE(tblData[NSW]))^2,"")</f>
        <v/>
      </c>
      <c r="AW13" s="39" t="str">
        <f ca="1">IF(AND(tblData[Date]&gt;StartDt2Italy,ISNUMBER(tblData[Days'# Italy])),betaItaly/(deltaItaly+betaPodeltaItaly*EXP(-betaItaly*tblData[Days'# Italy])),"")</f>
        <v/>
      </c>
      <c r="AX13" s="11" t="str">
        <f ca="1">IF(AND(tblData[Date]&gt;StartDt2Italy,ISNUMBER(tblData[Italy])),(tblData[[#This Row],[Italy LogiP(t)]]-tblData[[#This Row],[Italy]])^2,"")</f>
        <v/>
      </c>
      <c r="AY13" s="11" t="str">
        <f ca="1">IF(AND(tblData[Date]&gt;StartDt2Italy,ISNUMBER(tblData[Days'# Italy])),tblData[[#This Row],[Italy LogiP(t)]]/$AW$9,"")</f>
        <v/>
      </c>
      <c r="AZ13" s="11" t="str">
        <f ca="1">IF(AND(ISNUMBER(tblData[Italy]),tblData[Date]&gt;StartDt2Italy),(tblData[Italy]-AVERAGE(tblData[Italy]))^2,"")</f>
        <v/>
      </c>
      <c r="BA13" s="11">
        <f>tblData[[#This Row],[Date]]-Italy100dt+1</f>
        <v>-33</v>
      </c>
      <c r="BB13" s="11">
        <f ca="1">IF(AND(tblData[Date]&gt;StartDt2US,ISNUMBER(tblData[[#This Row],[Days'# US]])),betaUS/(deltaUS+betaPodeltaUS*EXP(-betaUS*tblData[Days'# US])),"")</f>
        <v>1.7639194232565007E-3</v>
      </c>
      <c r="BC13" s="11">
        <f ca="1">IF(AND(tblData[Date]&gt;StartDt2US,ISNUMBER(tblData[US])),(tblData[[#This Row],[US LogiP(t)]]-tblData[US])^2,"")</f>
        <v>3.9929474337187054</v>
      </c>
      <c r="BD13" s="137">
        <f ca="1">IF(AND(tblData[Date]&gt;=StartDt2US,ISNUMBER(tblData[[#This Row],[Days'# US]])),tblData[[#This Row],[US LogiP(t)]]/$BB$9,"")</f>
        <v>5.3577483814395792E-5</v>
      </c>
      <c r="BE13" s="137">
        <f ca="1">IF(AND(ISNUMBER(tblData[US]),tblData[Date]&gt;StartDt2US),(tblData[US]-AVERAGE(tblData[US]))^2,"")</f>
        <v>335353072.64511007</v>
      </c>
      <c r="BF13" s="11">
        <f>tblData[[#This Row],[Date]]-US100dt+1</f>
        <v>-49</v>
      </c>
      <c r="BG13" s="11" t="str">
        <f ca="1">IF(tblData[Date]&gt;StartDt2SKorea,betaSKorea/(deltaSKorea+betaPodeltaSKorea*EXP(-betaSKorea*(tblData[Date]-StartDt2SKorea))),"")</f>
        <v/>
      </c>
      <c r="BH13" s="11" t="str">
        <f ca="1">IF(AND(tblData[Date]&gt;StartDt2SKorea,ISNUMBER(tblData[SKorea])),(tblData[[#This Row],[SKorea LogiP(t)]]-tblData[[#This Row],[SKorea]])^2,"")</f>
        <v/>
      </c>
      <c r="BI13" s="11" t="str">
        <f ca="1">IF(tblData[Date]&gt;StartDt2SKorea,tblData[[#This Row],[SKorea LogiP(t)]]/$BG$9,"")</f>
        <v/>
      </c>
      <c r="BJ13" s="11" t="str">
        <f ca="1">IF(AND(ISNUMBER(tblData[SKorea]),tblData[Date]&gt;StartDt2SKorea),(tblData[SKorea]-AVERAGE(tblData[SKorea]))^2,"")</f>
        <v/>
      </c>
      <c r="BK13" s="11">
        <f>tblData[[#This Row],[Date]]-SKorea100dt+1</f>
        <v>-28</v>
      </c>
      <c r="BL13" s="137" t="str">
        <f ca="1">IF(AND(tblData[Date]&gt;StartDt2UK,ISNUMBER(tblData[Days'# UK])),betaUK/(deltaUK+betaPodeltaUK*EXP(-betaUK*tblData[Days'# UK])),"")</f>
        <v/>
      </c>
      <c r="BM13" s="11" t="str">
        <f ca="1">IF(AND(tblData[Date]&gt;StartDt2UK,ISNUMBER(tblData[UK])),(tblData[[#This Row],[UK LogiP(t)]]-tblData[[#This Row],[UK]])^2,"")</f>
        <v/>
      </c>
      <c r="BN13" s="11" t="str">
        <f ca="1">IF(ISNUMBER(tblData[Days'# UK]),tblData[[#This Row],[UK LogiP(t)]]/$BL$9,"")</f>
        <v/>
      </c>
      <c r="BO13" s="137" t="str">
        <f ca="1">IF(AND(ISNUMBER(tblData[UK]),tblData[Date]&gt;StartDt2UK),(tblData[UK]-AVERAGE(tblData[UK]))^2,"")</f>
        <v/>
      </c>
      <c r="BP13" s="11">
        <f>tblData[[#This Row],[Date]]-UK100dt</f>
        <v>-48</v>
      </c>
      <c r="BQ13" s="11">
        <f ca="1">IF(ISNUMBER(tblData[Days'# China]),betaChina/(deltaChina+betaPodeltaChina*EXP(-betaChina*tblData[Days'# China])),"")</f>
        <v>2407.3827984620416</v>
      </c>
      <c r="BR13" s="11">
        <f ca="1">IF(ISNUMBER(tblData[China]),(tblData[[#This Row],[China LogiP(t)]]-tblData[[#This Row],[China]])^2,"")</f>
        <v>2212307.5891607744</v>
      </c>
      <c r="BS13" s="11">
        <f ca="1">tblData[[#This Row],[China LogiP(t)]]/$BQ$9</f>
        <v>16.725790531664515</v>
      </c>
      <c r="BT13" s="137">
        <f ca="1">IF(AND(ISNUMBER(tblData[China]),tblData[Date]&gt;StartDt2China),(tblData[China]-AVERAGE(tblData[China]))^2,"")</f>
        <v>3505700677.4243207</v>
      </c>
      <c r="BU13" s="11">
        <f>tblData[[#This Row],[Date]]-China100dt</f>
        <v>2</v>
      </c>
      <c r="BV13" s="106" t="str">
        <f>IF(ISNUMBER(tblData[Day'# Singapore]),betaSingapore/(deltaSingapore+betaPodeltaSingapore*EXP(-betaSingapore*tblData[Day'# Singapore])),"")</f>
        <v/>
      </c>
      <c r="BW13" s="11" t="str">
        <f>IF(AND(ISNUMBER(tblData[Singapore]),tblData[Date]&gt;=StartDt2Singapore),(tblData[[#This Row],[Singapore LogiP(t)]]-tblData[[#This Row],[Singapore]])^2,"")</f>
        <v/>
      </c>
      <c r="BX13" s="106" t="str">
        <f>IF(ISNUMBER(tblData[Day'# Singapore]),tblData[Singapore LogiP(t)]/$BV$9,"")</f>
        <v/>
      </c>
      <c r="BY13" s="106" t="str">
        <f>IF(AND(ISNUMBER(tblData[Singapore]),tblData[Date]&gt;StartDt2Singapore),(tblData[Singapore]-AVERAGE(tblData[Singapore]))^2,"")</f>
        <v/>
      </c>
      <c r="BZ13" s="11">
        <f>tblData[[#This Row],[Date]]-Singapore100dt+1</f>
        <v>-17</v>
      </c>
      <c r="CA13" s="11">
        <f ca="1">IF(AND(tblData[Date]&gt;StartDt2Generic,ISNUMBER(tblData[Day'# Generic])),betaGeneric/(deltaGeneric+betaPodeltaGeneric*EXP(-betaGeneric*tblData[Day'# Generic])),"")</f>
        <v>1.4825374727790478E-3</v>
      </c>
      <c r="CB13" s="106" t="str">
        <f ca="1">IF(AND(ISNUMBER(tblData[Generic]),tblData[Date]&gt;StartDt2Generic),(tblData[Generic LogiP(t)]-tblData[[#This Row],[Generic]])^2,"")</f>
        <v/>
      </c>
      <c r="CC13" s="11" t="str">
        <f ca="1">IF(AND(ISNUMBER(tblData[Generic]),tblData[Date]&gt;StartDt2Generic),tblData[Generic LogiP(t)]/$CA$9,"")</f>
        <v/>
      </c>
      <c r="CD13" s="106" t="str">
        <f ca="1">IF(AND(ISNUMBER(tblData[Generic]),tblData[Date]&gt;StartDt2Generic),(tblData[Generic]-AVERAGE(tblData[Generic]))^2,"")</f>
        <v/>
      </c>
      <c r="CE13" s="11">
        <f>tblData[[#This Row],[Date]]-Generic100dt+1</f>
        <v>-56</v>
      </c>
      <c r="CG13" s="11"/>
      <c r="CH13" s="11" t="str">
        <f>IF(ISNUMBER(tblData[[#This Row],[Tests]]),tblData[[#This Row],[Tests]]-CH12,"")</f>
        <v/>
      </c>
      <c r="CI13" s="11" t="str">
        <f>IF(ISNUMBER(tblData[[#This Row],[NSW Under Investigation'']]),tblData[[#This Row],[NSW Under Investigation'']]-CG12,"")</f>
        <v/>
      </c>
      <c r="CJ13" s="11"/>
      <c r="CK13" s="11" t="str">
        <f>IF(AND(tblData[[#This Row],[NSW Test Day Number]]&gt;0,ISNUMBER(tblData[[#This Row],[NSW Test Day Number]])),betaTests/(deltaTests+betaPodeltaTests*EXP(-betaTests*tblData[[#This Row],[NSW Test Day Number]])),"")</f>
        <v/>
      </c>
      <c r="CL13" s="11" t="str">
        <f>IF(tblData[Tests]&gt;0,(tblData[[#This Row],[Tests]]-tblData[[#This Row],[NSW Test Logi]])^2,"")</f>
        <v/>
      </c>
      <c r="CM13" s="106" t="str">
        <f>IF(AND(ISNUMBER(tblData[Tests]),tblData[Date]&gt;StartDt2Tests),(tblData[Tests]-AVERAGE(tblData[Tests]))^2,"")</f>
        <v/>
      </c>
      <c r="CN13" s="11" t="str">
        <f>IF(ISNUMBER(tblData[Tests]),tblData[Tests]/$CN$9/100,"")</f>
        <v/>
      </c>
      <c r="CO13" s="11" t="str">
        <f>IF(AND(tblData[[#This Row],[NSW Test Day Number]]&gt;0,ISNUMBER(tblData[[#This Row],[NSW Test Day Number]])),TestsLogestB*TestsLogestM^tblData[[#This Row],[NSW Test Day Number]],"")</f>
        <v/>
      </c>
      <c r="CP13" s="11" t="str">
        <f>IF(AND(tblData[[#This Row],[NSW Test Day Number]]&gt;0,ISNUMBER(tblData[Tests])),(tblData[Tests]-tblData[[#This Row],[NSW Test Per Capita]])^2,"")</f>
        <v/>
      </c>
      <c r="CQ13" s="11" t="str">
        <f ca="1">IF(AND(tblData[Day '# NSW]&gt;0,ISNUMBER(tblData[[#This Row],[Day '# NSW]])),NSWLogestB*NSWLogestM^tblData[[#This Row],[Day '# NSW]]/$CR$9,"")</f>
        <v/>
      </c>
      <c r="CR13" s="39" t="str">
        <f ca="1">IF(AND(ISNUMBER(tblData[NSW]),tblData[Date]&gt;StartDt2NSW),(tblData[NSW]/$CR$9-tblData[[#This Row],[NSW Cases LogEst]])^2,"")</f>
        <v/>
      </c>
      <c r="CS13" s="11"/>
      <c r="CT13" s="11"/>
      <c r="CU13" s="1"/>
      <c r="CV13" t="s">
        <v>58</v>
      </c>
      <c r="CW13" s="168">
        <v>43923.637337962966</v>
      </c>
      <c r="CX13" s="72">
        <f>INDEX(tblPopulation[Day 0],MATCH(tblRuns[[#This Row],[Place]],tblPopulation[Country],0),1)</f>
        <v>43860</v>
      </c>
      <c r="CY13" s="72">
        <f ca="1">INDEX(tblPopulation[Logistic Start2],MATCH($CV13,tblPopulation[CtryAbbrev],0),1)</f>
        <v>43860</v>
      </c>
      <c r="CZ13">
        <v>2</v>
      </c>
      <c r="DA13" s="44">
        <v>0.25663492320892073</v>
      </c>
      <c r="DB13" s="24">
        <v>2.6383830612608161E-6</v>
      </c>
      <c r="DC13" s="84">
        <v>0.44319016308144682</v>
      </c>
      <c r="DD13" s="23">
        <f>betaItaly/deltaItaly</f>
        <v>97269.773664435765</v>
      </c>
      <c r="DE13" s="34">
        <f ca="1">SQRT(SUM(tblData[Italy Sq Err])/COUNT(tblData[Italy Sq Err]))</f>
        <v>5899.4841771520232</v>
      </c>
      <c r="DF13" s="24">
        <f ca="1">SUM(tblData[Italy Mean Devn Sq])</f>
        <v>67412747171.839508</v>
      </c>
      <c r="DG13" s="82">
        <f ca="1">1-(SUM(tblData[Italy Sq Err])/SUM(tblData[Italy Mean Devn Sq]))</f>
        <v>0.96799058440682628</v>
      </c>
      <c r="DH13" s="83">
        <f>(betaItaly/PoItaly)-deltaItaly</f>
        <v>0.57906013102628118</v>
      </c>
      <c r="DI13" s="83">
        <f>tblRuns[d]*1000</f>
        <v>2.6383830612608161E-3</v>
      </c>
      <c r="DJ13" s="26">
        <f t="array" ref="DJ13">MAX(IF(ISNUMBER(tblData[Italy]),tblData[Date]))</f>
        <v>43922</v>
      </c>
      <c r="DK13" s="26" t="str">
        <f>Cengnotation(tblRuns[[#This Row],[Asymptote b/d]],3)</f>
        <v>97.3 k</v>
      </c>
      <c r="DL13" s="106">
        <f ca="1">MAX(tblData[Italy LogiP(t)])</f>
        <v>97269.773664435765</v>
      </c>
      <c r="DM13" s="25">
        <f>MAX(tblData[Italy])</f>
        <v>110574</v>
      </c>
      <c r="DN13" s="25" t="str">
        <f>Cengnotation(DD13/(ItalyPop/PerPerson),3)</f>
        <v>16.1 k</v>
      </c>
      <c r="DO13" s="1">
        <f t="array" ref="DO13">MAX(IF(ISNUMBER(tblData[Italy]),tblData[Date]))</f>
        <v>43922</v>
      </c>
      <c r="DP13" s="11">
        <f t="array" ref="DP13">COUNT(IF(ISNUMBER(tblData[Italy]),tblData[Date]))</f>
        <v>63</v>
      </c>
      <c r="DQ13"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b=0.257, d=2.64E-06, P0=.001, r2=968.E-3, Limit=16.1 k=&gt;97.3 k cases </v>
      </c>
      <c r="DR13"/>
      <c r="DS13" s="25" t="str">
        <f t="shared" si="0"/>
        <v>Italy Limit 16.1 k</v>
      </c>
      <c r="DU13" s="18" t="str">
        <f ca="1">"COVID19 "&amp;CV13 &amp; " " &amp;LogFormula&amp;CHAR(10)&amp;DQ13&amp;CHAR(10)&amp;" (Fit: " &amp; TEXT(tblRuns[Logistic Start2],"ddd dd-mmm") &amp; " - " &amp; TEXT(tblRuns[Last Date],"ddd dd-mmm")&amp;")"&amp;IF(PopScaling=0,"",", "&amp;PerPersonLabel)</f>
        <v>COVID19 Italy P(t) = b / {d+[( b/Po - d ) ]* exp(-b*t)}
b=0.257, d=2.64E-06, P0=.001, r2=968.E-3, Limit=16.1 k=&gt;97.3 k cases 
 (Fit: Thu 30-Jan - Wed 01-Apr), Cases per 10 M population</v>
      </c>
      <c r="DV13" s="20">
        <f>MAX(tblData[Italy Cases per Capita])</f>
        <v>18281.226750433994</v>
      </c>
      <c r="DW13" s="170">
        <f>IF(tblRuns[[#This Row],[Max Cases Per Capita]]&gt;NSWMaxCasespc,INDEX(tblData[Date],1+MATCH(NSWMaxCasespc,tblData[Italy Cases per Capita],1)),INDEX(tblData[Date],1+MATCH(tblRuns[[#This Row],[Max Cases Per Capita]],tblData[NSW Cases per Capita],1)))</f>
        <v>43903</v>
      </c>
      <c r="DX13" s="11">
        <f t="shared" ref="DX13:DX18" si="1">IF(DV13&gt;NSWMaxCasespc,1,-1)*(DJ$12-DW13)</f>
        <v>20</v>
      </c>
      <c r="DY13" s="26">
        <f>IF(tblRuns[[#This Row],[Max Cases Per Capita]]&gt;AuMaxCasespc,INDEX(tblData[Date],1+MATCH(AuMaxCasespc,tblData[Italy Cases per Capita],1)),INDEX(tblData[Date],1+MATCH(tblRuns[[#This Row],[Max Cases Per Capita]],tblData[Au Cases Per Capita],1)))</f>
        <v>43901</v>
      </c>
      <c r="DZ13" s="11">
        <f t="shared" ref="DZ13:DZ18" si="2">IF(DV13&gt;AuMaxCasespc,1,-1)*(DJ$13-DY13+1)</f>
        <v>22</v>
      </c>
      <c r="EB13" s="11">
        <f ca="1">INDEX(tblData[Italy LogiP(t)],MATCH(VALUE(tblRuns[AtDate])+7,tblData[Date],1))</f>
        <v>96069.206388871564</v>
      </c>
      <c r="EC13" s="19">
        <f ca="1">tblRuns[Mean Sq Err]/tblRuns[Max Cases Per Capita]</f>
        <v>0.32270723719413252</v>
      </c>
      <c r="ED13" s="144">
        <f>IF(MIN(tblData[Italy Cases per Capita])&gt;0,MIN(tblData[Date]),INDEX(tblData[Date],1+MATCH(solvMsgs!MinCases, tblData[Italy Cases per Capita],1)))</f>
        <v>43888</v>
      </c>
      <c r="EE13" s="145" t="str">
        <f>tblRuns[[#This Row],[Place]]&amp;" from "&amp;TEXT(tblRuns[DateOver100],"dd-mmm")</f>
        <v>Italy from 27-Feb</v>
      </c>
      <c r="EF13" s="25" t="s">
        <v>58</v>
      </c>
      <c r="EJ13" s="146"/>
      <c r="EK13"/>
      <c r="EL13"/>
      <c r="EM13"/>
      <c r="EN13"/>
      <c r="EO13"/>
      <c r="EP13"/>
      <c r="EQ13"/>
      <c r="ER13"/>
      <c r="ES13"/>
      <c r="ET13"/>
      <c r="EU13" s="25" t="s">
        <v>48</v>
      </c>
      <c r="EV13" s="69"/>
      <c r="EW13" s="26">
        <v>43855</v>
      </c>
      <c r="EY13" s="25">
        <v>0</v>
      </c>
      <c r="EZ13" s="25">
        <v>0.20329336152663352</v>
      </c>
      <c r="FA13" s="24">
        <v>9.9999999999999995E-7</v>
      </c>
      <c r="FB13" s="21">
        <v>1.1946625698450987E-2</v>
      </c>
      <c r="FC13" s="82">
        <v>203293.36152663353</v>
      </c>
      <c r="FD13" s="82">
        <v>11.355599354824715</v>
      </c>
      <c r="FE13" s="12">
        <v>17.016800786381637</v>
      </c>
      <c r="FF13" s="84">
        <v>1E-3</v>
      </c>
      <c r="FG13" s="26">
        <v>43910</v>
      </c>
      <c r="FH13" s="25" t="s">
        <v>967</v>
      </c>
      <c r="FI13" s="84"/>
      <c r="FJ13" s="84">
        <v>876</v>
      </c>
      <c r="FK13" s="25" t="s">
        <v>968</v>
      </c>
      <c r="FL13" s="26">
        <v>43910</v>
      </c>
      <c r="FM13" s="25">
        <v>59</v>
      </c>
      <c r="FN13" s="25" t="s">
        <v>969</v>
      </c>
      <c r="FO13" s="25"/>
      <c r="FP13" s="25" t="s">
        <v>970</v>
      </c>
      <c r="FR13" s="25" t="s">
        <v>971</v>
      </c>
      <c r="FS13" s="19">
        <v>345.37139252483837</v>
      </c>
      <c r="FT13" s="72"/>
      <c r="FU13" s="25"/>
      <c r="FV13" s="72"/>
      <c r="FW13" s="25"/>
      <c r="FX13" s="25" t="s">
        <v>972</v>
      </c>
      <c r="FY13" s="25"/>
      <c r="FZ13" s="25"/>
      <c r="GA13" s="25"/>
    </row>
    <row r="14" spans="1:183" ht="18.75" customHeight="1" x14ac:dyDescent="0.25">
      <c r="B14" s="1">
        <v>43855</v>
      </c>
      <c r="C14">
        <v>0</v>
      </c>
      <c r="D14" s="25">
        <v>0</v>
      </c>
      <c r="E14">
        <v>0</v>
      </c>
      <c r="F14">
        <v>0</v>
      </c>
      <c r="G14">
        <v>0</v>
      </c>
      <c r="H14">
        <v>0</v>
      </c>
      <c r="I14">
        <v>0</v>
      </c>
      <c r="J14">
        <v>0</v>
      </c>
      <c r="K14">
        <v>0</v>
      </c>
      <c r="L14" s="12">
        <f>IF(ISNUMBER(tblData[[#This Row],[NSW]]),tblData[[#This Row],[New South Wales]]/$L$9,"")</f>
        <v>0</v>
      </c>
      <c r="N14" s="25" t="str">
        <f>IF(ISNUMBER(tblData[Italy]),tblData[Italy]/$N$9,"")</f>
        <v/>
      </c>
      <c r="O14">
        <v>2</v>
      </c>
      <c r="P14" s="106">
        <f>IF(ISNUMBER(tblData[US]),tblData[US]/$P$9,"")</f>
        <v>6.0748221384718901E-2</v>
      </c>
      <c r="Q14">
        <v>2</v>
      </c>
      <c r="R14" s="19">
        <f>IF(ISNUMBER(tblData[SKorea]),tblData[SKorea]/$R$9,"")</f>
        <v>0.38910505836575876</v>
      </c>
      <c r="T14" s="25" t="str">
        <f>IF(ISNUMBER(tblData[UK]),tblData[UK]/$T$9,"")</f>
        <v/>
      </c>
      <c r="U14">
        <v>1406</v>
      </c>
      <c r="V14" s="20">
        <f>IF(ISNUMBER(tblData[China]),tblData[China]/$V$9,"")</f>
        <v>9.7684761652961125</v>
      </c>
      <c r="W14">
        <v>3</v>
      </c>
      <c r="X14" s="20">
        <f>IF(ISNUMBER(tblData[Singapore]),tblData[Singapore]/$X$9,"")</f>
        <v>5.1282051282051286</v>
      </c>
      <c r="Y14"/>
      <c r="Z14" s="20" t="str">
        <f>IF(AND(LEN(tblData[Generic])&gt;0,ISNUMBER(tblData[Generic])),tblData[Generic]/$Z$9,"")</f>
        <v/>
      </c>
      <c r="AA14" s="25" t="str">
        <f ca="1">IF(tblData[[#This Row],[Date]]&lt;StartDt2Italy,"",tblData[[#This Row],[Date]]-ItalyStart)</f>
        <v/>
      </c>
      <c r="AB14" s="25">
        <f ca="1">IF(tblData[[#This Row],[Date]]&lt;=StartDt2US,"",tblData[[#This Row],[Date]]-USStart)</f>
        <v>3</v>
      </c>
      <c r="AC14" s="25">
        <f ca="1">IF(tblData[[#This Row],[Date]]&lt;StartDt2China,"",tblData[[#This Row],[Date]]-ChinaStart)</f>
        <v>3</v>
      </c>
      <c r="AD14" s="25">
        <f>IF(tblData[[#This Row],[Date]]&lt;=SKoreaStart,"",tblData[[#This Row],[Date]]-SKoreaStart)</f>
        <v>3</v>
      </c>
      <c r="AE14" s="25" t="str">
        <f ca="1">IF(tblData[[#This Row],[Date]]&lt;=StartDt2UK,"",tblData[[#This Row],[Date]]-UKStart)</f>
        <v/>
      </c>
      <c r="AF14" s="25" t="str">
        <f>IF(tblData[[#This Row],[Date]]&lt;StartDt2Singapore,"",tblData[[#This Row],[Date]]-SingaporeStart)</f>
        <v/>
      </c>
      <c r="AG14" s="25">
        <f ca="1">IF(tblData[[#This Row],[Date]]&lt;StartDt2Generic,"",tblData[[#This Row],[Date]]-GenericStart)</f>
        <v>3</v>
      </c>
      <c r="AH14" t="str">
        <f ca="1">IF(tblData[Date]&gt;StartDt2Au,tblData[Date]-AuStart,"")</f>
        <v/>
      </c>
      <c r="AI14" s="25">
        <f>IF(tblData[New South Wales]&gt;=0,SUM(tblData[[#This Row],[Australian Capital Territory]:[Western Australia]]),"")</f>
        <v>0</v>
      </c>
      <c r="AJ14" s="25">
        <f>IF(ISNUMBER(tblData[Au]),tblData[Au]/$AE$9,"")</f>
        <v>0</v>
      </c>
      <c r="AK14" s="19" t="str">
        <f ca="1">IF(ISNUMBER(tblData[[#This Row],[Day'# Aust]]),betaAu/(deltaAu+betaPodeltaAu*EXP(-betaAu*tblData[[#This Row],[Day'# Aust]])),"")</f>
        <v/>
      </c>
      <c r="AL14" s="62" t="str">
        <f ca="1">IF(ISNUMBER(tblData[Day'# Aust]),tblData[Au LogiP(t)]/$AJ$9,"")</f>
        <v/>
      </c>
      <c r="AM14" s="11" t="str">
        <f ca="1">IF(AND(tblData[Date]&gt;StartDt2Au,ISNUMBER(tblData[NSW])),(tblData[[#This Row],[Au LogiP(t)]]-tblData[[#This Row],[Au]])^2,"")</f>
        <v/>
      </c>
      <c r="AN14" s="11" t="str">
        <f ca="1">IF(AND(ISNUMBER(tblData[Au]),tblData[Date]&gt;StartDt2Au),(tblData[Au]-AVERAGE(tblData[Au]))^2,"")</f>
        <v/>
      </c>
      <c r="AO14" s="11">
        <f>tblData[[#This Row],[Date]]-Au100dt</f>
        <v>-49</v>
      </c>
      <c r="AP14" t="str">
        <f ca="1">IF(tblData[Date]&gt;StartDt2NSW,tblData[Date]-StartDt2NSW,"")</f>
        <v/>
      </c>
      <c r="AQ14" s="25">
        <f>IF(tblData[[#This Row],[New South Wales]]&gt;=0,tblData[[#This Row],[New South Wales]],"")</f>
        <v>0</v>
      </c>
      <c r="AR14" s="11" t="str">
        <f ca="1">IF(tblData[Date]&gt;StartDt2NSW,betaNSW/(deltaNSW+betaPodeltaNSW*EXP(-betaNSW*tblData[[#This Row],[Day '# NSW]])),"")</f>
        <v/>
      </c>
      <c r="AS14" s="12" t="str">
        <f ca="1">IF(AND(ISNUMBER(tblData[NSW]),tblData[Date]&gt;StartDt2NSW),(tblData[[#This Row],[NSW LogiP(t)]]-tblData[[#This Row],[NSW]])^2,"")</f>
        <v/>
      </c>
      <c r="AT14" s="12" t="str">
        <f ca="1">IF(AND(tblData[Date]&gt;StartDt2NSW,ISNUMBER(tblData[Day'# Aust])),tblData[NSW LogiP(t)]/$AR$9,"")</f>
        <v/>
      </c>
      <c r="AU14" s="11">
        <f>tblData[[#This Row],[Date]]-NSW100dt+1</f>
        <v>-45</v>
      </c>
      <c r="AV14" s="11" t="str">
        <f ca="1">IF(AND(ISNUMBER(tblData[NSW]),tblData[Date]&gt;StartDt2NSW),(tblData[NSW]-AVERAGE(tblData[NSW]))^2,"")</f>
        <v/>
      </c>
      <c r="AW14" s="39" t="str">
        <f ca="1">IF(AND(tblData[Date]&gt;StartDt2Italy,ISNUMBER(tblData[Days'# Italy])),betaItaly/(deltaItaly+betaPodeltaItaly*EXP(-betaItaly*tblData[Days'# Italy])),"")</f>
        <v/>
      </c>
      <c r="AX14" s="11" t="str">
        <f ca="1">IF(AND(tblData[Date]&gt;StartDt2Italy,ISNUMBER(tblData[Italy])),(tblData[[#This Row],[Italy LogiP(t)]]-tblData[[#This Row],[Italy]])^2,"")</f>
        <v/>
      </c>
      <c r="AY14" s="11" t="str">
        <f ca="1">IF(AND(tblData[Date]&gt;StartDt2Italy,ISNUMBER(tblData[Days'# Italy])),tblData[[#This Row],[Italy LogiP(t)]]/$AW$9,"")</f>
        <v/>
      </c>
      <c r="AZ14" s="11" t="str">
        <f ca="1">IF(AND(ISNUMBER(tblData[Italy]),tblData[Date]&gt;StartDt2Italy),(tblData[Italy]-AVERAGE(tblData[Italy]))^2,"")</f>
        <v/>
      </c>
      <c r="BA14" s="11">
        <f>tblData[[#This Row],[Date]]-Italy100dt+1</f>
        <v>-32</v>
      </c>
      <c r="BB14" s="11">
        <f ca="1">IF(AND(tblData[Date]&gt;StartDt2US,ISNUMBER(tblData[[#This Row],[Days'# US]])),betaUS/(deltaUS+betaPodeltaUS*EXP(-betaUS*tblData[Days'# US])),"")</f>
        <v>2.3427077461678604E-3</v>
      </c>
      <c r="BC14" s="11">
        <f ca="1">IF(AND(tblData[Date]&gt;StartDt2US,ISNUMBER(tblData[US])),(tblData[[#This Row],[US LogiP(t)]]-tblData[US])^2,"")</f>
        <v>3.9906346572949123</v>
      </c>
      <c r="BD14" s="137">
        <f ca="1">IF(AND(tblData[Date]&gt;=StartDt2US,ISNUMBER(tblData[[#This Row],[Days'# US]])),tblData[[#This Row],[US LogiP(t)]]/$BB$9,"")</f>
        <v>7.1157664401950513E-5</v>
      </c>
      <c r="BE14" s="137">
        <f ca="1">IF(AND(ISNUMBER(tblData[US]),tblData[Date]&gt;StartDt2US),(tblData[US]-AVERAGE(tblData[US]))^2,"")</f>
        <v>335353072.64511007</v>
      </c>
      <c r="BF14" s="11">
        <f>tblData[[#This Row],[Date]]-US100dt+1</f>
        <v>-48</v>
      </c>
      <c r="BG14" s="11" t="str">
        <f ca="1">IF(tblData[Date]&gt;StartDt2SKorea,betaSKorea/(deltaSKorea+betaPodeltaSKorea*EXP(-betaSKorea*(tblData[Date]-StartDt2SKorea))),"")</f>
        <v/>
      </c>
      <c r="BH14" s="11" t="str">
        <f ca="1">IF(AND(tblData[Date]&gt;StartDt2SKorea,ISNUMBER(tblData[SKorea])),(tblData[[#This Row],[SKorea LogiP(t)]]-tblData[[#This Row],[SKorea]])^2,"")</f>
        <v/>
      </c>
      <c r="BI14" s="11" t="str">
        <f ca="1">IF(tblData[Date]&gt;StartDt2SKorea,tblData[[#This Row],[SKorea LogiP(t)]]/$BG$9,"")</f>
        <v/>
      </c>
      <c r="BJ14" s="11" t="str">
        <f ca="1">IF(AND(ISNUMBER(tblData[SKorea]),tblData[Date]&gt;StartDt2SKorea),(tblData[SKorea]-AVERAGE(tblData[SKorea]))^2,"")</f>
        <v/>
      </c>
      <c r="BK14" s="11">
        <f>tblData[[#This Row],[Date]]-SKorea100dt+1</f>
        <v>-27</v>
      </c>
      <c r="BL14" s="137" t="str">
        <f ca="1">IF(AND(tblData[Date]&gt;StartDt2UK,ISNUMBER(tblData[Days'# UK])),betaUK/(deltaUK+betaPodeltaUK*EXP(-betaUK*tblData[Days'# UK])),"")</f>
        <v/>
      </c>
      <c r="BM14" s="11" t="str">
        <f ca="1">IF(AND(tblData[Date]&gt;StartDt2UK,ISNUMBER(tblData[UK])),(tblData[[#This Row],[UK LogiP(t)]]-tblData[[#This Row],[UK]])^2,"")</f>
        <v/>
      </c>
      <c r="BN14" s="11" t="str">
        <f ca="1">IF(ISNUMBER(tblData[Days'# UK]),tblData[[#This Row],[UK LogiP(t)]]/$BL$9,"")</f>
        <v/>
      </c>
      <c r="BO14" s="137" t="str">
        <f ca="1">IF(AND(ISNUMBER(tblData[UK]),tblData[Date]&gt;StartDt2UK),(tblData[UK]-AVERAGE(tblData[UK]))^2,"")</f>
        <v/>
      </c>
      <c r="BP14" s="11">
        <f>tblData[[#This Row],[Date]]-UK100dt</f>
        <v>-47</v>
      </c>
      <c r="BQ14" s="11">
        <f ca="1">IF(ISNUMBER(tblData[Days'# China]),betaChina/(deltaChina+betaPodeltaChina*EXP(-betaChina*tblData[Days'# China])),"")</f>
        <v>2980.5329431904352</v>
      </c>
      <c r="BR14" s="11">
        <f ca="1">IF(ISNUMBER(tblData[China]),(tblData[[#This Row],[China LogiP(t)]]-tblData[[#This Row],[China]])^2,"")</f>
        <v>2479153.989191934</v>
      </c>
      <c r="BS14" s="11">
        <f ca="1">tblData[[#This Row],[China LogiP(t)]]/$BQ$9</f>
        <v>20.707869854506143</v>
      </c>
      <c r="BT14" s="137">
        <f ca="1">IF(AND(ISNUMBER(tblData[China]),tblData[Date]&gt;StartDt2China),(tblData[China]-AVERAGE(tblData[China]))^2,"")</f>
        <v>3448385766.4947433</v>
      </c>
      <c r="BU14" s="11">
        <f>tblData[[#This Row],[Date]]-China100dt</f>
        <v>3</v>
      </c>
      <c r="BV14" s="106" t="str">
        <f>IF(ISNUMBER(tblData[Day'# Singapore]),betaSingapore/(deltaSingapore+betaPodeltaSingapore*EXP(-betaSingapore*tblData[Day'# Singapore])),"")</f>
        <v/>
      </c>
      <c r="BW14" s="11" t="str">
        <f>IF(AND(ISNUMBER(tblData[Singapore]),tblData[Date]&gt;=StartDt2Singapore),(tblData[[#This Row],[Singapore LogiP(t)]]-tblData[[#This Row],[Singapore]])^2,"")</f>
        <v/>
      </c>
      <c r="BX14" s="106" t="str">
        <f>IF(ISNUMBER(tblData[Day'# Singapore]),tblData[Singapore LogiP(t)]/$BV$9,"")</f>
        <v/>
      </c>
      <c r="BY14" s="106" t="str">
        <f>IF(AND(ISNUMBER(tblData[Singapore]),tblData[Date]&gt;StartDt2Singapore),(tblData[Singapore]-AVERAGE(tblData[Singapore]))^2,"")</f>
        <v/>
      </c>
      <c r="BZ14" s="11">
        <f>tblData[[#This Row],[Date]]-Singapore100dt+1</f>
        <v>-16</v>
      </c>
      <c r="CA14" s="11">
        <f ca="1">IF(AND(tblData[Date]&gt;StartDt2Generic,ISNUMBER(tblData[Day'# Generic])),betaGeneric/(deltaGeneric+betaPodeltaGeneric*EXP(-betaGeneric*tblData[Day'# Generic])),"")</f>
        <v>1.8051301050610519E-3</v>
      </c>
      <c r="CB14" s="106" t="str">
        <f ca="1">IF(AND(ISNUMBER(tblData[Generic]),tblData[Date]&gt;StartDt2Generic),(tblData[Generic LogiP(t)]-tblData[[#This Row],[Generic]])^2,"")</f>
        <v/>
      </c>
      <c r="CC14" s="11" t="str">
        <f ca="1">IF(AND(ISNUMBER(tblData[Generic]),tblData[Date]&gt;StartDt2Generic),tblData[Generic LogiP(t)]/$CA$9,"")</f>
        <v/>
      </c>
      <c r="CD14" s="106" t="str">
        <f ca="1">IF(AND(ISNUMBER(tblData[Generic]),tblData[Date]&gt;StartDt2Generic),(tblData[Generic]-AVERAGE(tblData[Generic]))^2,"")</f>
        <v/>
      </c>
      <c r="CE14" s="11">
        <f>tblData[[#This Row],[Date]]-Generic100dt+1</f>
        <v>-55</v>
      </c>
      <c r="CG14" s="11"/>
      <c r="CH14" s="11" t="str">
        <f>IF(ISNUMBER(tblData[[#This Row],[Tests]]),tblData[[#This Row],[Tests]]-CH13,"")</f>
        <v/>
      </c>
      <c r="CI14" s="11" t="str">
        <f>IF(ISNUMBER(tblData[[#This Row],[NSW Under Investigation'']]),tblData[[#This Row],[NSW Under Investigation'']]-CG13,"")</f>
        <v/>
      </c>
      <c r="CJ14" s="11"/>
      <c r="CK14" s="11" t="str">
        <f>IF(AND(tblData[[#This Row],[NSW Test Day Number]]&gt;0,ISNUMBER(tblData[[#This Row],[NSW Test Day Number]])),betaTests/(deltaTests+betaPodeltaTests*EXP(-betaTests*tblData[[#This Row],[NSW Test Day Number]])),"")</f>
        <v/>
      </c>
      <c r="CL14" s="11" t="str">
        <f>IF(tblData[Tests]&gt;0,(tblData[[#This Row],[Tests]]-tblData[[#This Row],[NSW Test Logi]])^2,"")</f>
        <v/>
      </c>
      <c r="CM14" s="106" t="str">
        <f>IF(AND(ISNUMBER(tblData[Tests]),tblData[Date]&gt;StartDt2Tests),(tblData[Tests]-AVERAGE(tblData[Tests]))^2,"")</f>
        <v/>
      </c>
      <c r="CN14" s="11" t="str">
        <f>IF(ISNUMBER(tblData[Tests]),tblData[Tests]/$CN$9/100,"")</f>
        <v/>
      </c>
      <c r="CO14" s="11" t="str">
        <f>IF(AND(tblData[[#This Row],[NSW Test Day Number]]&gt;0,ISNUMBER(tblData[[#This Row],[NSW Test Day Number]])),TestsLogestB*TestsLogestM^tblData[[#This Row],[NSW Test Day Number]],"")</f>
        <v/>
      </c>
      <c r="CP14" s="11" t="str">
        <f>IF(AND(tblData[[#This Row],[NSW Test Day Number]]&gt;0,ISNUMBER(tblData[Tests])),(tblData[Tests]-tblData[[#This Row],[NSW Test Per Capita]])^2,"")</f>
        <v/>
      </c>
      <c r="CQ14" s="11" t="str">
        <f ca="1">IF(AND(tblData[Day '# NSW]&gt;0,ISNUMBER(tblData[[#This Row],[Day '# NSW]])),NSWLogestB*NSWLogestM^tblData[[#This Row],[Day '# NSW]]/$CR$9,"")</f>
        <v/>
      </c>
      <c r="CR14" s="39" t="str">
        <f ca="1">IF(AND(ISNUMBER(tblData[NSW]),tblData[Date]&gt;StartDt2NSW),(tblData[NSW]/$CR$9-tblData[[#This Row],[NSW Cases LogEst]])^2,"")</f>
        <v/>
      </c>
      <c r="CS14" s="11"/>
      <c r="CT14" s="11"/>
      <c r="CU14" s="26"/>
      <c r="CV14" s="25" t="s">
        <v>209</v>
      </c>
      <c r="CW14" s="168">
        <v>43923.637418981481</v>
      </c>
      <c r="CX14" s="72">
        <f>INDEX(tblPopulation[Day 0],MATCH(tblRuns[[#This Row],[Place]],tblPopulation[Country],0),1)</f>
        <v>43852</v>
      </c>
      <c r="CY14" s="72">
        <f ca="1">INDEX(tblPopulation[Logistic Start2],MATCH($CV14,tblPopulation[Country],0),1)</f>
        <v>43852</v>
      </c>
      <c r="CZ14" s="25">
        <v>3</v>
      </c>
      <c r="DA14" s="44">
        <v>0.2837691396608879</v>
      </c>
      <c r="DB14" s="24">
        <v>4.4816758643210343E-7</v>
      </c>
      <c r="DC14" s="84">
        <v>1.0000000000000002E-3</v>
      </c>
      <c r="DD14" s="23">
        <f>betaUS/deltaUS</f>
        <v>633176.40153317607</v>
      </c>
      <c r="DE14" s="34">
        <f ca="1">SQRT(SUM(tblData[US Sq Err])/COUNT(tblData[US Sq Err]))</f>
        <v>7080.4659418732681</v>
      </c>
      <c r="DF14" s="24">
        <f ca="1">SUM(tblData[US Mean Devn Sq])</f>
        <v>146535666153.25629</v>
      </c>
      <c r="DG14" s="82">
        <f ca="1">1-(SUM(tblData[US Sq Err])/SUM(tblData[US Mean Devn Sq]))</f>
        <v>0.97605149688873938</v>
      </c>
      <c r="DH14" s="83">
        <f>(betaUS/PoUS)-deltaUS</f>
        <v>283.76913921272023</v>
      </c>
      <c r="DI14" s="83">
        <f>tblRuns[d]*1000</f>
        <v>4.4816758643210342E-4</v>
      </c>
      <c r="DJ14" s="26">
        <f t="array" ref="DJ14">MAX(IF(ISNUMBER(tblData[US]),tblData[Date]))</f>
        <v>43922</v>
      </c>
      <c r="DK14" s="26" t="str">
        <f>Cengnotation(tblRuns[[#This Row],[Asymptote b/d]],3)</f>
        <v>633 k</v>
      </c>
      <c r="DL14" s="106">
        <f ca="1">MAX(tblData[US LogiP(t)])</f>
        <v>633176.40153317607</v>
      </c>
      <c r="DM14" s="25">
        <f>MAX(tblData[US])</f>
        <v>213372</v>
      </c>
      <c r="DN14" s="25" t="str">
        <f>Cengnotation(DD14/(USpop/PerPerson),3)</f>
        <v>19.2 k</v>
      </c>
      <c r="DO14" s="26">
        <f t="array" ref="DO14">MAX(IF(ISNUMBER(tblData[Italy]),tblData[Date]))</f>
        <v>43922</v>
      </c>
      <c r="DP14" s="11">
        <f t="array" ref="DP14">COUNT(IF(ISNUMBER(tblData[US]),tblData[Date]))</f>
        <v>71</v>
      </c>
      <c r="DQ14"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b=0.284, d=4.48E-07, P0=.001, r2=976.1E-3, Limit=19.2 k=&gt;633 k cases </v>
      </c>
      <c r="DS14" s="25" t="str">
        <f t="shared" si="0"/>
        <v>USA Limit 19.2 k</v>
      </c>
      <c r="DT14" s="30"/>
      <c r="DU14" s="18" t="str">
        <f ca="1">"COVID19 "&amp;CV14 &amp; " " &amp;LogFormula&amp;CHAR(10)&amp;DQ14&amp;CHAR(10)&amp;" (Fit: " &amp; TEXT(tblRuns[Logistic Start2],"ddd dd-mmm") &amp; " - " &amp; TEXT(tblRuns[Last Date],"ddd dd-mmm")&amp;")"&amp;IF(PopScaling=0,"",", "&amp;PerPersonLabel)</f>
        <v>COVID19 USA P(t) = b / {d+[( b/Po - d ) ]* exp(-b*t)}
b=0.284, d=4.48E-07, P0=.001, r2=976.1E-3, Limit=19.2 k=&gt;633 k cases 
 (Fit: Wed 22-Jan - Wed 01-Apr), Cases per 10 M population</v>
      </c>
      <c r="DV14" s="20">
        <f>MAX(tblData[US Cases Per Capita])</f>
        <v>6480.9847466501205</v>
      </c>
      <c r="DW14" s="170">
        <f>IF(tblRuns[[#This Row],[Max Cases Per Capita]]&gt;NSWMaxCasespc,INDEX(tblData[Date],1+MATCH(NSWMaxCasespc,tblData[US Cases Per Capita],1)),INDEX(tblData[Date],1+MATCH(tblRuns[[#This Row],[Max Cases Per Capita]],tblData[NSW Cases per Capita],1)))</f>
        <v>43917</v>
      </c>
      <c r="DX14" s="11">
        <f t="shared" si="1"/>
        <v>6</v>
      </c>
      <c r="DY14" s="26">
        <f>IF(tblRuns[[#This Row],[Max Cases Per Capita]]&gt;AuMaxCasespc,INDEX(tblData[Date],1+MATCH(AuMaxCasespc,tblData[US Cases Per Capita],1)),INDEX(tblData[Date],1+MATCH(tblRuns[[#This Row],[Max Cases Per Capita]],tblData[Au Cases Per Capita],1)))</f>
        <v>43916</v>
      </c>
      <c r="DZ14" s="11">
        <f t="shared" si="2"/>
        <v>7</v>
      </c>
      <c r="EA14" s="25" t="e">
        <f>EA11&amp;CHAR(10)&amp;EA12</f>
        <v>#REF!</v>
      </c>
      <c r="EB14" s="11">
        <f ca="1">INDEX(tblData[US LogiP(t)],MATCH(VALUE(tblRuns[AtDate])+7,tblData[Date],1))</f>
        <v>386474.86476240924</v>
      </c>
      <c r="EC14" s="19">
        <f ca="1">tblRuns[Mean Sq Err]/tblRuns[Max Cases Per Capita]</f>
        <v>1.0924984734045249</v>
      </c>
      <c r="ED14" s="144">
        <f>IF(MIN(tblData[US Cases Per Capita])=0,MIN(tblData[Date]),INDEX(tblData[Date],1+MATCH(solvMsgs!MinCases, tblData[US Cases Per Capita],1)))</f>
        <v>43904</v>
      </c>
      <c r="EE14" s="145" t="str">
        <f>tblRuns[[#This Row],[Place]]&amp;" from "&amp;TEXT(tblRuns[DateOver100],"dd-mmm")</f>
        <v>USA from 14-Mar</v>
      </c>
      <c r="EF14" s="25" t="s">
        <v>209</v>
      </c>
      <c r="EJ14" s="146"/>
      <c r="EK14"/>
      <c r="EL14"/>
      <c r="EM14"/>
      <c r="EN14"/>
      <c r="EO14" t="s">
        <v>1252</v>
      </c>
      <c r="EP14" t="s">
        <v>1253</v>
      </c>
      <c r="EQ14"/>
      <c r="ER14"/>
      <c r="ES14"/>
      <c r="ET14"/>
      <c r="EU14" s="25" t="s">
        <v>48</v>
      </c>
      <c r="EV14" s="69">
        <v>43911.866249999999</v>
      </c>
      <c r="EW14" s="26">
        <v>43855</v>
      </c>
      <c r="EX14" s="26">
        <v>43855</v>
      </c>
      <c r="EY14" s="25">
        <v>0</v>
      </c>
      <c r="EZ14" s="25">
        <v>0.20648931335259277</v>
      </c>
      <c r="FA14" s="24">
        <v>1.0000000000000768E-9</v>
      </c>
      <c r="FB14" s="21">
        <v>1.0150253776574341E-2</v>
      </c>
      <c r="FC14" s="82">
        <v>206489313.35257691</v>
      </c>
      <c r="FD14" s="82">
        <v>10.992507007919523</v>
      </c>
      <c r="FE14" s="12">
        <v>20.343266078627209</v>
      </c>
      <c r="FF14" s="84">
        <v>1.0000000000000768E-6</v>
      </c>
      <c r="FG14" s="26">
        <v>43911</v>
      </c>
      <c r="FH14" s="25" t="s">
        <v>1047</v>
      </c>
      <c r="FI14" s="84"/>
      <c r="FJ14" s="84">
        <v>1068</v>
      </c>
      <c r="FK14" s="25" t="s">
        <v>1048</v>
      </c>
      <c r="FL14" s="26">
        <v>43911</v>
      </c>
      <c r="FM14" s="25">
        <v>60</v>
      </c>
      <c r="FN14" s="25" t="s">
        <v>1049</v>
      </c>
      <c r="FO14"/>
      <c r="FP14" s="25" t="s">
        <v>1050</v>
      </c>
      <c r="FR14" s="25" t="s">
        <v>1051</v>
      </c>
      <c r="FS14" s="19">
        <v>421.06923198233716</v>
      </c>
      <c r="FT14" s="72"/>
      <c r="FU14" s="25"/>
      <c r="FV14" s="72"/>
      <c r="FW14" s="25"/>
      <c r="FX14" s="25" t="s">
        <v>1029</v>
      </c>
      <c r="FY14" s="25"/>
      <c r="FZ14" s="25"/>
      <c r="GA14" s="25"/>
    </row>
    <row r="15" spans="1:183" ht="15" customHeight="1" x14ac:dyDescent="0.25">
      <c r="B15" s="1">
        <v>43856</v>
      </c>
      <c r="C15">
        <v>0</v>
      </c>
      <c r="D15" s="25">
        <v>0</v>
      </c>
      <c r="E15">
        <v>3</v>
      </c>
      <c r="F15">
        <v>0</v>
      </c>
      <c r="G15">
        <v>0</v>
      </c>
      <c r="H15">
        <v>0</v>
      </c>
      <c r="I15">
        <v>0</v>
      </c>
      <c r="J15">
        <v>1</v>
      </c>
      <c r="K15">
        <v>0</v>
      </c>
      <c r="L15" s="12">
        <f>IF(ISNUMBER(tblData[[#This Row],[NSW]]),tblData[[#This Row],[New South Wales]]/$L$9,"")</f>
        <v>3.7128712871287126</v>
      </c>
      <c r="N15" s="25" t="str">
        <f>IF(ISNUMBER(tblData[Italy]),tblData[Italy]/$N$9,"")</f>
        <v/>
      </c>
      <c r="O15">
        <v>5</v>
      </c>
      <c r="P15" s="106">
        <f>IF(ISNUMBER(tblData[US]),tblData[US]/$P$9,"")</f>
        <v>0.15187055346179726</v>
      </c>
      <c r="Q15">
        <v>3</v>
      </c>
      <c r="R15" s="19">
        <f>IF(ISNUMBER(tblData[SKorea]),tblData[SKorea]/$R$9,"")</f>
        <v>0.58365758754863817</v>
      </c>
      <c r="T15" s="25" t="str">
        <f>IF(ISNUMBER(tblData[UK]),tblData[UK]/$T$9,"")</f>
        <v/>
      </c>
      <c r="U15">
        <v>2075</v>
      </c>
      <c r="V15" s="20">
        <f>IF(ISNUMBER(tblData[China]),tblData[China]/$V$9,"")</f>
        <v>14.416492206962612</v>
      </c>
      <c r="W15">
        <v>4</v>
      </c>
      <c r="X15" s="20">
        <f>IF(ISNUMBER(tblData[Singapore]),tblData[Singapore]/$X$9,"")</f>
        <v>6.8376068376068382</v>
      </c>
      <c r="Y15"/>
      <c r="Z15" s="20" t="str">
        <f>IF(AND(LEN(tblData[Generic])&gt;0,ISNUMBER(tblData[Generic])),tblData[Generic]/$Z$9,"")</f>
        <v/>
      </c>
      <c r="AA15" s="25" t="str">
        <f ca="1">IF(tblData[[#This Row],[Date]]&lt;StartDt2Italy,"",tblData[[#This Row],[Date]]-ItalyStart)</f>
        <v/>
      </c>
      <c r="AB15" s="25">
        <f ca="1">IF(tblData[[#This Row],[Date]]&lt;=StartDt2US,"",tblData[[#This Row],[Date]]-USStart)</f>
        <v>4</v>
      </c>
      <c r="AC15" s="25">
        <f ca="1">IF(tblData[[#This Row],[Date]]&lt;StartDt2China,"",tblData[[#This Row],[Date]]-ChinaStart)</f>
        <v>4</v>
      </c>
      <c r="AD15" s="25">
        <f>IF(tblData[[#This Row],[Date]]&lt;=SKoreaStart,"",tblData[[#This Row],[Date]]-SKoreaStart)</f>
        <v>4</v>
      </c>
      <c r="AE15" s="25" t="str">
        <f ca="1">IF(tblData[[#This Row],[Date]]&lt;=StartDt2UK,"",tblData[[#This Row],[Date]]-UKStart)</f>
        <v/>
      </c>
      <c r="AF15" s="25" t="str">
        <f>IF(tblData[[#This Row],[Date]]&lt;StartDt2Singapore,"",tblData[[#This Row],[Date]]-SingaporeStart)</f>
        <v/>
      </c>
      <c r="AG15" s="25">
        <f ca="1">IF(tblData[[#This Row],[Date]]&lt;StartDt2Generic,"",tblData[[#This Row],[Date]]-GenericStart)</f>
        <v>4</v>
      </c>
      <c r="AH15">
        <f ca="1">IF(tblData[Date]&gt;StartDt2Au,tblData[Date]-AuStart,"")</f>
        <v>1</v>
      </c>
      <c r="AI15" s="25">
        <f>IF(tblData[New South Wales]&gt;=0,SUM(tblData[[#This Row],[Australian Capital Territory]:[Western Australia]]),"")</f>
        <v>4</v>
      </c>
      <c r="AJ15" s="12">
        <f>IF(ISNUMBER(tblData[Au]),tblData[Au]/$AE$9,"")</f>
        <v>1.5770383220312254</v>
      </c>
      <c r="AK15" s="19">
        <f ca="1">IF(ISNUMBER(tblData[[#This Row],[Day'# Aust]]),betaAu/(deltaAu+betaPodeltaAu*EXP(-betaAu*tblData[[#This Row],[Day'# Aust]])),"")</f>
        <v>1.2879879363513821E-3</v>
      </c>
      <c r="AL15" s="62">
        <f ca="1">IF(ISNUMBER(tblData[Day'# Aust]),tblData[Au LogiP(t)]/$AJ$9,"")</f>
        <v>5.0780158348501107E-4</v>
      </c>
      <c r="AM15" s="11">
        <f ca="1">IF(AND(tblData[Date]&gt;StartDt2Au,ISNUMBER(tblData[NSW])),(tblData[[#This Row],[Au LogiP(t)]]-tblData[[#This Row],[Au]])^2,"")</f>
        <v>15.989697755422112</v>
      </c>
      <c r="AN15" s="11">
        <f ca="1">IF(AND(ISNUMBER(tblData[Au]),tblData[Date]&gt;StartDt2Au),(tblData[Au]-AVERAGE(tblData[Au]))^2,"")</f>
        <v>193033.49195636093</v>
      </c>
      <c r="AO15" s="11">
        <f>tblData[[#This Row],[Date]]-Au100dt</f>
        <v>-48</v>
      </c>
      <c r="AP15">
        <f ca="1">IF(tblData[Date]&gt;StartDt2NSW,tblData[Date]-StartDt2NSW,"")</f>
        <v>1</v>
      </c>
      <c r="AQ15" s="25">
        <f>IF(tblData[[#This Row],[New South Wales]]&gt;0,tblData[[#This Row],[New South Wales]],"")</f>
        <v>3</v>
      </c>
      <c r="AR15" s="44">
        <f ca="1">IF(tblData[Date]&gt;StartDt2NSW,betaNSW/(deltaNSW+betaPodeltaNSW*EXP(-betaNSW*tblData[[#This Row],[Day '# NSW]])),"")</f>
        <v>1.2684554330711203E-3</v>
      </c>
      <c r="AS15" s="12">
        <f ca="1">IF(AND(ISNUMBER(tblData[NSW]),tblData[Date]&gt;StartDt2NSW),(tblData[[#This Row],[NSW LogiP(t)]]-tblData[[#This Row],[NSW]])^2,"")</f>
        <v>8.9923908763807585</v>
      </c>
      <c r="AT15" s="12">
        <f ca="1">IF(AND(tblData[Date]&gt;StartDt2NSW,ISNUMBER(tblData[Day'# Aust])),tblData[NSW LogiP(t)]/$AR$9,"")</f>
        <v>1.5698705854840598E-3</v>
      </c>
      <c r="AU15" s="11">
        <f>tblData[[#This Row],[Date]]-NSW100dt+1</f>
        <v>-44</v>
      </c>
      <c r="AV15" s="11">
        <f ca="1">IF(AND(ISNUMBER(tblData[NSW]),tblData[Date]&gt;StartDt2NSW),(tblData[NSW]-AVERAGE(tblData[NSW]))^2,"")</f>
        <v>84571.383322831345</v>
      </c>
      <c r="AW15" s="39" t="str">
        <f ca="1">IF(AND(tblData[Date]&gt;StartDt2Italy,ISNUMBER(tblData[Days'# Italy])),betaItaly/(deltaItaly+betaPodeltaItaly*EXP(-betaItaly*tblData[Days'# Italy])),"")</f>
        <v/>
      </c>
      <c r="AX15" s="11" t="str">
        <f ca="1">IF(AND(tblData[Date]&gt;StartDt2Italy,ISNUMBER(tblData[Italy])),(tblData[[#This Row],[Italy LogiP(t)]]-tblData[[#This Row],[Italy]])^2,"")</f>
        <v/>
      </c>
      <c r="AY15" s="11" t="str">
        <f ca="1">IF(AND(tblData[Date]&gt;StartDt2Italy,ISNUMBER(tblData[Days'# Italy])),tblData[[#This Row],[Italy LogiP(t)]]/$AW$9,"")</f>
        <v/>
      </c>
      <c r="AZ15" s="11" t="str">
        <f ca="1">IF(AND(ISNUMBER(tblData[Italy]),tblData[Date]&gt;StartDt2Italy),(tblData[Italy]-AVERAGE(tblData[Italy]))^2,"")</f>
        <v/>
      </c>
      <c r="BA15" s="11">
        <f>tblData[[#This Row],[Date]]-Italy100dt+1</f>
        <v>-31</v>
      </c>
      <c r="BB15" s="11">
        <f ca="1">IF(AND(tblData[Date]&gt;StartDt2US,ISNUMBER(tblData[[#This Row],[Days'# US]])),betaUS/(deltaUS+betaPodeltaUS*EXP(-betaUS*tblData[Days'# US])),"")</f>
        <v>3.1114117288738845E-3</v>
      </c>
      <c r="BC15" s="11">
        <f ca="1">IF(AND(tblData[Date]&gt;StartDt2US,ISNUMBER(tblData[US])),(tblData[[#This Row],[US LogiP(t)]]-tblData[US])^2,"")</f>
        <v>24.968895563594209</v>
      </c>
      <c r="BD15" s="137">
        <f ca="1">IF(AND(tblData[Date]&gt;=StartDt2US,ISNUMBER(tblData[[#This Row],[Days'# US]])),tblData[[#This Row],[US LogiP(t)]]/$BB$9,"")</f>
        <v>9.4506364262320861E-5</v>
      </c>
      <c r="BE15" s="137">
        <f ca="1">IF(AND(ISNUMBER(tblData[US]),tblData[Date]&gt;StartDt2US),(tblData[US]-AVERAGE(tblData[US]))^2,"")</f>
        <v>335243205.75778615</v>
      </c>
      <c r="BF15" s="11">
        <f>tblData[[#This Row],[Date]]-US100dt+1</f>
        <v>-47</v>
      </c>
      <c r="BG15" s="11" t="str">
        <f ca="1">IF(tblData[Date]&gt;StartDt2SKorea,betaSKorea/(deltaSKorea+betaPodeltaSKorea*EXP(-betaSKorea*(tblData[Date]-StartDt2SKorea))),"")</f>
        <v/>
      </c>
      <c r="BH15" s="11" t="str">
        <f ca="1">IF(AND(tblData[Date]&gt;StartDt2SKorea,ISNUMBER(tblData[SKorea])),(tblData[[#This Row],[SKorea LogiP(t)]]-tblData[[#This Row],[SKorea]])^2,"")</f>
        <v/>
      </c>
      <c r="BI15" s="11" t="str">
        <f ca="1">IF(tblData[Date]&gt;StartDt2SKorea,tblData[[#This Row],[SKorea LogiP(t)]]/$BG$9,"")</f>
        <v/>
      </c>
      <c r="BJ15" s="11" t="str">
        <f ca="1">IF(AND(ISNUMBER(tblData[SKorea]),tblData[Date]&gt;StartDt2SKorea),(tblData[SKorea]-AVERAGE(tblData[SKorea]))^2,"")</f>
        <v/>
      </c>
      <c r="BK15" s="11">
        <f>tblData[[#This Row],[Date]]-SKorea100dt+1</f>
        <v>-26</v>
      </c>
      <c r="BL15" s="137" t="str">
        <f ca="1">IF(AND(tblData[Date]&gt;StartDt2UK,ISNUMBER(tblData[Days'# UK])),betaUK/(deltaUK+betaPodeltaUK*EXP(-betaUK*tblData[Days'# UK])),"")</f>
        <v/>
      </c>
      <c r="BM15" s="11" t="str">
        <f ca="1">IF(AND(tblData[Date]&gt;StartDt2UK,ISNUMBER(tblData[UK])),(tblData[[#This Row],[UK LogiP(t)]]-tblData[[#This Row],[UK]])^2,"")</f>
        <v/>
      </c>
      <c r="BN15" s="11" t="str">
        <f ca="1">IF(ISNUMBER(tblData[Days'# UK]),tblData[[#This Row],[UK LogiP(t)]]/$BL$9,"")</f>
        <v/>
      </c>
      <c r="BO15" s="137" t="str">
        <f ca="1">IF(AND(ISNUMBER(tblData[UK]),tblData[Date]&gt;StartDt2UK),(tblData[UK]-AVERAGE(tblData[UK]))^2,"")</f>
        <v/>
      </c>
      <c r="BP15" s="11">
        <f>tblData[[#This Row],[Date]]-UK100dt</f>
        <v>-46</v>
      </c>
      <c r="BQ15" s="11">
        <f ca="1">IF(ISNUMBER(tblData[Days'# China]),betaChina/(deltaChina+betaPodeltaChina*EXP(-betaChina*tblData[Days'# China])),"")</f>
        <v>3683.7610589793608</v>
      </c>
      <c r="BR15" s="11">
        <f ca="1">IF(ISNUMBER(tblData[China]),(tblData[[#This Row],[China LogiP(t)]]-tblData[[#This Row],[China]])^2,"")</f>
        <v>2588112.1448883945</v>
      </c>
      <c r="BS15" s="11">
        <f ca="1">tblData[[#This Row],[China LogiP(t)]]/$BQ$9</f>
        <v>25.593692818837731</v>
      </c>
      <c r="BT15" s="137">
        <f ca="1">IF(AND(ISNUMBER(tblData[China]),tblData[Date]&gt;StartDt2China),(tblData[China]-AVERAGE(tblData[China]))^2,"")</f>
        <v>3370262010.0299544</v>
      </c>
      <c r="BU15" s="11">
        <f>tblData[[#This Row],[Date]]-China100dt</f>
        <v>4</v>
      </c>
      <c r="BV15" s="106" t="str">
        <f>IF(ISNUMBER(tblData[Day'# Singapore]),betaSingapore/(deltaSingapore+betaPodeltaSingapore*EXP(-betaSingapore*tblData[Day'# Singapore])),"")</f>
        <v/>
      </c>
      <c r="BW15" s="11" t="str">
        <f>IF(AND(ISNUMBER(tblData[Singapore]),tblData[Date]&gt;=StartDt2Singapore),(tblData[[#This Row],[Singapore LogiP(t)]]-tblData[[#This Row],[Singapore]])^2,"")</f>
        <v/>
      </c>
      <c r="BX15" s="106" t="str">
        <f>IF(ISNUMBER(tblData[Day'# Singapore]),tblData[Singapore LogiP(t)]/$BV$9,"")</f>
        <v/>
      </c>
      <c r="BY15" s="106" t="str">
        <f>IF(AND(ISNUMBER(tblData[Singapore]),tblData[Date]&gt;StartDt2Singapore),(tblData[Singapore]-AVERAGE(tblData[Singapore]))^2,"")</f>
        <v/>
      </c>
      <c r="BZ15" s="11">
        <f>tblData[[#This Row],[Date]]-Singapore100dt+1</f>
        <v>-15</v>
      </c>
      <c r="CA15" s="11">
        <f ca="1">IF(AND(tblData[Date]&gt;StartDt2Generic,ISNUMBER(tblData[Day'# Generic])),betaGeneric/(deltaGeneric+betaPodeltaGeneric*EXP(-betaGeneric*tblData[Day'# Generic])),"")</f>
        <v>2.1979172139332225E-3</v>
      </c>
      <c r="CB15" s="106" t="str">
        <f ca="1">IF(AND(ISNUMBER(tblData[Generic]),tblData[Date]&gt;StartDt2Generic),(tblData[Generic LogiP(t)]-tblData[[#This Row],[Generic]])^2,"")</f>
        <v/>
      </c>
      <c r="CC15" s="11" t="str">
        <f ca="1">IF(AND(ISNUMBER(tblData[Generic]),tblData[Date]&gt;StartDt2Generic),tblData[Generic LogiP(t)]/$CA$9,"")</f>
        <v/>
      </c>
      <c r="CD15" s="106" t="str">
        <f ca="1">IF(AND(ISNUMBER(tblData[Generic]),tblData[Date]&gt;StartDt2Generic),(tblData[Generic]-AVERAGE(tblData[Generic]))^2,"")</f>
        <v/>
      </c>
      <c r="CE15" s="11">
        <f>tblData[[#This Row],[Date]]-Generic100dt+1</f>
        <v>-54</v>
      </c>
      <c r="CG15" s="11"/>
      <c r="CH15" s="11" t="str">
        <f>IF(ISNUMBER(tblData[[#This Row],[Tests]]),tblData[[#This Row],[Tests]]-CH14,"")</f>
        <v/>
      </c>
      <c r="CI15" s="11" t="str">
        <f>IF(ISNUMBER(tblData[[#This Row],[NSW Under Investigation'']]),tblData[[#This Row],[NSW Under Investigation'']]-CG14,"")</f>
        <v/>
      </c>
      <c r="CJ15" s="11"/>
      <c r="CK15" s="11" t="str">
        <f>IF(AND(tblData[[#This Row],[NSW Test Day Number]]&gt;0,ISNUMBER(tblData[[#This Row],[NSW Test Day Number]])),betaTests/(deltaTests+betaPodeltaTests*EXP(-betaTests*tblData[[#This Row],[NSW Test Day Number]])),"")</f>
        <v/>
      </c>
      <c r="CL15" s="11" t="str">
        <f>IF(tblData[Tests]&gt;0,(tblData[[#This Row],[Tests]]-tblData[[#This Row],[NSW Test Logi]])^2,"")</f>
        <v/>
      </c>
      <c r="CM15" s="106" t="str">
        <f>IF(AND(ISNUMBER(tblData[Tests]),tblData[Date]&gt;StartDt2Tests),(tblData[Tests]-AVERAGE(tblData[Tests]))^2,"")</f>
        <v/>
      </c>
      <c r="CN15" s="11" t="str">
        <f>IF(ISNUMBER(tblData[Tests]),tblData[Tests]/$CN$9/100,"")</f>
        <v/>
      </c>
      <c r="CO15" s="11" t="str">
        <f>IF(AND(tblData[[#This Row],[NSW Test Day Number]]&gt;0,ISNUMBER(tblData[[#This Row],[NSW Test Day Number]])),TestsLogestB*TestsLogestM^tblData[[#This Row],[NSW Test Day Number]],"")</f>
        <v/>
      </c>
      <c r="CP15" s="11" t="str">
        <f>IF(AND(tblData[[#This Row],[NSW Test Day Number]]&gt;0,ISNUMBER(tblData[Tests])),(tblData[Tests]-tblData[[#This Row],[NSW Test Per Capita]])^2,"")</f>
        <v/>
      </c>
      <c r="CQ15" s="39">
        <f ca="1">IF(AND(tblData[Day '# NSW]&gt;0,ISNUMBER(tblData[[#This Row],[Day '# NSW]])),NSWLogestB*NSWLogestM^tblData[[#This Row],[Day '# NSW]]/$CR$9,"")</f>
        <v>1.1049996184781083</v>
      </c>
      <c r="CR15" s="39">
        <f ca="1">IF(AND(ISNUMBER(tblData[NSW]),tblData[Date]&gt;StartDt2NSW),(tblData[NSW]/$CR$9-tblData[[#This Row],[NSW Cases LogEst]])^2,"")</f>
        <v>6.8009946401504884</v>
      </c>
      <c r="CS15" s="11"/>
      <c r="CT15" s="11"/>
      <c r="CU15" s="26"/>
      <c r="CV15" s="25" t="s">
        <v>176</v>
      </c>
      <c r="CW15" s="168">
        <v>43923.637442129628</v>
      </c>
      <c r="CX15" s="72">
        <f>INDEX(tblPopulation[Day 0],MATCH(tblRuns[[#This Row],[Place]],tblPopulation[CtryAbbrev],0),1)</f>
        <v>43852</v>
      </c>
      <c r="CY15" s="72">
        <f ca="1">INDEX(tblPopulation[Logistic Start2],MATCH($CV15,tblPopulation[CtryAbbrev],0),1)</f>
        <v>43852</v>
      </c>
      <c r="CZ15" s="25">
        <v>4</v>
      </c>
      <c r="DA15" s="44">
        <v>0.22086046237004014</v>
      </c>
      <c r="DB15" s="24">
        <v>2.7191543730999233E-6</v>
      </c>
      <c r="DC15" s="84">
        <v>1564.3318847176652</v>
      </c>
      <c r="DD15" s="23">
        <f>betaChina/deltaChina</f>
        <v>81223.951297127758</v>
      </c>
      <c r="DE15" s="34">
        <f ca="1">SQRT(SUM(tblData[China Sq Err])/COUNT(tblData[China Sq Err]))</f>
        <v>1937.9303872174585</v>
      </c>
      <c r="DF15" s="24">
        <f ca="1">SUM(tblData[China Mean Devn Sq])</f>
        <v>57826330216.885529</v>
      </c>
      <c r="DG15" s="173">
        <f ca="1">1-(SUM(tblData[China Sq Err])/SUM(tblData[China Mean Devn Sq]))</f>
        <v>0.99538885199554139</v>
      </c>
      <c r="DH15" s="83">
        <f>(betaChina/PoChina)-deltaChina</f>
        <v>1.3846601517287634E-4</v>
      </c>
      <c r="DI15" s="83">
        <f>tblRuns[d]*1000</f>
        <v>2.7191543730999235E-3</v>
      </c>
      <c r="DJ15" s="26">
        <f t="array" ref="DJ15">MAX(IF(ISNUMBER(tblData[Italy]),tblData[Date]))</f>
        <v>43922</v>
      </c>
      <c r="DK15" s="26" t="str">
        <f>Cengnotation(tblRuns[[#This Row],[Asymptote b/d]],3)</f>
        <v>81.2 k</v>
      </c>
      <c r="DL15" s="106">
        <f ca="1">MAX(tblData[China LogiP(t)])</f>
        <v>81223.951297127758</v>
      </c>
      <c r="DM15" s="25">
        <f>MAX(tblData[China])</f>
        <v>82361</v>
      </c>
      <c r="DN15" s="25" t="str">
        <f>Cengnotation(DD15/(ChinaPop/PerPerson),3)</f>
        <v xml:space="preserve">564  </v>
      </c>
      <c r="DO15" s="26">
        <f t="array" ref="DO15">MAX(IF(ISNUMBER(tblData[China]),tblData[Date]))</f>
        <v>43922</v>
      </c>
      <c r="DP15" s="11">
        <f t="array" ref="DP15">COUNT(IF(ISNUMBER(tblData[China]),tblData[Date]))</f>
        <v>71</v>
      </c>
      <c r="DQ15"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b=0.221, d=2.72E-06, P0=.001, r2=995.4E-3, Limit=564  =&gt;81.2 k cases </v>
      </c>
      <c r="DS15" s="25" t="str">
        <f t="shared" si="0"/>
        <v xml:space="preserve">China Limit 564  </v>
      </c>
      <c r="DU15" s="18" t="str">
        <f ca="1">"COVID19 "&amp;CV15 &amp; " " &amp;LogFormula&amp;CHAR(10)&amp;DQ15&amp;CHAR(10)&amp;" (Fit: " &amp; TEXT(tblRuns[Logistic Start2],"ddd dd-mmm") &amp; " - " &amp; TEXT(tblRuns[Last Date],"ddd dd-mmm")&amp;")"&amp;IF(PopScaling=0,"",", "&amp;PerPersonLabel)</f>
        <v>COVID19 China P(t) = b / {d+[( b/Po - d ) ]* exp(-b*t)}
b=0.221, d=2.72E-06, P0=.001, r2=995.4E-3, Limit=564  =&gt;81.2 k cases 
 (Fit: Wed 22-Jan - Wed 01-Apr), Cases per 10 M population</v>
      </c>
      <c r="DV15" s="20">
        <f>MAX(tblData[China Cases Per Capita])</f>
        <v>572.22010344946875</v>
      </c>
      <c r="DW15" s="170">
        <f>IF(tblRuns[[#This Row],[Max Cases Per Capita]]&gt;NSWMaxCasespc,INDEX(tblData[Date],1+MATCH(NSWMaxCasespc,tblData[China Cases Per Capita],1)),INDEX(tblData[Date],1+MATCH(tblRuns[[#This Row],[Max Cases Per Capita]],tblData[NSW Cases per Capita],1)))</f>
        <v>43912</v>
      </c>
      <c r="DX15" s="11">
        <f t="shared" si="1"/>
        <v>-11</v>
      </c>
      <c r="DY15" s="26" t="e">
        <f>INDEX(tblData[Date],1+MATCH(tblRuns[[#This Row],[Max Cases Per Capita]],tblData[Au Cases Per Capita],1))</f>
        <v>#REF!</v>
      </c>
      <c r="DZ15" s="11" t="e">
        <f t="shared" si="2"/>
        <v>#REF!</v>
      </c>
      <c r="EA15" s="25"/>
      <c r="EB15" s="11">
        <f ca="1">INDEX(tblData[NSW LogiP(t)],MATCH(VALUE(tblRuns[AtDate])+7,tblData[Date],1))</f>
        <v>2549.1463982529417</v>
      </c>
      <c r="EC15" s="19">
        <f ca="1">tblRuns[Mean Sq Err]/tblRuns[Max Cases Per Capita]</f>
        <v>3.3866870030171738</v>
      </c>
      <c r="ED15" s="144">
        <f>IF(MIN(tblData[China Cases Per Capita])&gt;0,MIN(tblData[Date]),INDEX(tblData[Date],1+MATCH(solvMsgs!MinCases, tblData[China Cases Per Capita],1)))</f>
        <v>43852</v>
      </c>
      <c r="EE15" s="145" t="str">
        <f>tblRuns[[#This Row],[Place]]&amp;" from "&amp;TEXT(tblRuns[DateOver100],"dd-mmm")</f>
        <v>China from 22-Jan</v>
      </c>
      <c r="EF15" s="25" t="s">
        <v>176</v>
      </c>
      <c r="EJ15" s="146"/>
      <c r="EK15"/>
      <c r="EL15"/>
      <c r="EM15"/>
      <c r="EN15"/>
      <c r="EO15" s="26">
        <v>43854</v>
      </c>
      <c r="EP15">
        <v>0.1</v>
      </c>
      <c r="EQ15"/>
      <c r="ER15"/>
      <c r="ES15"/>
      <c r="ET15"/>
      <c r="EU15" s="25" t="s">
        <v>48</v>
      </c>
      <c r="EV15" s="69">
        <v>43911.898379629631</v>
      </c>
      <c r="EW15" s="26">
        <v>43855</v>
      </c>
      <c r="EX15" s="26">
        <v>43855</v>
      </c>
      <c r="EY15" s="25">
        <v>0</v>
      </c>
      <c r="EZ15" s="25">
        <v>0.20648931335259277</v>
      </c>
      <c r="FA15" s="24">
        <v>1.0000000000000768E-9</v>
      </c>
      <c r="FB15" s="21">
        <v>1.0150253776574341E-2</v>
      </c>
      <c r="FC15" s="82">
        <v>206489313.35257691</v>
      </c>
      <c r="FD15" s="82">
        <v>10.992507007919523</v>
      </c>
      <c r="FE15" s="25">
        <v>20.343266078627209</v>
      </c>
      <c r="FF15" s="84">
        <v>1.0000000000000768E-6</v>
      </c>
      <c r="FG15" s="26">
        <v>43911</v>
      </c>
      <c r="FH15" s="25" t="s">
        <v>1047</v>
      </c>
      <c r="FI15" s="84"/>
      <c r="FJ15" s="84">
        <v>1068</v>
      </c>
      <c r="FK15" s="25" t="s">
        <v>1048</v>
      </c>
      <c r="FL15" s="26">
        <v>43911</v>
      </c>
      <c r="FM15" s="25">
        <v>57</v>
      </c>
      <c r="FN15" s="25" t="s">
        <v>1049</v>
      </c>
      <c r="FO15" s="25"/>
      <c r="FP15" s="25" t="s">
        <v>1050</v>
      </c>
      <c r="FR15" s="25" t="s">
        <v>1051</v>
      </c>
      <c r="FS15" s="19">
        <v>421.06923198233716</v>
      </c>
      <c r="FT15" s="72"/>
      <c r="FU15" s="25"/>
      <c r="FV15" s="72"/>
      <c r="FW15" s="25"/>
      <c r="FX15" t="s">
        <v>1029</v>
      </c>
      <c r="FY15" s="25"/>
      <c r="FZ15" s="25"/>
      <c r="GA15" s="25"/>
    </row>
    <row r="16" spans="1:183" ht="18.75" customHeight="1" x14ac:dyDescent="0.25">
      <c r="B16" s="1">
        <v>43857</v>
      </c>
      <c r="C16">
        <v>0</v>
      </c>
      <c r="D16" s="25">
        <v>0</v>
      </c>
      <c r="E16">
        <v>4</v>
      </c>
      <c r="F16">
        <v>0</v>
      </c>
      <c r="G16">
        <v>0</v>
      </c>
      <c r="H16">
        <v>0</v>
      </c>
      <c r="I16">
        <v>0</v>
      </c>
      <c r="J16">
        <v>1</v>
      </c>
      <c r="K16">
        <v>0</v>
      </c>
      <c r="L16" s="12">
        <f>IF(ISNUMBER(tblData[[#This Row],[NSW]]),tblData[[#This Row],[New South Wales]]/$L$9,"")</f>
        <v>4.9504950495049505</v>
      </c>
      <c r="N16" s="25" t="str">
        <f>IF(ISNUMBER(tblData[Italy]),tblData[Italy]/$N$9,"")</f>
        <v/>
      </c>
      <c r="O16">
        <v>5</v>
      </c>
      <c r="P16" s="106">
        <f>IF(ISNUMBER(tblData[US]),tblData[US]/$P$9,"")</f>
        <v>0.15187055346179726</v>
      </c>
      <c r="Q16">
        <v>4</v>
      </c>
      <c r="R16" s="19">
        <f>IF(ISNUMBER(tblData[SKorea]),tblData[SKorea]/$R$9,"")</f>
        <v>0.77821011673151752</v>
      </c>
      <c r="T16" s="25" t="str">
        <f>IF(ISNUMBER(tblData[UK]),tblData[UK]/$T$9,"")</f>
        <v/>
      </c>
      <c r="U16">
        <v>2877</v>
      </c>
      <c r="V16" s="20">
        <f>IF(ISNUMBER(tblData[China]),tblData[China]/$V$9,"")</f>
        <v>19.988553291292259</v>
      </c>
      <c r="W16">
        <v>5</v>
      </c>
      <c r="X16" s="20">
        <f>IF(ISNUMBER(tblData[Singapore]),tblData[Singapore]/$X$9,"")</f>
        <v>8.5470085470085468</v>
      </c>
      <c r="Y16"/>
      <c r="Z16" s="20" t="str">
        <f>IF(AND(LEN(tblData[Generic])&gt;0,ISNUMBER(tblData[Generic])),tblData[Generic]/$Z$9,"")</f>
        <v/>
      </c>
      <c r="AA16" s="25" t="str">
        <f ca="1">IF(tblData[[#This Row],[Date]]&lt;StartDt2Italy,"",tblData[[#This Row],[Date]]-ItalyStart)</f>
        <v/>
      </c>
      <c r="AB16" s="25">
        <f ca="1">IF(tblData[[#This Row],[Date]]&lt;=StartDt2US,"",tblData[[#This Row],[Date]]-USStart)</f>
        <v>5</v>
      </c>
      <c r="AC16" s="25">
        <f ca="1">IF(tblData[[#This Row],[Date]]&lt;StartDt2China,"",tblData[[#This Row],[Date]]-ChinaStart)</f>
        <v>5</v>
      </c>
      <c r="AD16" s="25">
        <f>IF(tblData[[#This Row],[Date]]&lt;=SKoreaStart,"",tblData[[#This Row],[Date]]-SKoreaStart)</f>
        <v>5</v>
      </c>
      <c r="AE16" s="25" t="str">
        <f ca="1">IF(tblData[[#This Row],[Date]]&lt;=StartDt2UK,"",tblData[[#This Row],[Date]]-UKStart)</f>
        <v/>
      </c>
      <c r="AF16" s="25" t="str">
        <f>IF(tblData[[#This Row],[Date]]&lt;StartDt2Singapore,"",tblData[[#This Row],[Date]]-SingaporeStart)</f>
        <v/>
      </c>
      <c r="AG16" s="25">
        <f ca="1">IF(tblData[[#This Row],[Date]]&lt;StartDt2Generic,"",tblData[[#This Row],[Date]]-GenericStart)</f>
        <v>5</v>
      </c>
      <c r="AH16">
        <f ca="1">IF(tblData[Date]&gt;StartDt2Au,tblData[Date]-AuStart,"")</f>
        <v>2</v>
      </c>
      <c r="AI16" s="25">
        <f>IF(tblData[New South Wales]&gt;=0,SUM(tblData[[#This Row],[Australian Capital Territory]:[Western Australia]]),"")</f>
        <v>5</v>
      </c>
      <c r="AJ16" s="12">
        <f>IF(ISNUMBER(tblData[Au]),tblData[Au]/$AE$9,"")</f>
        <v>1.9712979025390318</v>
      </c>
      <c r="AK16" s="19">
        <f ca="1">IF(ISNUMBER(tblData[[#This Row],[Day'# Aust]]),betaAu/(deltaAu+betaPodeltaAu*EXP(-betaAu*tblData[[#This Row],[Day'# Aust]])),"")</f>
        <v>1.6589129019225009E-3</v>
      </c>
      <c r="AL16" s="62">
        <f ca="1">IF(ISNUMBER(tblData[Day'# Aust]),tblData[Au LogiP(t)]/$AJ$9,"")</f>
        <v>6.5404230481095292E-4</v>
      </c>
      <c r="AM16" s="11">
        <f ca="1">IF(AND(tblData[Date]&gt;StartDt2Au,ISNUMBER(tblData[NSW])),(tblData[[#This Row],[Au LogiP(t)]]-tblData[[#This Row],[Au]])^2,"")</f>
        <v>24.983413622972787</v>
      </c>
      <c r="AN16" s="11">
        <f ca="1">IF(AND(ISNUMBER(tblData[Au]),tblData[Date]&gt;StartDt2Au),(tblData[Au]-AVERAGE(tblData[Au]))^2,"")</f>
        <v>192155.7804178994</v>
      </c>
      <c r="AO16" s="11">
        <f>tblData[[#This Row],[Date]]-Au100dt</f>
        <v>-47</v>
      </c>
      <c r="AP16">
        <f ca="1">IF(tblData[Date]&gt;StartDt2NSW,tblData[Date]-StartDt2NSW,"")</f>
        <v>2</v>
      </c>
      <c r="AQ16" s="25">
        <f>IF(tblData[[#This Row],[New South Wales]]&gt;0,tblData[[#This Row],[New South Wales]],"")</f>
        <v>4</v>
      </c>
      <c r="AR16" s="44">
        <f ca="1">IF(tblData[Date]&gt;StartDt2NSW,betaNSW/(deltaNSW+betaPodeltaNSW*EXP(-betaNSW*tblData[[#This Row],[Day '# NSW]])),"")</f>
        <v>1.6089791470388385E-3</v>
      </c>
      <c r="AS16" s="12">
        <f ca="1">IF(AND(ISNUMBER(tblData[NSW]),tblData[Date]&gt;StartDt2NSW),(tblData[[#This Row],[NSW LogiP(t)]]-tblData[[#This Row],[NSW]])^2,"")</f>
        <v>15.987130755637583</v>
      </c>
      <c r="AT16" s="12">
        <f ca="1">IF(AND(tblData[Date]&gt;StartDt2NSW,ISNUMBER(tblData[Day'# Aust])),tblData[NSW LogiP(t)]/$AR$9,"")</f>
        <v>1.991310825543117E-3</v>
      </c>
      <c r="AU16" s="11">
        <f>tblData[[#This Row],[Date]]-NSW100dt+1</f>
        <v>-43</v>
      </c>
      <c r="AV16" s="11">
        <f ca="1">IF(AND(ISNUMBER(tblData[NSW]),tblData[Date]&gt;StartDt2NSW),(tblData[NSW]-AVERAGE(tblData[NSW]))^2,"")</f>
        <v>83990.760134425553</v>
      </c>
      <c r="AW16" s="39" t="str">
        <f ca="1">IF(AND(tblData[Date]&gt;StartDt2Italy,ISNUMBER(tblData[Days'# Italy])),betaItaly/(deltaItaly+betaPodeltaItaly*EXP(-betaItaly*tblData[Days'# Italy])),"")</f>
        <v/>
      </c>
      <c r="AX16" s="11" t="str">
        <f ca="1">IF(AND(tblData[Date]&gt;StartDt2Italy,ISNUMBER(tblData[Italy])),(tblData[[#This Row],[Italy LogiP(t)]]-tblData[[#This Row],[Italy]])^2,"")</f>
        <v/>
      </c>
      <c r="AY16" s="11" t="str">
        <f ca="1">IF(AND(tblData[Date]&gt;StartDt2Italy,ISNUMBER(tblData[Days'# Italy])),tblData[[#This Row],[Italy LogiP(t)]]/$AW$9,"")</f>
        <v/>
      </c>
      <c r="AZ16" s="11" t="str">
        <f ca="1">IF(AND(ISNUMBER(tblData[Italy]),tblData[Date]&gt;StartDt2Italy),(tblData[Italy]-AVERAGE(tblData[Italy]))^2,"")</f>
        <v/>
      </c>
      <c r="BA16" s="11">
        <f>tblData[[#This Row],[Date]]-Italy100dt+1</f>
        <v>-30</v>
      </c>
      <c r="BB16" s="11">
        <f ca="1">IF(AND(tblData[Date]&gt;StartDt2US,ISNUMBER(tblData[[#This Row],[Days'# US]])),betaUS/(deltaUS+betaPodeltaUS*EXP(-betaUS*tblData[Days'# US])),"")</f>
        <v>4.1323476897847091E-3</v>
      </c>
      <c r="BC16" s="11">
        <f ca="1">IF(AND(tblData[Date]&gt;StartDt2US,ISNUMBER(tblData[US])),(tblData[[#This Row],[US LogiP(t)]]-tblData[US])^2,"")</f>
        <v>24.958693599399581</v>
      </c>
      <c r="BD16" s="137">
        <f ca="1">IF(AND(tblData[Date]&gt;=StartDt2US,ISNUMBER(tblData[[#This Row],[Days'# US]])),tblData[[#This Row],[US LogiP(t)]]/$BB$9,"")</f>
        <v>1.2551638614883662E-4</v>
      </c>
      <c r="BE16" s="137">
        <f ca="1">IF(AND(ISNUMBER(tblData[US]),tblData[Date]&gt;StartDt2US),(tblData[US]-AVERAGE(tblData[US]))^2,"")</f>
        <v>335243205.75778615</v>
      </c>
      <c r="BF16" s="11">
        <f>tblData[[#This Row],[Date]]-US100dt+1</f>
        <v>-46</v>
      </c>
      <c r="BG16" s="11" t="str">
        <f ca="1">IF(tblData[Date]&gt;StartDt2SKorea,betaSKorea/(deltaSKorea+betaPodeltaSKorea*EXP(-betaSKorea*(tblData[Date]-StartDt2SKorea))),"")</f>
        <v/>
      </c>
      <c r="BH16" s="11" t="str">
        <f ca="1">IF(AND(tblData[Date]&gt;StartDt2SKorea,ISNUMBER(tblData[SKorea])),(tblData[[#This Row],[SKorea LogiP(t)]]-tblData[[#This Row],[SKorea]])^2,"")</f>
        <v/>
      </c>
      <c r="BI16" s="11" t="str">
        <f ca="1">IF(tblData[Date]&gt;StartDt2SKorea,tblData[[#This Row],[SKorea LogiP(t)]]/$BG$9,"")</f>
        <v/>
      </c>
      <c r="BJ16" s="11" t="str">
        <f ca="1">IF(AND(ISNUMBER(tblData[SKorea]),tblData[Date]&gt;StartDt2SKorea),(tblData[SKorea]-AVERAGE(tblData[SKorea]))^2,"")</f>
        <v/>
      </c>
      <c r="BK16" s="11">
        <f>tblData[[#This Row],[Date]]-SKorea100dt+1</f>
        <v>-25</v>
      </c>
      <c r="BL16" s="137" t="str">
        <f ca="1">IF(AND(tblData[Date]&gt;StartDt2UK,ISNUMBER(tblData[Days'# UK])),betaUK/(deltaUK+betaPodeltaUK*EXP(-betaUK*tblData[Days'# UK])),"")</f>
        <v/>
      </c>
      <c r="BM16" s="11" t="str">
        <f ca="1">IF(AND(tblData[Date]&gt;StartDt2UK,ISNUMBER(tblData[UK])),(tblData[[#This Row],[UK LogiP(t)]]-tblData[[#This Row],[UK]])^2,"")</f>
        <v/>
      </c>
      <c r="BN16" s="11" t="str">
        <f ca="1">IF(ISNUMBER(tblData[Days'# UK]),tblData[[#This Row],[UK LogiP(t)]]/$BL$9,"")</f>
        <v/>
      </c>
      <c r="BO16" s="137" t="str">
        <f ca="1">IF(AND(ISNUMBER(tblData[UK]),tblData[Date]&gt;StartDt2UK),(tblData[UK]-AVERAGE(tblData[UK]))^2,"")</f>
        <v/>
      </c>
      <c r="BP16" s="11">
        <f>tblData[[#This Row],[Date]]-UK100dt</f>
        <v>-45</v>
      </c>
      <c r="BQ16" s="11">
        <f ca="1">IF(ISNUMBER(tblData[Days'# China]),betaChina/(deltaChina+betaPodeltaChina*EXP(-betaChina*tblData[Days'# China])),"")</f>
        <v>4543.2748031836691</v>
      </c>
      <c r="BR16" s="11">
        <f ca="1">IF(ISNUMBER(tblData[China]),(tblData[[#This Row],[China LogiP(t)]]-tblData[[#This Row],[China]])^2,"")</f>
        <v>2776471.7197247753</v>
      </c>
      <c r="BS16" s="11">
        <f ca="1">tblData[[#This Row],[China LogiP(t)]]/$BQ$9</f>
        <v>31.565342551415402</v>
      </c>
      <c r="BT16" s="137">
        <f ca="1">IF(AND(ISNUMBER(tblData[China]),tblData[Date]&gt;StartDt2China),(tblData[China]-AVERAGE(tblData[China]))^2,"")</f>
        <v>3277786665.8046026</v>
      </c>
      <c r="BU16" s="11">
        <f>tblData[[#This Row],[Date]]-China100dt</f>
        <v>5</v>
      </c>
      <c r="BV16" s="106" t="str">
        <f>IF(ISNUMBER(tblData[Day'# Singapore]),betaSingapore/(deltaSingapore+betaPodeltaSingapore*EXP(-betaSingapore*tblData[Day'# Singapore])),"")</f>
        <v/>
      </c>
      <c r="BW16" s="11" t="str">
        <f>IF(AND(ISNUMBER(tblData[Singapore]),tblData[Date]&gt;=StartDt2Singapore),(tblData[[#This Row],[Singapore LogiP(t)]]-tblData[[#This Row],[Singapore]])^2,"")</f>
        <v/>
      </c>
      <c r="BX16" s="106" t="str">
        <f>IF(ISNUMBER(tblData[Day'# Singapore]),tblData[Singapore LogiP(t)]/$BV$9,"")</f>
        <v/>
      </c>
      <c r="BY16" s="106" t="str">
        <f>IF(AND(ISNUMBER(tblData[Singapore]),tblData[Date]&gt;StartDt2Singapore),(tblData[Singapore]-AVERAGE(tblData[Singapore]))^2,"")</f>
        <v/>
      </c>
      <c r="BZ16" s="11">
        <f>tblData[[#This Row],[Date]]-Singapore100dt+1</f>
        <v>-14</v>
      </c>
      <c r="CA16" s="11">
        <f ca="1">IF(AND(tblData[Date]&gt;StartDt2Generic,ISNUMBER(tblData[Day'# Generic])),betaGeneric/(deltaGeneric+betaPodeltaGeneric*EXP(-betaGeneric*tblData[Day'# Generic])),"")</f>
        <v>2.6761727309144718E-3</v>
      </c>
      <c r="CB16" s="106" t="str">
        <f ca="1">IF(AND(ISNUMBER(tblData[Generic]),tblData[Date]&gt;StartDt2Generic),(tblData[Generic LogiP(t)]-tblData[[#This Row],[Generic]])^2,"")</f>
        <v/>
      </c>
      <c r="CC16" s="11" t="str">
        <f ca="1">IF(AND(ISNUMBER(tblData[Generic]),tblData[Date]&gt;StartDt2Generic),tblData[Generic LogiP(t)]/$CA$9,"")</f>
        <v/>
      </c>
      <c r="CD16" s="106" t="str">
        <f ca="1">IF(AND(ISNUMBER(tblData[Generic]),tblData[Date]&gt;StartDt2Generic),(tblData[Generic]-AVERAGE(tblData[Generic]))^2,"")</f>
        <v/>
      </c>
      <c r="CE16" s="11">
        <f>tblData[[#This Row],[Date]]-Generic100dt+1</f>
        <v>-53</v>
      </c>
      <c r="CG16" s="11"/>
      <c r="CH16" s="11" t="str">
        <f>IF(ISNUMBER(tblData[[#This Row],[Tests]]),tblData[[#This Row],[Tests]]-CH15,"")</f>
        <v/>
      </c>
      <c r="CI16" s="11" t="str">
        <f>IF(ISNUMBER(tblData[[#This Row],[NSW Under Investigation'']]),tblData[[#This Row],[NSW Under Investigation'']]-CG15,"")</f>
        <v/>
      </c>
      <c r="CJ16" s="11"/>
      <c r="CK16" s="11" t="str">
        <f>IF(AND(tblData[[#This Row],[NSW Test Day Number]]&gt;0,ISNUMBER(tblData[[#This Row],[NSW Test Day Number]])),betaTests/(deltaTests+betaPodeltaTests*EXP(-betaTests*tblData[[#This Row],[NSW Test Day Number]])),"")</f>
        <v/>
      </c>
      <c r="CL16" s="11" t="str">
        <f>IF(tblData[Tests]&gt;0,(tblData[[#This Row],[Tests]]-tblData[[#This Row],[NSW Test Logi]])^2,"")</f>
        <v/>
      </c>
      <c r="CM16" s="106" t="str">
        <f>IF(AND(ISNUMBER(tblData[Tests]),tblData[Date]&gt;StartDt2Tests),(tblData[Tests]-AVERAGE(tblData[Tests]))^2,"")</f>
        <v/>
      </c>
      <c r="CN16" s="11" t="str">
        <f>IF(ISNUMBER(tblData[Tests]),tblData[Tests]/$CN$9/100,"")</f>
        <v/>
      </c>
      <c r="CO16" s="11" t="str">
        <f>IF(AND(tblData[[#This Row],[NSW Test Day Number]]&gt;0,ISNUMBER(tblData[[#This Row],[NSW Test Day Number]])),TestsLogestB*TestsLogestM^tblData[[#This Row],[NSW Test Day Number]],"")</f>
        <v/>
      </c>
      <c r="CP16" s="11" t="str">
        <f>IF(AND(tblData[[#This Row],[NSW Test Day Number]]&gt;0,ISNUMBER(tblData[Tests])),(tblData[Tests]-tblData[[#This Row],[NSW Test Per Capita]])^2,"")</f>
        <v/>
      </c>
      <c r="CQ16" s="39">
        <f ca="1">IF(AND(tblData[Day '# NSW]&gt;0,ISNUMBER(tblData[[#This Row],[Day '# NSW]])),NSWLogestB*NSWLogestM^tblData[[#This Row],[Day '# NSW]]/$CR$9,"")</f>
        <v>1.2297970305958665</v>
      </c>
      <c r="CR16" s="39">
        <f ca="1">IF(AND(ISNUMBER(tblData[NSW]),tblData[Date]&gt;StartDt2NSW),(tblData[NSW]/$CR$9-tblData[[#This Row],[NSW Cases LogEst]])^2,"")</f>
        <v>13.84359374791398</v>
      </c>
      <c r="CS16" s="11"/>
      <c r="CT16" s="11"/>
      <c r="CU16" s="26"/>
      <c r="CV16" s="25" t="s">
        <v>957</v>
      </c>
      <c r="CW16" s="168">
        <v>43923.637476851851</v>
      </c>
      <c r="CX16" s="72">
        <f>INDEX(tblPopulation[Day 0],MATCH(tblRuns[[#This Row],[Place]],tblPopulation[CtryAbbrev],0),1)</f>
        <v>43852</v>
      </c>
      <c r="CY16" s="72">
        <f ca="1">INDEX(tblPopulation[Logistic Start2],MATCH($CV16,tblPopulation[CtryAbbrev],0),1)</f>
        <v>43880</v>
      </c>
      <c r="CZ16" s="25">
        <v>5</v>
      </c>
      <c r="DA16" s="44">
        <v>0.26140045311663107</v>
      </c>
      <c r="DB16" s="24">
        <v>2.8924508592152886E-5</v>
      </c>
      <c r="DC16" s="84">
        <v>315.48073733841915</v>
      </c>
      <c r="DD16" s="23">
        <f>betaSKorea/deltaSKorea</f>
        <v>9037.3342829253143</v>
      </c>
      <c r="DE16" s="34">
        <f t="array" aca="1" ref="DE16" ca="1">SQRT(SUM(tblData[Skorea Sq Err])/COUNT(tblData[Skorea Sq Err]))</f>
        <v>377.26423913694936</v>
      </c>
      <c r="DF16" s="24">
        <f ca="1">SUM(tblData[Skorea Mean Devn Sq])</f>
        <v>717385416.44951403</v>
      </c>
      <c r="DG16" s="82">
        <f ca="1">1-(SUM(tblData[Skorea Sq Err])/SUM(tblData[Skorea Mean Devn Sq]))</f>
        <v>0.99166725623290242</v>
      </c>
      <c r="DH16" s="83">
        <f>(betaSKorea/PoSKorea)-deltaSKorea</f>
        <v>7.996536649025551E-4</v>
      </c>
      <c r="DI16" s="83">
        <f>tblRuns[d]*1000</f>
        <v>2.8924508592152887E-2</v>
      </c>
      <c r="DJ16" s="26">
        <f t="array" ref="DJ16">MAX(IF(ISNUMBER(tblData[SKorea]),tblData[Date]))</f>
        <v>43922</v>
      </c>
      <c r="DK16" s="26" t="str">
        <f>Cengnotation(tblRuns[[#This Row],[Asymptote b/d]],3)</f>
        <v>9.04 k</v>
      </c>
      <c r="DL16" s="106">
        <f ca="1">MAX(tblData[SKorea LogiP(t)])</f>
        <v>9037.3342829253143</v>
      </c>
      <c r="DM16" s="25">
        <f>MAX(tblData[SKorea])</f>
        <v>9887</v>
      </c>
      <c r="DN16" s="25" t="str">
        <f>Cengnotation(DD16/(SKoreaPop/PerPerson),3)</f>
        <v>1.76 k</v>
      </c>
      <c r="DO16" s="26">
        <f t="array" ref="DO16">MAX(IF(ISNUMBER(tblData[SKorea]),tblData[Date]))</f>
        <v>43922</v>
      </c>
      <c r="DP16" s="11">
        <f t="array" ref="DP16">COUNT(IF(ISNUMBER(tblData[SKorea]),tblData[Date]))</f>
        <v>71</v>
      </c>
      <c r="DQ16"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b=0.261, d=2.89E-05, P0=.001, r2=991.7E-3, Limit=1.76 k=&gt;9.04 k cases , log fit from 19th Feb </v>
      </c>
      <c r="DS16" s="25" t="str">
        <f t="shared" si="0"/>
        <v>Skorea Limit 1.76 k</v>
      </c>
      <c r="DT16" s="30" t="str">
        <f xml:space="preserve"> ", log fit from 19th Feb "</f>
        <v xml:space="preserve">, log fit from 19th Feb </v>
      </c>
      <c r="DU16" s="18" t="str">
        <f ca="1">"COVID19 "&amp;CV16 &amp; " " &amp;LogFormula&amp;CHAR(10)&amp;DQ16&amp;CHAR(10)&amp;" (Fit: " &amp; TEXT(tblRuns[Logistic Start2],"ddd dd-mmm") &amp; " - " &amp; TEXT(tblRuns[Last Date],"ddd dd-mmm")&amp;")"&amp;IF(PopScaling=0,"",", "&amp;PerPersonLabel)</f>
        <v>COVID19 Skorea P(t) = b / {d+[( b/Po - d ) ]* exp(-b*t)}
b=0.261, d=2.89E-05, P0=.001, r2=991.7E-3, Limit=1.76 k=&gt;9.04 k cases , log fit from 19th Feb 
 (Fit: Wed 19-Feb - Wed 01-Apr), Cases per 10 M population</v>
      </c>
      <c r="DV16" s="20">
        <f>MAX(tblData[SKorea Cases Per Capita])</f>
        <v>1923.5408560311284</v>
      </c>
      <c r="DW16" s="170">
        <f>IF(tblRuns[[#This Row],[Max Cases Per Capita]]&gt;NSWMaxCasespc,INDEX(tblData[Date],1+MATCH(NSWMaxCasespc,tblData[SKorea Cases Per Capita],1)),INDEX(tblData[Date],1+MATCH(tblRuns[[#This Row],[Max Cases Per Capita]],tblData[NSW Cases per Capita],1)))</f>
        <v>43918</v>
      </c>
      <c r="DX16" s="11">
        <f t="shared" si="1"/>
        <v>-5</v>
      </c>
      <c r="DY16" s="26" t="e">
        <f>IF(DV16&gt;AuMaxCasespc,INDEX(tblData[Date],1+MATCH(AuMaxCasespc,tblData[SKorea Cases Per Capita],1)),INDEX(tblData[Date],1+MATCH(DV16,tblData[Au Cases Per Capita],1)))</f>
        <v>#REF!</v>
      </c>
      <c r="DZ16" s="11" t="e">
        <f t="shared" si="2"/>
        <v>#REF!</v>
      </c>
      <c r="EA16" s="25"/>
      <c r="EB16" s="11">
        <f ca="1">INDEX(tblData[NSW LogiP(t)],MATCH(VALUE(tblRuns[AtDate])+7,tblData[Date],1))</f>
        <v>2549.1463982529417</v>
      </c>
      <c r="EC16" s="19">
        <f ca="1">tblRuns[Mean Sq Err]/tblRuns[Max Cases Per Capita]</f>
        <v>0.19613008892120154</v>
      </c>
      <c r="ED16" s="144">
        <f>IF(MIN(tblData[SKorea Cases Per Capita])&gt;solvMsgs!MinCases,MIN(tblData[Date]),INDEX(tblData[Date],1+MATCH(solvMsgs!MinCases, tblData[SKorea Cases Per Capita],1)))</f>
        <v>43883</v>
      </c>
      <c r="EE16" s="145" t="str">
        <f>tblRuns[[#This Row],[Place]]&amp;" from "&amp;TEXT(tblRuns[DateOver100],"dd-mmm")</f>
        <v>Skorea from 22-Feb</v>
      </c>
      <c r="EF16" s="25" t="s">
        <v>957</v>
      </c>
      <c r="EG16" s="25"/>
      <c r="EH16" s="25"/>
      <c r="EI16" s="25"/>
      <c r="EJ16" s="146"/>
      <c r="EK16" s="25"/>
      <c r="EL16" s="25"/>
      <c r="EM16"/>
      <c r="EN16"/>
      <c r="EO16" s="26">
        <v>43854</v>
      </c>
      <c r="EP16" s="39">
        <v>10000000</v>
      </c>
      <c r="EQ16"/>
      <c r="ER16"/>
      <c r="ES16"/>
      <c r="ET16"/>
      <c r="EU16" s="25" t="s">
        <v>48</v>
      </c>
      <c r="EV16" s="69">
        <v>43912.326643518521</v>
      </c>
      <c r="EW16" s="26">
        <v>43855</v>
      </c>
      <c r="EX16" s="26">
        <v>43855</v>
      </c>
      <c r="EY16" s="25">
        <v>0</v>
      </c>
      <c r="EZ16" s="25">
        <v>0.20700169092268883</v>
      </c>
      <c r="FA16" s="24">
        <v>1.0000000000000768E-9</v>
      </c>
      <c r="FB16" s="21">
        <v>9.888722941768591E-3</v>
      </c>
      <c r="FC16" s="82">
        <v>207001690.92267293</v>
      </c>
      <c r="FD16" s="82">
        <v>11.00426291537671</v>
      </c>
      <c r="FE16" s="25">
        <v>20.933106542853348</v>
      </c>
      <c r="FF16" s="84">
        <v>1.0000000000000768E-6</v>
      </c>
      <c r="FG16" s="26">
        <v>43911</v>
      </c>
      <c r="FH16" s="25" t="s">
        <v>1061</v>
      </c>
      <c r="FI16" s="84"/>
      <c r="FJ16" s="84">
        <v>1073</v>
      </c>
      <c r="FK16" s="25" t="s">
        <v>1062</v>
      </c>
      <c r="FL16" s="26">
        <v>43911</v>
      </c>
      <c r="FM16" s="25">
        <v>57</v>
      </c>
      <c r="FN16" s="25" t="s">
        <v>1063</v>
      </c>
      <c r="FO16" s="25"/>
      <c r="FP16" t="s">
        <v>1064</v>
      </c>
      <c r="FR16" s="25" t="s">
        <v>1065</v>
      </c>
      <c r="FS16" s="19">
        <v>423.04052988487621</v>
      </c>
      <c r="FT16" s="72"/>
      <c r="FU16" s="25"/>
      <c r="FV16" s="72"/>
      <c r="FW16" s="25"/>
      <c r="FX16" t="s">
        <v>1060</v>
      </c>
      <c r="FY16" s="25"/>
      <c r="FZ16" s="25"/>
      <c r="GA16" s="25"/>
    </row>
    <row r="17" spans="2:185" ht="15" customHeight="1" x14ac:dyDescent="0.25">
      <c r="B17" s="1">
        <v>43858</v>
      </c>
      <c r="C17">
        <v>0</v>
      </c>
      <c r="D17" s="25">
        <v>0</v>
      </c>
      <c r="E17">
        <v>4</v>
      </c>
      <c r="F17">
        <v>0</v>
      </c>
      <c r="G17">
        <v>0</v>
      </c>
      <c r="H17">
        <v>0</v>
      </c>
      <c r="I17">
        <v>0</v>
      </c>
      <c r="J17">
        <v>1</v>
      </c>
      <c r="K17">
        <v>0</v>
      </c>
      <c r="L17" s="12">
        <f>IF(ISNUMBER(tblData[[#This Row],[NSW]]),tblData[[#This Row],[New South Wales]]/$L$9,"")</f>
        <v>4.9504950495049505</v>
      </c>
      <c r="N17" s="25" t="str">
        <f>IF(ISNUMBER(tblData[Italy]),tblData[Italy]/$N$9,"")</f>
        <v/>
      </c>
      <c r="O17">
        <v>5</v>
      </c>
      <c r="P17" s="106">
        <f>IF(ISNUMBER(tblData[US]),tblData[US]/$P$9,"")</f>
        <v>0.15187055346179726</v>
      </c>
      <c r="Q17">
        <v>4</v>
      </c>
      <c r="R17" s="19">
        <f>IF(ISNUMBER(tblData[SKorea]),tblData[SKorea]/$R$9,"")</f>
        <v>0.77821011673151752</v>
      </c>
      <c r="T17" s="25" t="str">
        <f>IF(ISNUMBER(tblData[UK]),tblData[UK]/$T$9,"")</f>
        <v/>
      </c>
      <c r="U17">
        <v>5509</v>
      </c>
      <c r="V17" s="20">
        <f>IF(ISNUMBER(tblData[China]),tblData[China]/$V$9,"")</f>
        <v>38.274918346099774</v>
      </c>
      <c r="W17">
        <v>7</v>
      </c>
      <c r="X17" s="20">
        <f>IF(ISNUMBER(tblData[Singapore]),tblData[Singapore]/$X$9,"")</f>
        <v>11.965811965811966</v>
      </c>
      <c r="Y17"/>
      <c r="Z17" s="20" t="str">
        <f>IF(AND(LEN(tblData[Generic])&gt;0,ISNUMBER(tblData[Generic])),tblData[Generic]/$Z$9,"")</f>
        <v/>
      </c>
      <c r="AA17" s="25" t="str">
        <f ca="1">IF(tblData[[#This Row],[Date]]&lt;StartDt2Italy,"",tblData[[#This Row],[Date]]-ItalyStart)</f>
        <v/>
      </c>
      <c r="AB17" s="25">
        <f ca="1">IF(tblData[[#This Row],[Date]]&lt;=StartDt2US,"",tblData[[#This Row],[Date]]-USStart)</f>
        <v>6</v>
      </c>
      <c r="AC17" s="25">
        <f ca="1">IF(tblData[[#This Row],[Date]]&lt;StartDt2China,"",tblData[[#This Row],[Date]]-ChinaStart)</f>
        <v>6</v>
      </c>
      <c r="AD17" s="25">
        <f>IF(tblData[[#This Row],[Date]]&lt;=SKoreaStart,"",tblData[[#This Row],[Date]]-SKoreaStart)</f>
        <v>6</v>
      </c>
      <c r="AE17" s="25" t="str">
        <f ca="1">IF(tblData[[#This Row],[Date]]&lt;=StartDt2UK,"",tblData[[#This Row],[Date]]-UKStart)</f>
        <v/>
      </c>
      <c r="AF17" s="25" t="str">
        <f>IF(tblData[[#This Row],[Date]]&lt;StartDt2Singapore,"",tblData[[#This Row],[Date]]-SingaporeStart)</f>
        <v/>
      </c>
      <c r="AG17" s="25">
        <f ca="1">IF(tblData[[#This Row],[Date]]&lt;StartDt2Generic,"",tblData[[#This Row],[Date]]-GenericStart)</f>
        <v>6</v>
      </c>
      <c r="AH17">
        <f ca="1">IF(tblData[Date]&gt;StartDt2Au,tblData[Date]-AuStart,"")</f>
        <v>3</v>
      </c>
      <c r="AI17" s="25">
        <f>IF(tblData[New South Wales]&gt;=0,SUM(tblData[[#This Row],[Australian Capital Territory]:[Western Australia]]),"")</f>
        <v>5</v>
      </c>
      <c r="AJ17" s="12">
        <f>IF(ISNUMBER(tblData[Au]),tblData[Au]/$AE$9,"")</f>
        <v>1.9712979025390318</v>
      </c>
      <c r="AK17" s="19">
        <f ca="1">IF(ISNUMBER(tblData[[#This Row],[Day'# Aust]]),betaAu/(deltaAu+betaPodeltaAu*EXP(-betaAu*tblData[[#This Row],[Day'# Aust]])),"")</f>
        <v>2.1366597395234858E-3</v>
      </c>
      <c r="AL17" s="62">
        <f ca="1">IF(ISNUMBER(tblData[Day'# Aust]),tblData[Au LogiP(t)]/$AJ$9,"")</f>
        <v>8.4239857259244824E-4</v>
      </c>
      <c r="AM17" s="11">
        <f ca="1">IF(AND(tblData[Date]&gt;StartDt2Au,ISNUMBER(tblData[NSW])),(tblData[[#This Row],[Au LogiP(t)]]-tblData[[#This Row],[Au]])^2,"")</f>
        <v>24.978637967919607</v>
      </c>
      <c r="AN17" s="11">
        <f ca="1">IF(AND(ISNUMBER(tblData[Au]),tblData[Date]&gt;StartDt2Au),(tblData[Au]-AVERAGE(tblData[Au]))^2,"")</f>
        <v>192155.7804178994</v>
      </c>
      <c r="AO17" s="11">
        <f>tblData[[#This Row],[Date]]-Au100dt</f>
        <v>-46</v>
      </c>
      <c r="AP17">
        <f ca="1">IF(tblData[Date]&gt;StartDt2NSW,tblData[Date]-StartDt2NSW,"")</f>
        <v>3</v>
      </c>
      <c r="AQ17" s="25">
        <f>IF(tblData[[#This Row],[New South Wales]]&gt;0,tblData[[#This Row],[New South Wales]],"")</f>
        <v>4</v>
      </c>
      <c r="AR17" s="44">
        <f ca="1">IF(tblData[Date]&gt;StartDt2NSW,betaNSW/(deltaNSW+betaPodeltaNSW*EXP(-betaNSW*tblData[[#This Row],[Day '# NSW]])),"")</f>
        <v>2.0409182295501554E-3</v>
      </c>
      <c r="AS17" s="12">
        <f ca="1">IF(AND(ISNUMBER(tblData[NSW]),tblData[Date]&gt;StartDt2NSW),(tblData[[#This Row],[NSW LogiP(t)]]-tblData[[#This Row],[NSW]])^2,"")</f>
        <v>15.983676819510817</v>
      </c>
      <c r="AT17" s="12">
        <f ca="1">IF(AND(tblData[Date]&gt;StartDt2NSW,ISNUMBER(tblData[Day'# Aust])),tblData[NSW LogiP(t)]/$AR$9,"")</f>
        <v>2.5258888979581128E-3</v>
      </c>
      <c r="AU17" s="11">
        <f>tblData[[#This Row],[Date]]-NSW100dt+1</f>
        <v>-42</v>
      </c>
      <c r="AV17" s="11">
        <f ca="1">IF(AND(ISNUMBER(tblData[NSW]),tblData[Date]&gt;StartDt2NSW),(tblData[NSW]-AVERAGE(tblData[NSW]))^2,"")</f>
        <v>83990.760134425553</v>
      </c>
      <c r="AW17" s="39" t="str">
        <f ca="1">IF(AND(tblData[Date]&gt;StartDt2Italy,ISNUMBER(tblData[Days'# Italy])),betaItaly/(deltaItaly+betaPodeltaItaly*EXP(-betaItaly*tblData[Days'# Italy])),"")</f>
        <v/>
      </c>
      <c r="AX17" s="11" t="str">
        <f ca="1">IF(AND(tblData[Date]&gt;StartDt2Italy,ISNUMBER(tblData[Italy])),(tblData[[#This Row],[Italy LogiP(t)]]-tblData[[#This Row],[Italy]])^2,"")</f>
        <v/>
      </c>
      <c r="AY17" s="11" t="str">
        <f ca="1">IF(AND(tblData[Date]&gt;StartDt2Italy,ISNUMBER(tblData[Days'# Italy])),tblData[[#This Row],[Italy LogiP(t)]]/$AW$9,"")</f>
        <v/>
      </c>
      <c r="AZ17" s="11" t="str">
        <f ca="1">IF(AND(ISNUMBER(tblData[Italy]),tblData[Date]&gt;StartDt2Italy),(tblData[Italy]-AVERAGE(tblData[Italy]))^2,"")</f>
        <v/>
      </c>
      <c r="BA17" s="11">
        <f>tblData[[#This Row],[Date]]-Italy100dt+1</f>
        <v>-29</v>
      </c>
      <c r="BB17" s="11">
        <f ca="1">IF(AND(tblData[Date]&gt;StartDt2US,ISNUMBER(tblData[[#This Row],[Days'# US]])),betaUS/(deltaUS+betaPodeltaUS*EXP(-betaUS*tblData[Days'# US])),"")</f>
        <v>5.4882795683279346E-3</v>
      </c>
      <c r="BC17" s="11">
        <f ca="1">IF(AND(tblData[Date]&gt;StartDt2US,ISNUMBER(tblData[US])),(tblData[[#This Row],[US LogiP(t)]]-tblData[US])^2,"")</f>
        <v>24.945147325529337</v>
      </c>
      <c r="BD17" s="137">
        <f ca="1">IF(AND(tblData[Date]&gt;=StartDt2US,ISNUMBER(tblData[[#This Row],[Days'# US]])),tblData[[#This Row],[US LogiP(t)]]/$BB$9,"")</f>
        <v>1.6670161111900742E-4</v>
      </c>
      <c r="BE17" s="137">
        <f ca="1">IF(AND(ISNUMBER(tblData[US]),tblData[Date]&gt;StartDt2US),(tblData[US]-AVERAGE(tblData[US]))^2,"")</f>
        <v>335243205.75778615</v>
      </c>
      <c r="BF17" s="11">
        <f>tblData[[#This Row],[Date]]-US100dt+1</f>
        <v>-45</v>
      </c>
      <c r="BG17" s="11" t="str">
        <f ca="1">IF(tblData[Date]&gt;StartDt2SKorea,betaSKorea/(deltaSKorea+betaPodeltaSKorea*EXP(-betaSKorea*(tblData[Date]-StartDt2SKorea))),"")</f>
        <v/>
      </c>
      <c r="BH17" s="11" t="str">
        <f ca="1">IF(AND(tblData[Date]&gt;StartDt2SKorea,ISNUMBER(tblData[SKorea])),(tblData[[#This Row],[SKorea LogiP(t)]]-tblData[[#This Row],[SKorea]])^2,"")</f>
        <v/>
      </c>
      <c r="BI17" s="11" t="str">
        <f ca="1">IF(tblData[Date]&gt;StartDt2SKorea,tblData[[#This Row],[SKorea LogiP(t)]]/$BG$9,"")</f>
        <v/>
      </c>
      <c r="BJ17" s="11" t="str">
        <f ca="1">IF(AND(ISNUMBER(tblData[SKorea]),tblData[Date]&gt;StartDt2SKorea),(tblData[SKorea]-AVERAGE(tblData[SKorea]))^2,"")</f>
        <v/>
      </c>
      <c r="BK17" s="11">
        <f>tblData[[#This Row],[Date]]-SKorea100dt+1</f>
        <v>-24</v>
      </c>
      <c r="BL17" s="137" t="str">
        <f ca="1">IF(AND(tblData[Date]&gt;StartDt2UK,ISNUMBER(tblData[Days'# UK])),betaUK/(deltaUK+betaPodeltaUK*EXP(-betaUK*tblData[Days'# UK])),"")</f>
        <v/>
      </c>
      <c r="BM17" s="11" t="str">
        <f ca="1">IF(AND(tblData[Date]&gt;StartDt2UK,ISNUMBER(tblData[UK])),(tblData[[#This Row],[UK LogiP(t)]]-tblData[[#This Row],[UK]])^2,"")</f>
        <v/>
      </c>
      <c r="BN17" s="11" t="str">
        <f ca="1">IF(ISNUMBER(tblData[Days'# UK]),tblData[[#This Row],[UK LogiP(t)]]/$BL$9,"")</f>
        <v/>
      </c>
      <c r="BO17" s="137" t="str">
        <f ca="1">IF(AND(ISNUMBER(tblData[UK]),tblData[Date]&gt;StartDt2UK),(tblData[UK]-AVERAGE(tblData[UK]))^2,"")</f>
        <v/>
      </c>
      <c r="BP17" s="11">
        <f>tblData[[#This Row],[Date]]-UK100dt</f>
        <v>-44</v>
      </c>
      <c r="BQ17" s="11">
        <f ca="1">IF(ISNUMBER(tblData[Days'# China]),betaChina/(deltaChina+betaPodeltaChina*EXP(-betaChina*tblData[Days'# China])),"")</f>
        <v>5588.8798365549892</v>
      </c>
      <c r="BR17" s="11">
        <f ca="1">IF(ISNUMBER(tblData[China]),(tblData[[#This Row],[China LogiP(t)]]-tblData[[#This Row],[China]])^2,"")</f>
        <v>6380.7882880517882</v>
      </c>
      <c r="BS17" s="11">
        <f ca="1">tblData[[#This Row],[China LogiP(t)]]/$BQ$9</f>
        <v>38.829900052696615</v>
      </c>
      <c r="BT17" s="137">
        <f ca="1">IF(AND(ISNUMBER(tblData[China]),tblData[Date]&gt;StartDt2China),(tblData[China]-AVERAGE(tblData[China]))^2,"")</f>
        <v>2983339784.2271376</v>
      </c>
      <c r="BU17" s="11">
        <f>tblData[[#This Row],[Date]]-China100dt</f>
        <v>6</v>
      </c>
      <c r="BV17" s="106" t="str">
        <f>IF(ISNUMBER(tblData[Day'# Singapore]),betaSingapore/(deltaSingapore+betaPodeltaSingapore*EXP(-betaSingapore*tblData[Day'# Singapore])),"")</f>
        <v/>
      </c>
      <c r="BW17" s="11" t="str">
        <f>IF(AND(ISNUMBER(tblData[Singapore]),tblData[Date]&gt;=StartDt2Singapore),(tblData[[#This Row],[Singapore LogiP(t)]]-tblData[[#This Row],[Singapore]])^2,"")</f>
        <v/>
      </c>
      <c r="BX17" s="106" t="str">
        <f>IF(ISNUMBER(tblData[Day'# Singapore]),tblData[Singapore LogiP(t)]/$BV$9,"")</f>
        <v/>
      </c>
      <c r="BY17" s="106" t="str">
        <f>IF(AND(ISNUMBER(tblData[Singapore]),tblData[Date]&gt;StartDt2Singapore),(tblData[Singapore]-AVERAGE(tblData[Singapore]))^2,"")</f>
        <v/>
      </c>
      <c r="BZ17" s="11">
        <f>tblData[[#This Row],[Date]]-Singapore100dt+1</f>
        <v>-13</v>
      </c>
      <c r="CA17" s="11">
        <f ca="1">IF(AND(tblData[Date]&gt;StartDt2Generic,ISNUMBER(tblData[Day'# Generic])),betaGeneric/(deltaGeneric+betaPodeltaGeneric*EXP(-betaGeneric*tblData[Day'# Generic])),"")</f>
        <v>3.2584941007766863E-3</v>
      </c>
      <c r="CB17" s="106" t="str">
        <f ca="1">IF(AND(ISNUMBER(tblData[Generic]),tblData[Date]&gt;StartDt2Generic),(tblData[Generic LogiP(t)]-tblData[[#This Row],[Generic]])^2,"")</f>
        <v/>
      </c>
      <c r="CC17" s="11" t="str">
        <f ca="1">IF(AND(ISNUMBER(tblData[Generic]),tblData[Date]&gt;StartDt2Generic),tblData[Generic LogiP(t)]/$CA$9,"")</f>
        <v/>
      </c>
      <c r="CD17" s="106" t="str">
        <f ca="1">IF(AND(ISNUMBER(tblData[Generic]),tblData[Date]&gt;StartDt2Generic),(tblData[Generic]-AVERAGE(tblData[Generic]))^2,"")</f>
        <v/>
      </c>
      <c r="CE17" s="11">
        <f>tblData[[#This Row],[Date]]-Generic100dt+1</f>
        <v>-52</v>
      </c>
      <c r="CG17" s="11"/>
      <c r="CH17" s="11" t="str">
        <f>IF(ISNUMBER(tblData[[#This Row],[Tests]]),tblData[[#This Row],[Tests]]-CH16,"")</f>
        <v/>
      </c>
      <c r="CI17" s="11" t="str">
        <f>IF(ISNUMBER(tblData[[#This Row],[NSW Under Investigation'']]),tblData[[#This Row],[NSW Under Investigation'']]-CG16,"")</f>
        <v/>
      </c>
      <c r="CJ17" s="11"/>
      <c r="CK17" s="11" t="str">
        <f>IF(AND(tblData[[#This Row],[NSW Test Day Number]]&gt;0,ISNUMBER(tblData[[#This Row],[NSW Test Day Number]])),betaTests/(deltaTests+betaPodeltaTests*EXP(-betaTests*tblData[[#This Row],[NSW Test Day Number]])),"")</f>
        <v/>
      </c>
      <c r="CL17" s="11" t="str">
        <f>IF(tblData[Tests]&gt;0,(tblData[[#This Row],[Tests]]-tblData[[#This Row],[NSW Test Logi]])^2,"")</f>
        <v/>
      </c>
      <c r="CM17" s="106" t="str">
        <f>IF(AND(ISNUMBER(tblData[Tests]),tblData[Date]&gt;StartDt2Tests),(tblData[Tests]-AVERAGE(tblData[Tests]))^2,"")</f>
        <v/>
      </c>
      <c r="CN17" s="11" t="str">
        <f>IF(ISNUMBER(tblData[Tests]),tblData[Tests]/$CN$9/100,"")</f>
        <v/>
      </c>
      <c r="CO17" s="11" t="str">
        <f>IF(AND(tblData[[#This Row],[NSW Test Day Number]]&gt;0,ISNUMBER(tblData[[#This Row],[NSW Test Day Number]])),TestsLogestB*TestsLogestM^tblData[[#This Row],[NSW Test Day Number]],"")</f>
        <v/>
      </c>
      <c r="CP17" s="11" t="str">
        <f>IF(AND(tblData[[#This Row],[NSW Test Day Number]]&gt;0,ISNUMBER(tblData[Tests])),(tblData[Tests]-tblData[[#This Row],[NSW Test Per Capita]])^2,"")</f>
        <v/>
      </c>
      <c r="CQ17" s="39">
        <f ca="1">IF(AND(tblData[Day '# NSW]&gt;0,ISNUMBER(tblData[[#This Row],[Day '# NSW]])),NSWLogestB*NSWLogestM^tblData[[#This Row],[Day '# NSW]]/$CR$9,"")</f>
        <v>1.3686889218526674</v>
      </c>
      <c r="CR17" s="39">
        <f ca="1">IF(AND(ISNUMBER(tblData[NSW]),tblData[Date]&gt;StartDt2NSW),(tblData[NSW]/$CR$9-tblData[[#This Row],[NSW Cases LogEst]])^2,"")</f>
        <v>12.82933513608744</v>
      </c>
      <c r="CS17" s="11"/>
      <c r="CT17" s="11"/>
      <c r="CU17" s="26"/>
      <c r="CV17" s="25" t="s">
        <v>937</v>
      </c>
      <c r="CW17" s="168">
        <v>43923.637604166666</v>
      </c>
      <c r="CX17" s="72">
        <f>INDEX(tblPopulation[Day 0],MATCH(tblRuns[[#This Row],[Place]],tblPopulation[CtryAbbrev],0),1)</f>
        <v>43860</v>
      </c>
      <c r="CY17" s="72">
        <f ca="1">INDEX(tblPopulation[Logistic Start2],MATCH($CV17,tblPopulation[CtryAbbrev],0),1)</f>
        <v>43860</v>
      </c>
      <c r="CZ17" s="25">
        <v>6</v>
      </c>
      <c r="DA17" s="44">
        <v>0.2136758054067901</v>
      </c>
      <c r="DB17" s="24">
        <v>2.8661371579282545E-6</v>
      </c>
      <c r="DC17" s="84">
        <v>8.7970151992173964E-2</v>
      </c>
      <c r="DD17" s="23">
        <f>betaUK/deltaUK</f>
        <v>74551.8422995648</v>
      </c>
      <c r="DE17" s="34">
        <f ca="1">SQRT(SUM(tblData[UK Sq Err])/COUNT(tblData[UK Sq Err]))</f>
        <v>210.99573745361451</v>
      </c>
      <c r="DF17" s="24">
        <f ca="1">SUM(tblData[UK Mean Devn Sq])</f>
        <v>2780584839.8367348</v>
      </c>
      <c r="DG17" s="82">
        <f ca="1">1-(SUM(tblData[UK Sq Err])/SUM(tblData[UK Mean Devn Sq]))</f>
        <v>0.99900733455914803</v>
      </c>
      <c r="DH17" s="83">
        <f>(tblRuns[b]/tblRuns[Po])-tblRuns[d]</f>
        <v>2.428955144823187</v>
      </c>
      <c r="DI17" s="83">
        <f>tblRuns[d]*1000</f>
        <v>2.8661371579282546E-3</v>
      </c>
      <c r="DJ17" s="26">
        <f t="array" ref="DJ17">MAX(IF(ISNUMBER(tblData[UK]),tblData[Date]))</f>
        <v>43922</v>
      </c>
      <c r="DK17" s="26" t="str">
        <f>Cengnotation(tblRuns[[#This Row],[Asymptote b/d]],3)</f>
        <v>74.6 k</v>
      </c>
      <c r="DL17" s="106">
        <f ca="1">MAX(tblData[UK LogiP(t)])</f>
        <v>74551.8422995648</v>
      </c>
      <c r="DM17" s="25">
        <f>MAX(tblData[UK])</f>
        <v>29865</v>
      </c>
      <c r="DN17" s="25" t="str">
        <f>Cengnotation(DD17/(UKPop/PerPerson),3)</f>
        <v>11.2 k</v>
      </c>
      <c r="DO17" s="26">
        <f t="array" ref="DO17">MAX(IF(ISNUMBER(tblData[UK]),tblData[Date]))</f>
        <v>43922</v>
      </c>
      <c r="DP17" s="11">
        <f t="array" ref="DP17">COUNT(IF(ISNUMBER(tblData[UK]),tblData[Date]))</f>
        <v>63</v>
      </c>
      <c r="DQ17"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b=0.214, d=2.87E-06, P0=.001, r2=999.E-3, Limit=11.2 k=&gt;74.6 k cases </v>
      </c>
      <c r="DS17" s="25" t="str">
        <f t="shared" si="0"/>
        <v>UK Limit 11.2 k</v>
      </c>
      <c r="DU17" s="18" t="str">
        <f ca="1">"COVID19 "&amp;CV17 &amp; " " &amp;LogFormula&amp;CHAR(10)&amp;DQ17&amp;CHAR(10)&amp;" (Fit: " &amp; TEXT(tblRuns[Logistic Start2],"ddd dd-mmm") &amp; " - " &amp; TEXT(tblRuns[Last Date],"ddd dd-mmm")&amp;")"&amp;IF(PopScaling=0,"",", "&amp;PerPersonLabel)</f>
        <v>COVID19 UK P(t) = b / {d+[( b/Po - d ) ]* exp(-b*t)}
b=0.214, d=2.87E-06, P0=.001, r2=999.E-3, Limit=11.2 k=&gt;74.6 k cases 
 (Fit: Thu 30-Jan - Wed 01-Apr), Cases per 10 M population</v>
      </c>
      <c r="DV17" s="20">
        <f>MAX(tblData[UK Cases Per Capita])</f>
        <v>4495.0331125827815</v>
      </c>
      <c r="DW17" s="170">
        <f>IF(tblRuns[[#This Row],[Max Cases Per Capita]]&gt;NSWMaxCasespc,INDEX(tblData[Date],1+MATCH(NSWMaxCasespc,tblData[UK Cases Per Capita],1)),INDEX(tblData[Date],1+MATCH(tblRuns[[#This Row],[Max Cases Per Capita]],tblData[NSW Cases per Capita],1)))</f>
        <v>43919</v>
      </c>
      <c r="DX17" s="11">
        <f t="shared" si="1"/>
        <v>4</v>
      </c>
      <c r="DY17" s="26">
        <f>IF(DV17&gt;AuMaxCasespc,INDEX(tblData[Date],1+MATCH(AuMaxCasespc,tblData[UK Cases Per Capita],1)),INDEX(tblData[Date],1+MATCH(DV17,tblData[Au Cases Per Capita],1)))</f>
        <v>43917</v>
      </c>
      <c r="DZ17" s="11">
        <f t="shared" si="2"/>
        <v>6</v>
      </c>
      <c r="EA17" s="25"/>
      <c r="EB17" s="11">
        <f ca="1">INDEX(tblData[NSW LogiP(t)],MATCH(VALUE(tblRuns[AtDate])+7,tblData[Date],1))</f>
        <v>2549.1463982529417</v>
      </c>
      <c r="EC17" s="19">
        <f ca="1">tblRuns[Mean Sq Err]/tblRuns[Max Cases Per Capita]</f>
        <v>4.6939751536642045E-2</v>
      </c>
      <c r="ED17" s="144">
        <f>IF(MIN(tblData[UK Cases Per Capita])&gt;0,MIN(tblData[Date]),INDEX(tblData[Date],MATCH(solvMsgs!MinCases, tblData[UK Cases Per Capita],1)))</f>
        <v>43902</v>
      </c>
      <c r="EE17" s="145" t="str">
        <f>tblRuns[[#This Row],[Place]]&amp;" from "&amp;TEXT(tblRuns[DateOver100],"dd-mmm")</f>
        <v>UK from 12-Mar</v>
      </c>
      <c r="EF17" s="113" t="s">
        <v>937</v>
      </c>
      <c r="EG17" s="113"/>
      <c r="EH17" s="25"/>
      <c r="EI17" s="25"/>
      <c r="EJ17" s="146"/>
      <c r="EK17" s="25"/>
      <c r="EL17" s="25"/>
      <c r="EM17"/>
      <c r="EN17"/>
      <c r="EO17" s="26">
        <v>43860</v>
      </c>
      <c r="EP17">
        <v>10000000</v>
      </c>
      <c r="EQ17"/>
      <c r="ER17"/>
      <c r="ES17"/>
      <c r="ET17"/>
      <c r="EU17" s="25" t="s">
        <v>48</v>
      </c>
      <c r="EV17" s="69">
        <v>43912.58866898148</v>
      </c>
      <c r="EW17" s="26">
        <v>43855</v>
      </c>
      <c r="EX17" s="26">
        <v>43855</v>
      </c>
      <c r="EY17" s="25">
        <v>0</v>
      </c>
      <c r="EZ17" s="25">
        <v>0.20700168935626589</v>
      </c>
      <c r="FA17" s="24">
        <v>3.2194465727293212E-6</v>
      </c>
      <c r="FB17" s="21">
        <v>9.8887229355213678E-3</v>
      </c>
      <c r="FC17" s="82">
        <v>64297.289822945546</v>
      </c>
      <c r="FD17" s="82">
        <v>11.818703286404629</v>
      </c>
      <c r="FE17" s="25">
        <v>20.933103179226336</v>
      </c>
      <c r="FF17" s="84">
        <v>3.2194465727293214E-3</v>
      </c>
      <c r="FG17" s="26">
        <v>43912</v>
      </c>
      <c r="FH17" s="25" t="s">
        <v>1089</v>
      </c>
      <c r="FI17" s="84"/>
      <c r="FJ17" s="84">
        <v>1267</v>
      </c>
      <c r="FK17" s="25" t="s">
        <v>1090</v>
      </c>
      <c r="FL17" s="26">
        <v>43912</v>
      </c>
      <c r="FM17" s="25">
        <v>58</v>
      </c>
      <c r="FN17" s="25" t="s">
        <v>1091</v>
      </c>
      <c r="FO17" s="25"/>
      <c r="FP17" s="25" t="s">
        <v>1092</v>
      </c>
      <c r="FR17" s="25" t="s">
        <v>1093</v>
      </c>
      <c r="FS17" s="19">
        <v>499.52688850339064</v>
      </c>
      <c r="FT17" s="72"/>
      <c r="FU17" s="25"/>
      <c r="FV17" s="72"/>
      <c r="FW17" s="25"/>
      <c r="FX17" s="25" t="s">
        <v>1088</v>
      </c>
      <c r="FY17" s="25"/>
      <c r="FZ17" s="25"/>
      <c r="GA17" s="25"/>
    </row>
    <row r="18" spans="2:185" x14ac:dyDescent="0.25">
      <c r="B18" s="1">
        <v>43859</v>
      </c>
      <c r="C18">
        <v>0</v>
      </c>
      <c r="D18" s="25">
        <v>0</v>
      </c>
      <c r="E18">
        <v>4</v>
      </c>
      <c r="F18">
        <v>0</v>
      </c>
      <c r="G18">
        <v>1</v>
      </c>
      <c r="H18">
        <v>0</v>
      </c>
      <c r="I18">
        <v>0</v>
      </c>
      <c r="J18">
        <v>1</v>
      </c>
      <c r="K18">
        <v>0</v>
      </c>
      <c r="L18" s="12">
        <f>IF(ISNUMBER(tblData[[#This Row],[NSW]]),tblData[[#This Row],[New South Wales]]/$L$9,"")</f>
        <v>4.9504950495049505</v>
      </c>
      <c r="N18" s="25" t="str">
        <f>IF(ISNUMBER(tblData[Italy]),tblData[Italy]/$N$9,"")</f>
        <v/>
      </c>
      <c r="O18">
        <v>5</v>
      </c>
      <c r="P18" s="106">
        <f>IF(ISNUMBER(tblData[US]),tblData[US]/$P$9,"")</f>
        <v>0.15187055346179726</v>
      </c>
      <c r="Q18">
        <v>4</v>
      </c>
      <c r="R18" s="19">
        <f>IF(ISNUMBER(tblData[SKorea]),tblData[SKorea]/$R$9,"")</f>
        <v>0.77821011673151752</v>
      </c>
      <c r="T18" s="25" t="str">
        <f>IF(ISNUMBER(tblData[UK]),tblData[UK]/$T$9,"")</f>
        <v/>
      </c>
      <c r="U18">
        <v>6087</v>
      </c>
      <c r="V18" s="20">
        <f>IF(ISNUMBER(tblData[China]),tblData[China]/$V$9,"")</f>
        <v>42.290693042786231</v>
      </c>
      <c r="W18">
        <v>7</v>
      </c>
      <c r="X18" s="20">
        <f>IF(ISNUMBER(tblData[Singapore]),tblData[Singapore]/$X$9,"")</f>
        <v>11.965811965811966</v>
      </c>
      <c r="Y18"/>
      <c r="Z18" s="20" t="str">
        <f>IF(AND(LEN(tblData[Generic])&gt;0,ISNUMBER(tblData[Generic])),tblData[Generic]/$Z$9,"")</f>
        <v/>
      </c>
      <c r="AA18" s="25" t="str">
        <f ca="1">IF(tblData[[#This Row],[Date]]&lt;StartDt2Italy,"",tblData[[#This Row],[Date]]-ItalyStart)</f>
        <v/>
      </c>
      <c r="AB18" s="25">
        <f ca="1">IF(tblData[[#This Row],[Date]]&lt;=StartDt2US,"",tblData[[#This Row],[Date]]-USStart)</f>
        <v>7</v>
      </c>
      <c r="AC18" s="25">
        <f ca="1">IF(tblData[[#This Row],[Date]]&lt;StartDt2China,"",tblData[[#This Row],[Date]]-ChinaStart)</f>
        <v>7</v>
      </c>
      <c r="AD18" s="25">
        <f>IF(tblData[[#This Row],[Date]]&lt;=SKoreaStart,"",tblData[[#This Row],[Date]]-SKoreaStart)</f>
        <v>7</v>
      </c>
      <c r="AE18" s="25" t="str">
        <f ca="1">IF(tblData[[#This Row],[Date]]&lt;=StartDt2UK,"",tblData[[#This Row],[Date]]-UKStart)</f>
        <v/>
      </c>
      <c r="AF18" s="25" t="str">
        <f>IF(tblData[[#This Row],[Date]]&lt;StartDt2Singapore,"",tblData[[#This Row],[Date]]-SingaporeStart)</f>
        <v/>
      </c>
      <c r="AG18" s="25">
        <f ca="1">IF(tblData[[#This Row],[Date]]&lt;StartDt2Generic,"",tblData[[#This Row],[Date]]-GenericStart)</f>
        <v>7</v>
      </c>
      <c r="AH18">
        <f ca="1">IF(tblData[Date]&gt;StartDt2Au,tblData[Date]-AuStart,"")</f>
        <v>4</v>
      </c>
      <c r="AI18" s="25">
        <f>IF(tblData[New South Wales]&gt;=0,SUM(tblData[[#This Row],[Australian Capital Territory]:[Western Australia]]),"")</f>
        <v>6</v>
      </c>
      <c r="AJ18" s="12">
        <f>IF(ISNUMBER(tblData[Au]),tblData[Au]/$AE$9,"")</f>
        <v>2.365557483046838</v>
      </c>
      <c r="AK18" s="19">
        <f ca="1">IF(ISNUMBER(tblData[[#This Row],[Day'# Aust]]),betaAu/(deltaAu+betaPodeltaAu*EXP(-betaAu*tblData[[#This Row],[Day'# Aust]])),"")</f>
        <v>2.7519918228177272E-3</v>
      </c>
      <c r="AL18" s="62">
        <f ca="1">IF(ISNUMBER(tblData[Day'# Aust]),tblData[Au LogiP(t)]/$AJ$9,"")</f>
        <v>1.0849991416250304E-3</v>
      </c>
      <c r="AM18" s="11">
        <f ca="1">IF(AND(tblData[Date]&gt;StartDt2Au,ISNUMBER(tblData[NSW])),(tblData[[#This Row],[Au LogiP(t)]]-tblData[[#This Row],[Au]])^2,"")</f>
        <v>35.966983671585183</v>
      </c>
      <c r="AN18" s="11">
        <f ca="1">IF(AND(ISNUMBER(tblData[Au]),tblData[Date]&gt;StartDt2Au),(tblData[Au]-AVERAGE(tblData[Au]))^2,"")</f>
        <v>191280.06887943787</v>
      </c>
      <c r="AO18" s="11">
        <f>tblData[[#This Row],[Date]]-Au100dt</f>
        <v>-45</v>
      </c>
      <c r="AP18">
        <f ca="1">IF(tblData[Date]&gt;StartDt2NSW,tblData[Date]-StartDt2NSW,"")</f>
        <v>4</v>
      </c>
      <c r="AQ18" s="25">
        <f>IF(tblData[[#This Row],[New South Wales]]&gt;0,tblData[[#This Row],[New South Wales]],"")</f>
        <v>4</v>
      </c>
      <c r="AR18" s="44">
        <f ca="1">IF(tblData[Date]&gt;StartDt2NSW,betaNSW/(deltaNSW+betaPodeltaNSW*EXP(-betaNSW*tblData[[#This Row],[Day '# NSW]])),"")</f>
        <v>2.5888135756081121E-3</v>
      </c>
      <c r="AS18" s="12">
        <f ca="1">IF(AND(ISNUMBER(tblData[NSW]),tblData[Date]&gt;StartDt2NSW),(tblData[[#This Row],[NSW LogiP(t)]]-tblData[[#This Row],[NSW]])^2,"")</f>
        <v>15.979296193350866</v>
      </c>
      <c r="AT18" s="12">
        <f ca="1">IF(AND(tblData[Date]&gt;StartDt2NSW,ISNUMBER(tblData[Day'# Aust])),tblData[NSW LogiP(t)]/$AR$9,"")</f>
        <v>3.2039771975347921E-3</v>
      </c>
      <c r="AU18" s="11">
        <f>tblData[[#This Row],[Date]]-NSW100dt+1</f>
        <v>-41</v>
      </c>
      <c r="AV18" s="11">
        <f ca="1">IF(AND(ISNUMBER(tblData[NSW]),tblData[Date]&gt;StartDt2NSW),(tblData[NSW]-AVERAGE(tblData[NSW]))^2,"")</f>
        <v>83990.760134425553</v>
      </c>
      <c r="AW18" s="39" t="str">
        <f ca="1">IF(AND(tblData[Date]&gt;StartDt2Italy,ISNUMBER(tblData[Days'# Italy])),betaItaly/(deltaItaly+betaPodeltaItaly*EXP(-betaItaly*tblData[Days'# Italy])),"")</f>
        <v/>
      </c>
      <c r="AX18" s="11" t="str">
        <f ca="1">IF(AND(tblData[Date]&gt;StartDt2Italy,ISNUMBER(tblData[Italy])),(tblData[[#This Row],[Italy LogiP(t)]]-tblData[[#This Row],[Italy]])^2,"")</f>
        <v/>
      </c>
      <c r="AY18" s="11" t="str">
        <f ca="1">IF(AND(tblData[Date]&gt;StartDt2Italy,ISNUMBER(tblData[Days'# Italy])),tblData[[#This Row],[Italy LogiP(t)]]/$AW$9,"")</f>
        <v/>
      </c>
      <c r="AZ18" s="11" t="str">
        <f ca="1">IF(AND(ISNUMBER(tblData[Italy]),tblData[Date]&gt;StartDt2Italy),(tblData[Italy]-AVERAGE(tblData[Italy]))^2,"")</f>
        <v/>
      </c>
      <c r="BA18" s="11">
        <f>tblData[[#This Row],[Date]]-Italy100dt+1</f>
        <v>-28</v>
      </c>
      <c r="BB18" s="11">
        <f ca="1">IF(AND(tblData[Date]&gt;StartDt2US,ISNUMBER(tblData[[#This Row],[Days'# US]])),betaUS/(deltaUS+betaPodeltaUS*EXP(-betaUS*tblData[Days'# US])),"")</f>
        <v>7.2891283261137512E-3</v>
      </c>
      <c r="BC18" s="11">
        <f ca="1">IF(AND(tblData[Date]&gt;StartDt2US,ISNUMBER(tblData[US])),(tblData[[#This Row],[US LogiP(t)]]-tblData[US])^2,"")</f>
        <v>24.92716184813062</v>
      </c>
      <c r="BD18" s="137">
        <f ca="1">IF(AND(tblData[Date]&gt;=StartDt2US,ISNUMBER(tblData[[#This Row],[Days'# US]])),tblData[[#This Row],[US LogiP(t)]]/$BB$9,"")</f>
        <v>2.2140079062819184E-4</v>
      </c>
      <c r="BE18" s="137">
        <f ca="1">IF(AND(ISNUMBER(tblData[US]),tblData[Date]&gt;StartDt2US),(tblData[US]-AVERAGE(tblData[US]))^2,"")</f>
        <v>335243205.75778615</v>
      </c>
      <c r="BF18" s="11">
        <f>tblData[[#This Row],[Date]]-US100dt+1</f>
        <v>-44</v>
      </c>
      <c r="BG18" s="11" t="str">
        <f ca="1">IF(tblData[Date]&gt;StartDt2SKorea,betaSKorea/(deltaSKorea+betaPodeltaSKorea*EXP(-betaSKorea*(tblData[Date]-StartDt2SKorea))),"")</f>
        <v/>
      </c>
      <c r="BH18" s="11" t="str">
        <f ca="1">IF(AND(tblData[Date]&gt;StartDt2SKorea,ISNUMBER(tblData[SKorea])),(tblData[[#This Row],[SKorea LogiP(t)]]-tblData[[#This Row],[SKorea]])^2,"")</f>
        <v/>
      </c>
      <c r="BI18" s="11" t="str">
        <f ca="1">IF(tblData[Date]&gt;StartDt2SKorea,tblData[[#This Row],[SKorea LogiP(t)]]/$BG$9,"")</f>
        <v/>
      </c>
      <c r="BJ18" s="11" t="str">
        <f ca="1">IF(AND(ISNUMBER(tblData[SKorea]),tblData[Date]&gt;StartDt2SKorea),(tblData[SKorea]-AVERAGE(tblData[SKorea]))^2,"")</f>
        <v/>
      </c>
      <c r="BK18" s="11">
        <f>tblData[[#This Row],[Date]]-SKorea100dt+1</f>
        <v>-23</v>
      </c>
      <c r="BL18" s="137" t="str">
        <f ca="1">IF(AND(tblData[Date]&gt;StartDt2UK,ISNUMBER(tblData[Days'# UK])),betaUK/(deltaUK+betaPodeltaUK*EXP(-betaUK*tblData[Days'# UK])),"")</f>
        <v/>
      </c>
      <c r="BM18" s="11" t="str">
        <f ca="1">IF(AND(tblData[Date]&gt;StartDt2UK,ISNUMBER(tblData[UK])),(tblData[[#This Row],[UK LogiP(t)]]-tblData[[#This Row],[UK]])^2,"")</f>
        <v/>
      </c>
      <c r="BN18" s="11" t="str">
        <f ca="1">IF(ISNUMBER(tblData[Days'# UK]),tblData[[#This Row],[UK LogiP(t)]]/$BL$9,"")</f>
        <v/>
      </c>
      <c r="BO18" s="137" t="str">
        <f ca="1">IF(AND(ISNUMBER(tblData[UK]),tblData[Date]&gt;StartDt2UK),(tblData[UK]-AVERAGE(tblData[UK]))^2,"")</f>
        <v/>
      </c>
      <c r="BP18" s="11">
        <f>tblData[[#This Row],[Date]]-UK100dt</f>
        <v>-43</v>
      </c>
      <c r="BQ18" s="11">
        <f ca="1">IF(ISNUMBER(tblData[Days'# China]),betaChina/(deltaChina+betaPodeltaChina*EXP(-betaChina*tblData[Days'# China])),"")</f>
        <v>6853.6160352337783</v>
      </c>
      <c r="BR18" s="11">
        <f ca="1">IF(ISNUMBER(tblData[China]),(tblData[[#This Row],[China LogiP(t)]]-tblData[[#This Row],[China]])^2,"")</f>
        <v>587700.14547755767</v>
      </c>
      <c r="BS18" s="11">
        <f ca="1">tblData[[#This Row],[China LogiP(t)]]/$BQ$9</f>
        <v>47.616916704318925</v>
      </c>
      <c r="BT18" s="137">
        <f ca="1">IF(AND(ISNUMBER(tblData[China]),tblData[Date]&gt;StartDt2China),(tblData[China]-AVERAGE(tblData[China]))^2,"")</f>
        <v>2920533197.0722079</v>
      </c>
      <c r="BU18" s="11">
        <f>tblData[[#This Row],[Date]]-China100dt</f>
        <v>7</v>
      </c>
      <c r="BV18" s="106" t="str">
        <f>IF(ISNUMBER(tblData[Day'# Singapore]),betaSingapore/(deltaSingapore+betaPodeltaSingapore*EXP(-betaSingapore*tblData[Day'# Singapore])),"")</f>
        <v/>
      </c>
      <c r="BW18" s="11" t="str">
        <f>IF(AND(ISNUMBER(tblData[Singapore]),tblData[Date]&gt;=StartDt2Singapore),(tblData[[#This Row],[Singapore LogiP(t)]]-tblData[[#This Row],[Singapore]])^2,"")</f>
        <v/>
      </c>
      <c r="BX18" s="106" t="str">
        <f>IF(ISNUMBER(tblData[Day'# Singapore]),tblData[Singapore LogiP(t)]/$BV$9,"")</f>
        <v/>
      </c>
      <c r="BY18" s="106" t="str">
        <f>IF(AND(ISNUMBER(tblData[Singapore]),tblData[Date]&gt;StartDt2Singapore),(tblData[Singapore]-AVERAGE(tblData[Singapore]))^2,"")</f>
        <v/>
      </c>
      <c r="BZ18" s="11">
        <f>tblData[[#This Row],[Date]]-Singapore100dt+1</f>
        <v>-12</v>
      </c>
      <c r="CA18" s="11">
        <f ca="1">IF(AND(tblData[Date]&gt;StartDt2Generic,ISNUMBER(tblData[Day'# Generic])),betaGeneric/(deltaGeneric+betaPodeltaGeneric*EXP(-betaGeneric*tblData[Day'# Generic])),"")</f>
        <v>3.9675254526350167E-3</v>
      </c>
      <c r="CB18" s="106" t="str">
        <f ca="1">IF(AND(ISNUMBER(tblData[Generic]),tblData[Date]&gt;StartDt2Generic),(tblData[Generic LogiP(t)]-tblData[[#This Row],[Generic]])^2,"")</f>
        <v/>
      </c>
      <c r="CC18" s="11" t="str">
        <f ca="1">IF(AND(ISNUMBER(tblData[Generic]),tblData[Date]&gt;StartDt2Generic),tblData[Generic LogiP(t)]/$CA$9,"")</f>
        <v/>
      </c>
      <c r="CD18" s="106" t="str">
        <f ca="1">IF(AND(ISNUMBER(tblData[Generic]),tblData[Date]&gt;StartDt2Generic),(tblData[Generic]-AVERAGE(tblData[Generic]))^2,"")</f>
        <v/>
      </c>
      <c r="CE18" s="11">
        <f>tblData[[#This Row],[Date]]-Generic100dt+1</f>
        <v>-51</v>
      </c>
      <c r="CG18" s="11"/>
      <c r="CH18" s="11" t="str">
        <f>IF(ISNUMBER(tblData[[#This Row],[Tests]]),tblData[[#This Row],[Tests]]-CH17,"")</f>
        <v/>
      </c>
      <c r="CI18" s="11" t="str">
        <f>IF(ISNUMBER(tblData[[#This Row],[NSW Under Investigation'']]),tblData[[#This Row],[NSW Under Investigation'']]-CG17,"")</f>
        <v/>
      </c>
      <c r="CJ18" s="11"/>
      <c r="CK18" s="11" t="str">
        <f>IF(AND(tblData[[#This Row],[NSW Test Day Number]]&gt;0,ISNUMBER(tblData[[#This Row],[NSW Test Day Number]])),betaTests/(deltaTests+betaPodeltaTests*EXP(-betaTests*tblData[[#This Row],[NSW Test Day Number]])),"")</f>
        <v/>
      </c>
      <c r="CL18" s="11" t="str">
        <f>IF(tblData[Tests]&gt;0,(tblData[[#This Row],[Tests]]-tblData[[#This Row],[NSW Test Logi]])^2,"")</f>
        <v/>
      </c>
      <c r="CM18" s="106" t="str">
        <f>IF(AND(ISNUMBER(tblData[Tests]),tblData[Date]&gt;StartDt2Tests),(tblData[Tests]-AVERAGE(tblData[Tests]))^2,"")</f>
        <v/>
      </c>
      <c r="CN18" s="11" t="str">
        <f>IF(ISNUMBER(tblData[Tests]),tblData[Tests]/$CN$9/100,"")</f>
        <v/>
      </c>
      <c r="CO18" s="11" t="str">
        <f>IF(AND(tblData[[#This Row],[NSW Test Day Number]]&gt;0,ISNUMBER(tblData[[#This Row],[NSW Test Day Number]])),TestsLogestB*TestsLogestM^tblData[[#This Row],[NSW Test Day Number]],"")</f>
        <v/>
      </c>
      <c r="CP18" s="11" t="str">
        <f>IF(AND(tblData[[#This Row],[NSW Test Day Number]]&gt;0,ISNUMBER(tblData[Tests])),(tblData[Tests]-tblData[[#This Row],[NSW Test Per Capita]])^2,"")</f>
        <v/>
      </c>
      <c r="CQ18" s="39">
        <f ca="1">IF(AND(tblData[Day '# NSW]&gt;0,ISNUMBER(tblData[[#This Row],[Day '# NSW]])),NSWLogestB*NSWLogestM^tblData[[#This Row],[Day '# NSW]]/$CR$9,"")</f>
        <v>1.5232671068449022</v>
      </c>
      <c r="CR18" s="39">
        <f ca="1">IF(AND(ISNUMBER(tblData[NSW]),tblData[Date]&gt;StartDt2NSW),(tblData[NSW]/$CR$9-tblData[[#This Row],[NSW Cases LogEst]])^2,"")</f>
        <v>11.745891370949826</v>
      </c>
      <c r="CS18" s="11"/>
      <c r="CT18" s="11"/>
      <c r="CU18" s="26"/>
      <c r="CV18" s="25" t="s">
        <v>40</v>
      </c>
      <c r="CW18" s="168">
        <v>43923.637627314813</v>
      </c>
      <c r="CX18" s="72">
        <f>INDEX(tblPopulation[Day 0],MATCH(tblRuns[[#This Row],[Place]],tblPopulation[CtryAbbrev],0),1)</f>
        <v>43853</v>
      </c>
      <c r="CY18" s="72">
        <f>INDEX(tblPopulation[Logistic Start2],MATCH($CV18,tblPopulation[CtryAbbrev],0),1)</f>
        <v>43871</v>
      </c>
      <c r="CZ18" s="25">
        <v>7</v>
      </c>
      <c r="DA18" s="44">
        <v>7.9589178401888852E-2</v>
      </c>
      <c r="DB18" s="24">
        <v>5.6559545117512708E-7</v>
      </c>
      <c r="DC18" s="84">
        <v>4.2941138773370202</v>
      </c>
      <c r="DD18" s="23">
        <f>betaSingapore/deltaSingapore</f>
        <v>140717.50088606248</v>
      </c>
      <c r="DE18" s="34">
        <f>SQRT(SUM(tblData[Singapore Sq Err])/COUNT(tblData[Singapore Sq Err]))</f>
        <v>30.889778798380085</v>
      </c>
      <c r="DF18" s="24">
        <f>SUM(tblData[Singapore Mean Devn Sq])</f>
        <v>3868213.2106724852</v>
      </c>
      <c r="DG18" s="82">
        <f>1-(SUM(tblData[Singapore Sq Err])/SUM(tblData[Singapore Mean Devn Sq]))</f>
        <v>0.98717307555794154</v>
      </c>
      <c r="DH18" s="83">
        <f>(tblRuns[b]/tblRuns[Po])-tblRuns[d]</f>
        <v>1.8533916878787679E-2</v>
      </c>
      <c r="DI18" s="83">
        <f>tblRuns[d]*1000</f>
        <v>5.6559545117512711E-4</v>
      </c>
      <c r="DJ18" s="26">
        <f t="array" ref="DJ18">MAX(IF(ISNUMBER(tblData[Singapore]),tblData[Date]))</f>
        <v>43922</v>
      </c>
      <c r="DK18" s="26" t="str">
        <f>Cengnotation(tblRuns[[#This Row],[Asymptote b/d]],3)</f>
        <v>141 k</v>
      </c>
      <c r="DL18" s="106">
        <f t="array" ref="DL18">MAX(tblData[Singapore LogiP(t)])</f>
        <v>140717.34580055511</v>
      </c>
      <c r="DM18" s="25">
        <f>MAX(tblData[Singapore])</f>
        <v>1000</v>
      </c>
      <c r="DN18" s="25" t="str">
        <f>Cengnotation(tblRuns[[#This Row],[Asymptote b/d]]/(SingaporePop/PerPerson),3)</f>
        <v>241 k</v>
      </c>
      <c r="DO18" s="26">
        <f t="array" ref="DO18">MAX(IF(ISNUMBER(tblData[Singapore]),tblData[Date]))</f>
        <v>43922</v>
      </c>
      <c r="DP18" s="11">
        <f t="array" ref="DP18">COUNT(IF(ISNUMBER(tblData[Singapore]),tblData[Date]))</f>
        <v>71</v>
      </c>
      <c r="DQ18" s="26" t="str">
        <f>"b="&amp;TEXT(tblRuns[b],"##0.###")&amp;", d="&amp;TEXT(tblRuns[d],"0.00E+00")&amp;", P0="&amp;TEXT(Po,"#.###")&amp; ", r2=" &amp;TEXT(tblRuns[[#This Row],[R2]],"##0.#E+0") &amp;", Limit="&amp;IF(PopScaling=0,tblRuns[Asymptote b/d],tblRuns[[#This Row],[Asymp PerP]])&amp;"=&gt;"&amp;Cengnotation(tblRuns[[#This Row],[Limit Cases]],3)&amp;" cases "&amp;tblRuns[[#This Row],[Notes]]</f>
        <v xml:space="preserve">b=0.08, d=5.66E-07, P0=.001, r2=987.2E-3, Limit=241 k=&gt;141 k cases </v>
      </c>
      <c r="DS18" s="25" t="str">
        <f t="shared" si="0"/>
        <v>Singapore Limit 241 k</v>
      </c>
      <c r="DU18" s="18" t="str">
        <f>"COVID19 "&amp;CV18 &amp; " " &amp;LogFormula&amp;CHAR(10)&amp;DQ18&amp;CHAR(10)&amp;" (Fit: " &amp; TEXT(tblRuns[Logistic Start2],"ddd dd-mmm") &amp; " - " &amp; TEXT(tblRuns[Last Date],"ddd dd-mmm")&amp;")"&amp;IF(PopScaling=0,"",", "&amp;PerPersonLabel)</f>
        <v>COVID19 Singapore P(t) = b / {d+[( b/Po - d ) ]* exp(-b*t)}
b=0.08, d=5.66E-07, P0=.001, r2=987.2E-3, Limit=241 k=&gt;141 k cases 
 (Fit: Mon 10-Feb - Wed 01-Apr), Cases per 10 M population</v>
      </c>
      <c r="DV18" s="20">
        <f>MAX(tblData[Singapore Cases Per Capita])</f>
        <v>1709.4017094017095</v>
      </c>
      <c r="DW18" s="170">
        <f>IF(tblRuns[[#This Row],[Max Cases Per Capita]]&gt;NSWMaxCasespc,INDEX(tblData[Date],1+MATCH(NSWMaxCasespc,tblData[Singapore Cases Per Capita],1)),INDEX(tblData[Date],1+MATCH(tblRuns[[#This Row],[Max Cases Per Capita]],tblData[NSW Cases per Capita],1)))</f>
        <v>43917</v>
      </c>
      <c r="DX18" s="11">
        <f t="shared" si="1"/>
        <v>-6</v>
      </c>
      <c r="DY18" s="26" t="e">
        <f>IF(DV18&gt;AuMaxCasespc,INDEX(tblData[Date],1+MATCH(AuMaxCasespc,tblData[Singapore Cases Per Capita],1)),INDEX(tblData[Date],1+MATCH(DV18,tblData[Au Cases Per Capita],1)))</f>
        <v>#REF!</v>
      </c>
      <c r="DZ18" s="11" t="e">
        <f t="shared" si="2"/>
        <v>#REF!</v>
      </c>
      <c r="EA18" s="25"/>
      <c r="EB18" s="11">
        <f ca="1">INDEX(tblData[NSW LogiP(t)],MATCH(VALUE(tblRuns[AtDate])+7,tblData[Date],1))</f>
        <v>2549.1463982529417</v>
      </c>
      <c r="EC18" s="19">
        <f>tblRuns[Mean Sq Err]/tblRuns[Max Cases Per Capita]</f>
        <v>1.8070520597052348E-2</v>
      </c>
      <c r="ED18" s="144">
        <f>IF(MIN(tblData[Singapore Cases Per Capita])&gt;0,MIN(tblData[Date]),INDEX(tblData[Date],1+MATCH(solvMsgs!MinCases, tblData[Singapore Cases Per Capita],1)))</f>
        <v>43872</v>
      </c>
      <c r="EE18" s="145" t="str">
        <f>tblRuns[[#This Row],[Place]]&amp;" from "&amp;TEXT(tblRuns[DateOver100],"dd-mmm")</f>
        <v>Singapore from 11-Feb</v>
      </c>
      <c r="EF18" s="113" t="s">
        <v>40</v>
      </c>
      <c r="EG18" s="113"/>
      <c r="EJ18" s="146"/>
      <c r="EK18"/>
      <c r="EL18"/>
      <c r="EM18"/>
      <c r="EN18"/>
      <c r="EO18" s="26">
        <v>43860</v>
      </c>
      <c r="EP18">
        <v>0.1</v>
      </c>
      <c r="EQ18"/>
      <c r="ER18"/>
      <c r="ES18"/>
      <c r="ET18"/>
      <c r="EU18" s="25" t="s">
        <v>48</v>
      </c>
      <c r="EV18" s="69">
        <v>43912.787418981483</v>
      </c>
      <c r="EW18" s="26">
        <v>43855</v>
      </c>
      <c r="EX18" s="26">
        <v>43855</v>
      </c>
      <c r="EY18" s="25">
        <v>0</v>
      </c>
      <c r="EZ18" s="25">
        <v>0.20992855907156063</v>
      </c>
      <c r="FA18" s="24">
        <v>9.9999999999795755E-11</v>
      </c>
      <c r="FB18" s="21">
        <v>8.4862960776543872E-3</v>
      </c>
      <c r="FC18" s="82">
        <v>2099285590.7198939</v>
      </c>
      <c r="FD18" s="82">
        <v>11.255677732956892</v>
      </c>
      <c r="FE18" s="25">
        <v>24.737359756217259</v>
      </c>
      <c r="FF18" s="84">
        <v>9.9999999999795755E-8</v>
      </c>
      <c r="FG18" s="26">
        <v>43912</v>
      </c>
      <c r="FH18" s="25" t="s">
        <v>1111</v>
      </c>
      <c r="FI18" s="84">
        <v>2099285590.7198939</v>
      </c>
      <c r="FJ18" s="84">
        <v>1349</v>
      </c>
      <c r="FK18" s="25" t="s">
        <v>1112</v>
      </c>
      <c r="FL18" s="26">
        <v>43912</v>
      </c>
      <c r="FM18" s="25">
        <v>58</v>
      </c>
      <c r="FN18" s="25" t="s">
        <v>1113</v>
      </c>
      <c r="FO18" s="25"/>
      <c r="FP18" s="25" t="s">
        <v>1114</v>
      </c>
      <c r="FR18" s="25" t="s">
        <v>1115</v>
      </c>
      <c r="FS18" s="19">
        <v>531.85617410503073</v>
      </c>
      <c r="FT18" s="72"/>
      <c r="FU18" s="25"/>
      <c r="FV18" s="72"/>
      <c r="FW18" s="25"/>
      <c r="FX18" s="25" t="s">
        <v>1110</v>
      </c>
      <c r="FY18" s="25"/>
      <c r="FZ18" s="25"/>
      <c r="GA18" s="25"/>
    </row>
    <row r="19" spans="2:185" ht="15" customHeight="1" x14ac:dyDescent="0.25">
      <c r="B19" s="1">
        <v>43860</v>
      </c>
      <c r="C19">
        <v>0</v>
      </c>
      <c r="D19" s="25">
        <v>0</v>
      </c>
      <c r="E19">
        <v>4</v>
      </c>
      <c r="F19">
        <v>0</v>
      </c>
      <c r="G19">
        <v>3</v>
      </c>
      <c r="H19">
        <v>0</v>
      </c>
      <c r="I19">
        <v>0</v>
      </c>
      <c r="J19">
        <v>2</v>
      </c>
      <c r="K19">
        <v>0</v>
      </c>
      <c r="L19" s="12">
        <f>IF(ISNUMBER(tblData[[#This Row],[NSW]]),tblData[[#This Row],[New South Wales]]/$L$9,"")</f>
        <v>4.9504950495049505</v>
      </c>
      <c r="M19" s="25">
        <v>0</v>
      </c>
      <c r="N19" s="25">
        <f>IF(ISNUMBER(tblData[Italy]),tblData[Italy]/$N$9,"")</f>
        <v>0</v>
      </c>
      <c r="O19">
        <v>5</v>
      </c>
      <c r="P19" s="106">
        <f>IF(ISNUMBER(tblData[US]),tblData[US]/$P$9,"")</f>
        <v>0.15187055346179726</v>
      </c>
      <c r="Q19">
        <v>4</v>
      </c>
      <c r="R19" s="19">
        <f>IF(ISNUMBER(tblData[SKorea]),tblData[SKorea]/$R$9,"")</f>
        <v>0.77821011673151752</v>
      </c>
      <c r="S19">
        <v>0</v>
      </c>
      <c r="T19" s="12">
        <f>IF(ISNUMBER(tblData[UK]),tblData[UK]/$T$9,"")</f>
        <v>0</v>
      </c>
      <c r="U19">
        <v>8141</v>
      </c>
      <c r="V19" s="20">
        <f>IF(ISNUMBER(tblData[China]),tblData[China]/$V$9,"")</f>
        <v>56.561283400907293</v>
      </c>
      <c r="W19">
        <v>10</v>
      </c>
      <c r="X19" s="20">
        <f>IF(ISNUMBER(tblData[Singapore]),tblData[Singapore]/$X$9,"")</f>
        <v>17.094017094017094</v>
      </c>
      <c r="Y19"/>
      <c r="Z19" s="20" t="str">
        <f>IF(AND(LEN(tblData[Generic])&gt;0,ISNUMBER(tblData[Generic])),tblData[Generic]/$Z$9,"")</f>
        <v/>
      </c>
      <c r="AA19" s="25">
        <f ca="1">IF(tblData[[#This Row],[Date]]&lt;StartDt2Italy,"",tblData[[#This Row],[Date]]-ItalyStart)</f>
        <v>0</v>
      </c>
      <c r="AB19" s="25">
        <f ca="1">IF(tblData[[#This Row],[Date]]&lt;=StartDt2US,"",tblData[[#This Row],[Date]]-USStart)</f>
        <v>8</v>
      </c>
      <c r="AC19" s="25">
        <f ca="1">IF(tblData[[#This Row],[Date]]&lt;StartDt2China,"",tblData[[#This Row],[Date]]-ChinaStart)</f>
        <v>8</v>
      </c>
      <c r="AD19" s="25">
        <f>IF(tblData[[#This Row],[Date]]&lt;=SKoreaStart,"",tblData[[#This Row],[Date]]-SKoreaStart)</f>
        <v>8</v>
      </c>
      <c r="AE19" s="25" t="str">
        <f ca="1">IF(tblData[[#This Row],[Date]]&lt;=StartDt2UK,"",tblData[[#This Row],[Date]]-UKStart)</f>
        <v/>
      </c>
      <c r="AF19" s="25" t="str">
        <f>IF(tblData[[#This Row],[Date]]&lt;StartDt2Singapore,"",tblData[[#This Row],[Date]]-SingaporeStart)</f>
        <v/>
      </c>
      <c r="AG19" s="25">
        <f ca="1">IF(tblData[[#This Row],[Date]]&lt;StartDt2Generic,"",tblData[[#This Row],[Date]]-GenericStart)</f>
        <v>8</v>
      </c>
      <c r="AH19">
        <f ca="1">IF(tblData[Date]&gt;StartDt2Au,tblData[Date]-AuStart,"")</f>
        <v>5</v>
      </c>
      <c r="AI19" s="25">
        <f>IF(tblData[New South Wales]&gt;=0,SUM(tblData[[#This Row],[Australian Capital Territory]:[Western Australia]]),"")</f>
        <v>9</v>
      </c>
      <c r="AJ19" s="12">
        <f>IF(ISNUMBER(tblData[Au]),tblData[Au]/$AE$9,"")</f>
        <v>3.548336224570257</v>
      </c>
      <c r="AK19" s="19">
        <f ca="1">IF(ISNUMBER(tblData[[#This Row],[Day'# Aust]]),betaAu/(deltaAu+betaPodeltaAu*EXP(-betaAu*tblData[[#This Row],[Day'# Aust]])),"")</f>
        <v>3.5445319793258969E-3</v>
      </c>
      <c r="AL19" s="62">
        <f ca="1">IF(ISNUMBER(tblData[Day'# Aust]),tblData[Au LogiP(t)]/$AJ$9,"")</f>
        <v>1.3974656912655325E-3</v>
      </c>
      <c r="AM19" s="11">
        <f ca="1">IF(AND(tblData[Date]&gt;StartDt2Au,ISNUMBER(tblData[NSW])),(tblData[[#This Row],[Au LogiP(t)]]-tblData[[#This Row],[Au]])^2,"")</f>
        <v>80.936210988079083</v>
      </c>
      <c r="AN19" s="11">
        <f ca="1">IF(AND(ISNUMBER(tblData[Au]),tblData[Date]&gt;StartDt2Au),(tblData[Au]-AVERAGE(tblData[Au]))^2,"")</f>
        <v>188664.93426405324</v>
      </c>
      <c r="AO19" s="11">
        <f>tblData[[#This Row],[Date]]-Au100dt</f>
        <v>-44</v>
      </c>
      <c r="AP19">
        <f ca="1">IF(tblData[Date]&gt;StartDt2NSW,tblData[Date]-StartDt2NSW,"")</f>
        <v>5</v>
      </c>
      <c r="AQ19" s="25">
        <f>IF(tblData[[#This Row],[New South Wales]]&gt;0,tblData[[#This Row],[New South Wales]],"")</f>
        <v>4</v>
      </c>
      <c r="AR19" s="44">
        <f ca="1">IF(tblData[Date]&gt;StartDt2NSW,betaNSW/(deltaNSW+betaPodeltaNSW*EXP(-betaNSW*tblData[[#This Row],[Day '# NSW]])),"")</f>
        <v>3.2837941783545473E-3</v>
      </c>
      <c r="AS19" s="12">
        <f ca="1">IF(AND(ISNUMBER(tblData[NSW]),tblData[Date]&gt;StartDt2NSW),(tblData[[#This Row],[NSW LogiP(t)]]-tblData[[#This Row],[NSW]])^2,"")</f>
        <v>15.97374042987737</v>
      </c>
      <c r="AT19" s="12">
        <f ca="1">IF(AND(tblData[Date]&gt;StartDt2NSW,ISNUMBER(tblData[Day'# Aust])),tblData[NSW LogiP(t)]/$AR$9,"")</f>
        <v>4.0641017058843402E-3</v>
      </c>
      <c r="AU19" s="11">
        <f>tblData[[#This Row],[Date]]-NSW100dt+1</f>
        <v>-40</v>
      </c>
      <c r="AV19" s="11">
        <f ca="1">IF(AND(ISNUMBER(tblData[NSW]),tblData[Date]&gt;StartDt2NSW),(tblData[NSW]-AVERAGE(tblData[NSW]))^2,"")</f>
        <v>83990.760134425553</v>
      </c>
      <c r="AW19" s="39" t="str">
        <f ca="1">IF(AND(tblData[Date]&gt;StartDt2Italy,ISNUMBER(tblData[Days'# Italy])),betaItaly/(deltaItaly+betaPodeltaItaly*EXP(-betaItaly*tblData[Days'# Italy])),"")</f>
        <v/>
      </c>
      <c r="AX19" s="11" t="str">
        <f ca="1">IF(AND(tblData[Date]&gt;StartDt2Italy,ISNUMBER(tblData[Italy])),(tblData[[#This Row],[Italy LogiP(t)]]-tblData[[#This Row],[Italy]])^2,"")</f>
        <v/>
      </c>
      <c r="AY19" s="39" t="str">
        <f ca="1">IF(AND(tblData[Date]&gt;StartDt2Italy,ISNUMBER(tblData[Days'# Italy])),tblData[[#This Row],[Italy LogiP(t)]]/$AW$9,"")</f>
        <v/>
      </c>
      <c r="AZ19" s="39" t="str">
        <f ca="1">IF(AND(ISNUMBER(tblData[Italy]),tblData[Date]&gt;StartDt2Italy),(tblData[Italy]-AVERAGE(tblData[Italy]))^2,"")</f>
        <v/>
      </c>
      <c r="BA19" s="11">
        <f>tblData[[#This Row],[Date]]-Italy100dt+1</f>
        <v>-27</v>
      </c>
      <c r="BB19" s="11">
        <f ca="1">IF(AND(tblData[Date]&gt;StartDt2US,ISNUMBER(tblData[[#This Row],[Days'# US]])),betaUS/(deltaUS+betaPodeltaUS*EXP(-betaUS*tblData[Days'# US])),"")</f>
        <v>9.6808828784129483E-3</v>
      </c>
      <c r="BC19" s="11">
        <f ca="1">IF(AND(tblData[Date]&gt;StartDt2US,ISNUMBER(tblData[US])),(tblData[[#This Row],[US LogiP(t)]]-tblData[US])^2,"")</f>
        <v>24.90328489070918</v>
      </c>
      <c r="BD19" s="137">
        <f ca="1">IF(AND(tblData[Date]&gt;=StartDt2US,ISNUMBER(tblData[[#This Row],[Days'# US]])),tblData[[#This Row],[US LogiP(t)]]/$BB$9,"")</f>
        <v>2.9404820814868225E-4</v>
      </c>
      <c r="BE19" s="137">
        <f ca="1">IF(AND(ISNUMBER(tblData[US]),tblData[Date]&gt;StartDt2US),(tblData[US]-AVERAGE(tblData[US]))^2,"")</f>
        <v>335243205.75778615</v>
      </c>
      <c r="BF19" s="11">
        <f>tblData[[#This Row],[Date]]-US100dt+1</f>
        <v>-43</v>
      </c>
      <c r="BG19" s="11" t="str">
        <f ca="1">IF(tblData[Date]&gt;StartDt2SKorea,betaSKorea/(deltaSKorea+betaPodeltaSKorea*EXP(-betaSKorea*(tblData[Date]-StartDt2SKorea))),"")</f>
        <v/>
      </c>
      <c r="BH19" s="11" t="str">
        <f ca="1">IF(AND(tblData[Date]&gt;StartDt2SKorea,ISNUMBER(tblData[SKorea])),(tblData[[#This Row],[SKorea LogiP(t)]]-tblData[[#This Row],[SKorea]])^2,"")</f>
        <v/>
      </c>
      <c r="BI19" s="11" t="str">
        <f ca="1">IF(tblData[Date]&gt;StartDt2SKorea,tblData[[#This Row],[SKorea LogiP(t)]]/$BG$9,"")</f>
        <v/>
      </c>
      <c r="BJ19" s="11" t="str">
        <f ca="1">IF(AND(ISNUMBER(tblData[SKorea]),tblData[Date]&gt;StartDt2SKorea),(tblData[SKorea]-AVERAGE(tblData[SKorea]))^2,"")</f>
        <v/>
      </c>
      <c r="BK19" s="11">
        <f>tblData[[#This Row],[Date]]-SKorea100dt+1</f>
        <v>-22</v>
      </c>
      <c r="BL19" s="137" t="str">
        <f ca="1">IF(AND(tblData[Date]&gt;StartDt2UK,ISNUMBER(tblData[Days'# UK])),betaUK/(deltaUK+betaPodeltaUK*EXP(-betaUK*tblData[Days'# UK])),"")</f>
        <v/>
      </c>
      <c r="BM19" s="11" t="str">
        <f ca="1">IF(AND(tblData[Date]&gt;StartDt2UK,ISNUMBER(tblData[UK])),(tblData[[#This Row],[UK LogiP(t)]]-tblData[[#This Row],[UK]])^2,"")</f>
        <v/>
      </c>
      <c r="BN19" s="137" t="str">
        <f ca="1">IF(ISNUMBER(tblData[Days'# UK]),tblData[[#This Row],[UK LogiP(t)]]/$BL$9,"")</f>
        <v/>
      </c>
      <c r="BO19" s="137" t="str">
        <f ca="1">IF(AND(ISNUMBER(tblData[UK]),tblData[Date]&gt;StartDt2UK),(tblData[UK]-AVERAGE(tblData[UK]))^2,"")</f>
        <v/>
      </c>
      <c r="BP19" s="11">
        <f>tblData[[#This Row],[Date]]-UK100dt</f>
        <v>-42</v>
      </c>
      <c r="BQ19" s="11">
        <f ca="1">IF(ISNUMBER(tblData[Days'# China]),betaChina/(deltaChina+betaPodeltaChina*EXP(-betaChina*tblData[Days'# China])),"")</f>
        <v>8372.8728484367366</v>
      </c>
      <c r="BR19" s="11">
        <f ca="1">IF(ISNUMBER(tblData[China]),(tblData[[#This Row],[China LogiP(t)]]-tblData[[#This Row],[China]])^2,"")</f>
        <v>53765.017842165827</v>
      </c>
      <c r="BS19" s="11">
        <f ca="1">tblData[[#This Row],[China LogiP(t)]]/$BQ$9</f>
        <v>58.172268033434726</v>
      </c>
      <c r="BT19" s="137">
        <f ca="1">IF(AND(ISNUMBER(tblData[China]),tblData[Date]&gt;StartDt2China),(tblData[China]-AVERAGE(tblData[China]))^2,"")</f>
        <v>2702747750.649673</v>
      </c>
      <c r="BU19" s="11">
        <f>tblData[[#This Row],[Date]]-China100dt</f>
        <v>8</v>
      </c>
      <c r="BV19" s="106" t="str">
        <f>IF(ISNUMBER(tblData[Day'# Singapore]),betaSingapore/(deltaSingapore+betaPodeltaSingapore*EXP(-betaSingapore*tblData[Day'# Singapore])),"")</f>
        <v/>
      </c>
      <c r="BW19" s="11" t="str">
        <f>IF(AND(ISNUMBER(tblData[Singapore]),tblData[Date]&gt;=StartDt2Singapore),(tblData[[#This Row],[Singapore LogiP(t)]]-tblData[[#This Row],[Singapore]])^2,"")</f>
        <v/>
      </c>
      <c r="BX19" s="106" t="str">
        <f>IF(ISNUMBER(tblData[Day'# Singapore]),tblData[Singapore LogiP(t)]/$BV$9,"")</f>
        <v/>
      </c>
      <c r="BY19" s="106" t="str">
        <f>IF(AND(ISNUMBER(tblData[Singapore]),tblData[Date]&gt;StartDt2Singapore),(tblData[Singapore]-AVERAGE(tblData[Singapore]))^2,"")</f>
        <v/>
      </c>
      <c r="BZ19" s="11">
        <f>tblData[[#This Row],[Date]]-Singapore100dt+1</f>
        <v>-11</v>
      </c>
      <c r="CA19" s="11">
        <f ca="1">IF(AND(tblData[Date]&gt;StartDt2Generic,ISNUMBER(tblData[Day'# Generic])),betaGeneric/(deltaGeneric+betaPodeltaGeneric*EXP(-betaGeneric*tblData[Day'# Generic])),"")</f>
        <v>4.8308381251841101E-3</v>
      </c>
      <c r="CB19" s="106" t="str">
        <f ca="1">IF(AND(ISNUMBER(tblData[Generic]),tblData[Date]&gt;StartDt2Generic),(tblData[Generic LogiP(t)]-tblData[[#This Row],[Generic]])^2,"")</f>
        <v/>
      </c>
      <c r="CC19" s="11" t="str">
        <f ca="1">IF(AND(ISNUMBER(tblData[Generic]),tblData[Date]&gt;StartDt2Generic),tblData[Generic LogiP(t)]/$CA$9,"")</f>
        <v/>
      </c>
      <c r="CD19" s="106" t="str">
        <f ca="1">IF(AND(ISNUMBER(tblData[Generic]),tblData[Date]&gt;StartDt2Generic),(tblData[Generic]-AVERAGE(tblData[Generic]))^2,"")</f>
        <v/>
      </c>
      <c r="CE19" s="11">
        <f>tblData[[#This Row],[Date]]-Generic100dt+1</f>
        <v>-50</v>
      </c>
      <c r="CG19" s="11"/>
      <c r="CH19" s="11" t="str">
        <f>IF(ISNUMBER(tblData[[#This Row],[Tests]]),tblData[[#This Row],[Tests]]-CH18,"")</f>
        <v/>
      </c>
      <c r="CI19" s="11" t="str">
        <f>IF(ISNUMBER(tblData[[#This Row],[NSW Under Investigation'']]),tblData[[#This Row],[NSW Under Investigation'']]-CG18,"")</f>
        <v/>
      </c>
      <c r="CJ19" s="11"/>
      <c r="CK19" s="11" t="str">
        <f>IF(AND(tblData[[#This Row],[NSW Test Day Number]]&gt;0,ISNUMBER(tblData[[#This Row],[NSW Test Day Number]])),betaTests/(deltaTests+betaPodeltaTests*EXP(-betaTests*tblData[[#This Row],[NSW Test Day Number]])),"")</f>
        <v/>
      </c>
      <c r="CL19" s="11" t="str">
        <f>IF(tblData[Tests]&gt;0,(tblData[[#This Row],[Tests]]-tblData[[#This Row],[NSW Test Logi]])^2,"")</f>
        <v/>
      </c>
      <c r="CM19" s="106" t="str">
        <f>IF(AND(ISNUMBER(tblData[Tests]),tblData[Date]&gt;StartDt2Tests),(tblData[Tests]-AVERAGE(tblData[Tests]))^2,"")</f>
        <v/>
      </c>
      <c r="CN19" s="11" t="str">
        <f>IF(ISNUMBER(tblData[Tests]),tblData[Tests]/$CN$9/100,"")</f>
        <v/>
      </c>
      <c r="CO19" s="11" t="str">
        <f>IF(AND(tblData[[#This Row],[NSW Test Day Number]]&gt;0,ISNUMBER(tblData[[#This Row],[NSW Test Day Number]])),TestsLogestB*TestsLogestM^tblData[[#This Row],[NSW Test Day Number]],"")</f>
        <v/>
      </c>
      <c r="CP19" s="11" t="str">
        <f>IF(AND(tblData[[#This Row],[NSW Test Day Number]]&gt;0,ISNUMBER(tblData[Tests])),(tblData[Tests]-tblData[[#This Row],[NSW Test Per Capita]])^2,"")</f>
        <v/>
      </c>
      <c r="CQ19" s="39">
        <f ca="1">IF(AND(tblData[Day '# NSW]&gt;0,ISNUMBER(tblData[[#This Row],[Day '# NSW]])),NSWLogestB*NSWLogestM^tblData[[#This Row],[Day '# NSW]]/$CR$9,"")</f>
        <v>1.6953031779162835</v>
      </c>
      <c r="CR19" s="39">
        <f ca="1">IF(AND(ISNUMBER(tblData[NSW]),tblData[Date]&gt;StartDt2NSW),(tblData[NSW]/$CR$9-tblData[[#This Row],[NSW Cases LogEst]])^2,"")</f>
        <v>10.596274120856929</v>
      </c>
      <c r="CS19" s="11"/>
      <c r="CT19" s="11"/>
      <c r="CU19" s="26"/>
      <c r="CV19" s="25" t="s">
        <v>681</v>
      </c>
      <c r="CW19" s="168">
        <v>43923.637685185182</v>
      </c>
      <c r="CX19" s="72">
        <v>43895</v>
      </c>
      <c r="CY19" s="72">
        <v>43896</v>
      </c>
      <c r="CZ19" s="25">
        <v>8</v>
      </c>
      <c r="DA19" s="44">
        <v>0.17613538531757658</v>
      </c>
      <c r="DB19" s="24">
        <v>1.3843601967426082E-6</v>
      </c>
      <c r="DC19" s="84">
        <v>4294.8607397935921</v>
      </c>
      <c r="DD19" s="23">
        <f>betaTests/deltaTests</f>
        <v>127232.33861535614</v>
      </c>
      <c r="DE19" s="34">
        <f>SQRT(SUM(tblData[NSW Test Sq Err])/COUNT(tblData[NSW Test Sq Err]))</f>
        <v>1594.0108269600785</v>
      </c>
      <c r="DF19" s="24">
        <f>SUM(tblData[NSW Tests Mean Devn Sq])</f>
        <v>30008819134.4459</v>
      </c>
      <c r="DG19" s="82">
        <f>1-(SUM(tblData[NSW Test Sq Err])/SUM(tblData[NSW Tests Mean Devn Sq]))</f>
        <v>0.99762921779286595</v>
      </c>
      <c r="DH19" s="83">
        <f>(betaTests/PoTests)-deltaTests</f>
        <v>3.9626372394796907E-5</v>
      </c>
      <c r="DI19" s="83">
        <f>tblRuns[d]*1000</f>
        <v>1.3843601967426082E-3</v>
      </c>
      <c r="DJ19" s="26">
        <f t="array" ref="DJ19">MAX(IF(ISNUMBER(tblData[Tests]),tblData[Date]))</f>
        <v>43923</v>
      </c>
      <c r="DK19" s="26" t="str">
        <f>Cengnotation(tblRuns[[#This Row],[Asymptote b/d]],3)</f>
        <v>127 k</v>
      </c>
      <c r="DL19" s="106">
        <f>MAX(tblData[Tests])</f>
        <v>108239</v>
      </c>
      <c r="DM19" s="25">
        <f t="array" ref="DM19">MAX(tblData[Tests])</f>
        <v>108239</v>
      </c>
      <c r="DN19" s="25" t="str">
        <f>Cengnotation(tblRuns[[#This Row],[Asymptote b/d]]/(TestsPop/PerPerson),3)</f>
        <v>157 k</v>
      </c>
      <c r="DO19" s="26">
        <f t="array" ref="DO19">MAX(IF(ISNUMBER(tblData[Tests]),tblData[Date]))</f>
        <v>43923</v>
      </c>
      <c r="DP19" s="11">
        <f t="array" ref="DP19">COUNT(IF(ISNUMBER(tblData[Tests]),tblData[Date]))</f>
        <v>29</v>
      </c>
      <c r="DQ19" s="26" t="str">
        <f>"b="&amp;TEXT(tblRuns[b],"##0.###")&amp;", d="&amp;TEXT(tblRuns[d],"0.00E+00")&amp;", P0="&amp;TEXT(Po,"#.###")&amp; ", r2=" &amp;TEXT(tblRuns[[#This Row],[R2]],"##0.#E+0") &amp;", Limit="&amp;IF(PopScaling=0,tblRuns[Asymptote b/d],tblRuns[[#This Row],[Asymp PerP]])&amp;"=&gt;"&amp;Cengnotation(tblRuns[[#This Row],[Limit Cases]],3)&amp;" cases "&amp;tblRuns[[#This Row],[Notes]]</f>
        <v xml:space="preserve">b=0.176, d=1.38E-06, P0=.001, r2=997.6E-3, Limit=157 k=&gt;108 k cases </v>
      </c>
      <c r="DS19" s="25" t="str">
        <f t="shared" si="0"/>
        <v>Tests Limit 157 k</v>
      </c>
      <c r="DU19" s="18" t="str">
        <f>"COVID19  NSW Tests" &amp;LogFormula&amp;CHAR(10)&amp;DQ19&amp;CHAR(10)&amp;" (Fit: " &amp; TEXT(tblRuns[Logistic Start2],"ddd dd-mmm") &amp; " - " &amp; TEXT(tblRuns[Last Date],"ddd dd-mmm")&amp;")"</f>
        <v>COVID19  NSW TestsP(t) = b / {d+[( b/Po - d ) ]* exp(-b*t)}
b=0.176, d=1.38E-06, P0=.001, r2=997.6E-3, Limit=157 k=&gt;108 k cases 
 (Fit: Fri 06-Mar - Thu 02-Apr)</v>
      </c>
      <c r="DV19" s="20">
        <f t="array" ref="DV19">MAX(tblData[Tests])</f>
        <v>108239</v>
      </c>
      <c r="DW19" s="170"/>
      <c r="DX19" s="11"/>
      <c r="DY19" s="26"/>
      <c r="DZ19" s="11"/>
      <c r="EA19" s="25"/>
      <c r="EB19" s="11">
        <f ca="1">INDEX(tblData[NSW LogiP(t)],MATCH(VALUE(tblRuns[AtDate])+7,tblData[Date],1))</f>
        <v>2549.1463982529417</v>
      </c>
      <c r="EC19" s="19">
        <f>tblRuns[Mean Sq Err]/tblRuns[Max Cases Per Capita]</f>
        <v>1.472676971295077E-2</v>
      </c>
      <c r="ED19" s="144">
        <f>IF(MIN(tblData[Tests])&gt;0,MIN(tblData[Date]),INDEX(tblData[Date],1+MATCH(solvMsgs!MinCases, tblData[Tests],1)))</f>
        <v>43896</v>
      </c>
      <c r="EE19" s="145" t="str">
        <f>tblRuns[[#This Row],[Place]]&amp;" from "&amp;TEXT(tblRuns[DateOver100],"dd-mmm")</f>
        <v>Tests from 06-Mar</v>
      </c>
      <c r="EF19" s="113" t="s">
        <v>681</v>
      </c>
      <c r="EG19" s="113"/>
      <c r="EJ19" s="146"/>
      <c r="EK19"/>
      <c r="EL19"/>
      <c r="EM19"/>
      <c r="EN19"/>
      <c r="EO19" s="26">
        <f>EO15+14</f>
        <v>43868</v>
      </c>
      <c r="EP19" s="25">
        <v>0.1</v>
      </c>
      <c r="EQ19"/>
      <c r="ER19"/>
      <c r="ES19"/>
      <c r="ET19"/>
      <c r="EU19" s="25" t="s">
        <v>48</v>
      </c>
      <c r="EV19" s="69">
        <v>43912.862291666665</v>
      </c>
      <c r="EW19" s="26">
        <v>43855</v>
      </c>
      <c r="EX19" s="26">
        <v>43855</v>
      </c>
      <c r="EY19" s="25">
        <v>0</v>
      </c>
      <c r="EZ19" s="25">
        <v>0.21033404877431897</v>
      </c>
      <c r="FA19" s="24">
        <v>9.9999999999795755E-11</v>
      </c>
      <c r="FB19" s="21">
        <v>8.3106214738320611E-3</v>
      </c>
      <c r="FC19" s="82">
        <v>2103340487.7474856</v>
      </c>
      <c r="FD19" s="82">
        <v>11.368819454980502</v>
      </c>
      <c r="FE19" s="25">
        <v>25.309063760847966</v>
      </c>
      <c r="FF19" s="84">
        <v>9.9999999999795755E-8</v>
      </c>
      <c r="FG19" s="26">
        <v>43912</v>
      </c>
      <c r="FH19" s="25" t="s">
        <v>1111</v>
      </c>
      <c r="FI19" s="84">
        <v>2103340487.7474856</v>
      </c>
      <c r="FJ19" s="84">
        <v>1354</v>
      </c>
      <c r="FK19" s="25" t="s">
        <v>1140</v>
      </c>
      <c r="FL19" s="26">
        <v>43912</v>
      </c>
      <c r="FM19" s="25">
        <v>58</v>
      </c>
      <c r="FN19" s="25" t="s">
        <v>1141</v>
      </c>
      <c r="FO19" s="25"/>
      <c r="FP19" s="25" t="s">
        <v>1142</v>
      </c>
      <c r="FR19" s="25" t="s">
        <v>1143</v>
      </c>
      <c r="FS19" s="19">
        <v>533.82747200756978</v>
      </c>
      <c r="FT19" s="72"/>
      <c r="FU19" s="25"/>
      <c r="FV19" s="72"/>
      <c r="FW19" s="25"/>
      <c r="FX19" s="25" t="s">
        <v>1139</v>
      </c>
      <c r="FY19" s="25"/>
      <c r="FZ19" s="25"/>
      <c r="GA19" s="25"/>
    </row>
    <row r="20" spans="2:185" ht="15" customHeight="1" x14ac:dyDescent="0.25">
      <c r="B20" s="1">
        <v>43861</v>
      </c>
      <c r="C20">
        <v>0</v>
      </c>
      <c r="D20" s="25">
        <v>0</v>
      </c>
      <c r="E20">
        <v>4</v>
      </c>
      <c r="F20">
        <v>0</v>
      </c>
      <c r="G20">
        <v>2</v>
      </c>
      <c r="H20">
        <v>0</v>
      </c>
      <c r="I20">
        <v>0</v>
      </c>
      <c r="J20">
        <v>3</v>
      </c>
      <c r="K20">
        <v>0</v>
      </c>
      <c r="L20" s="12">
        <f>IF(ISNUMBER(tblData[[#This Row],[NSW]]),tblData[[#This Row],[New South Wales]]/$L$9,"")</f>
        <v>4.9504950495049505</v>
      </c>
      <c r="M20" s="25">
        <v>2</v>
      </c>
      <c r="N20" s="44">
        <f>IF(ISNUMBER(tblData[Italy]),tblData[Italy]/$N$9,"")</f>
        <v>0.33066049433743905</v>
      </c>
      <c r="O20">
        <v>7</v>
      </c>
      <c r="P20" s="106">
        <f>IF(ISNUMBER(tblData[US]),tblData[US]/$P$9,"")</f>
        <v>0.21261877484651615</v>
      </c>
      <c r="Q20">
        <v>11</v>
      </c>
      <c r="R20" s="19">
        <f>IF(ISNUMBER(tblData[SKorea]),tblData[SKorea]/$R$9,"")</f>
        <v>2.1400778210116731</v>
      </c>
      <c r="S20">
        <v>2</v>
      </c>
      <c r="T20" s="12">
        <f>IF(ISNUMBER(tblData[UK]),tblData[UK]/$T$9,"")</f>
        <v>0.30102347983142685</v>
      </c>
      <c r="U20">
        <v>9802</v>
      </c>
      <c r="V20" s="20">
        <f>IF(ISNUMBER(tblData[China]),tblData[China]/$V$9,"")</f>
        <v>68.10142487356508</v>
      </c>
      <c r="W20">
        <v>13</v>
      </c>
      <c r="X20" s="20">
        <f>IF(ISNUMBER(tblData[Singapore]),tblData[Singapore]/$X$9,"")</f>
        <v>22.222222222222225</v>
      </c>
      <c r="Y20"/>
      <c r="Z20" s="20" t="str">
        <f>IF(AND(LEN(tblData[Generic])&gt;0,ISNUMBER(tblData[Generic])),tblData[Generic]/$Z$9,"")</f>
        <v/>
      </c>
      <c r="AA20" s="25">
        <f ca="1">IF(tblData[[#This Row],[Date]]&lt;StartDt2Italy,"",tblData[[#This Row],[Date]]-ItalyStart)</f>
        <v>1</v>
      </c>
      <c r="AB20" s="25">
        <f ca="1">IF(tblData[[#This Row],[Date]]&lt;=StartDt2US,"",tblData[[#This Row],[Date]]-USStart)</f>
        <v>9</v>
      </c>
      <c r="AC20" s="25">
        <f ca="1">IF(tblData[[#This Row],[Date]]&lt;StartDt2China,"",tblData[[#This Row],[Date]]-ChinaStart)</f>
        <v>9</v>
      </c>
      <c r="AD20" s="25">
        <f>IF(tblData[[#This Row],[Date]]&lt;=SKoreaStart,"",tblData[[#This Row],[Date]]-SKoreaStart)</f>
        <v>9</v>
      </c>
      <c r="AE20" s="25">
        <f ca="1">IF(tblData[[#This Row],[Date]]&lt;=StartDt2UK,"",tblData[[#This Row],[Date]]-UKStart)</f>
        <v>1</v>
      </c>
      <c r="AF20" s="25" t="str">
        <f>IF(tblData[[#This Row],[Date]]&lt;StartDt2Singapore,"",tblData[[#This Row],[Date]]-SingaporeStart)</f>
        <v/>
      </c>
      <c r="AG20" s="25">
        <f ca="1">IF(tblData[[#This Row],[Date]]&lt;StartDt2Generic,"",tblData[[#This Row],[Date]]-GenericStart)</f>
        <v>9</v>
      </c>
      <c r="AH20">
        <f ca="1">IF(tblData[Date]&gt;StartDt2Au,tblData[Date]-AuStart,"")</f>
        <v>6</v>
      </c>
      <c r="AI20" s="25">
        <f>IF(tblData[New South Wales]&gt;=0,SUM(tblData[[#This Row],[Australian Capital Territory]:[Western Australia]]),"")</f>
        <v>9</v>
      </c>
      <c r="AJ20" s="12">
        <f>IF(ISNUMBER(tblData[Au]),tblData[Au]/$AE$9,"")</f>
        <v>3.548336224570257</v>
      </c>
      <c r="AK20" s="19">
        <f ca="1">IF(ISNUMBER(tblData[[#This Row],[Day'# Aust]]),betaAu/(deltaAu+betaPodeltaAu*EXP(-betaAu*tblData[[#This Row],[Day'# Aust]])),"")</f>
        <v>4.5653138880216628E-3</v>
      </c>
      <c r="AL20" s="62">
        <f ca="1">IF(ISNUMBER(tblData[Day'# Aust]),tblData[Au LogiP(t)]/$AJ$9,"")</f>
        <v>1.7999187383778831E-3</v>
      </c>
      <c r="AM20" s="11">
        <f ca="1">IF(AND(tblData[Date]&gt;StartDt2Au,ISNUMBER(tblData[NSW])),(tblData[[#This Row],[Au LogiP(t)]]-tblData[[#This Row],[Au]])^2,"")</f>
        <v>80.917845192106526</v>
      </c>
      <c r="AN20" s="11">
        <f ca="1">IF(AND(ISNUMBER(tblData[Au]),tblData[Date]&gt;StartDt2Au),(tblData[Au]-AVERAGE(tblData[Au]))^2,"")</f>
        <v>188664.93426405324</v>
      </c>
      <c r="AO20" s="11">
        <f>tblData[[#This Row],[Date]]-Au100dt</f>
        <v>-43</v>
      </c>
      <c r="AP20">
        <f ca="1">IF(tblData[Date]&gt;StartDt2NSW,tblData[Date]-StartDt2NSW,"")</f>
        <v>6</v>
      </c>
      <c r="AQ20" s="25">
        <f>IF(tblData[[#This Row],[New South Wales]]&gt;0,tblData[[#This Row],[New South Wales]],"")</f>
        <v>4</v>
      </c>
      <c r="AR20" s="44">
        <f ca="1">IF(tblData[Date]&gt;StartDt2NSW,betaNSW/(deltaNSW+betaPodeltaNSW*EXP(-betaNSW*tblData[[#This Row],[Day '# NSW]])),"")</f>
        <v>4.1653457154410259E-3</v>
      </c>
      <c r="AS20" s="12">
        <f ca="1">IF(AND(ISNUMBER(tblData[NSW]),tblData[Date]&gt;StartDt2NSW),(tblData[[#This Row],[NSW LogiP(t)]]-tblData[[#This Row],[NSW]])^2,"")</f>
        <v>15.966694584381401</v>
      </c>
      <c r="AT20" s="12">
        <f ca="1">IF(AND(tblData[Date]&gt;StartDt2NSW,ISNUMBER(tblData[Day'# Aust])),tblData[NSW LogiP(t)]/$AR$9,"")</f>
        <v>5.1551308359418634E-3</v>
      </c>
      <c r="AU20" s="11">
        <f>tblData[[#This Row],[Date]]-NSW100dt+1</f>
        <v>-39</v>
      </c>
      <c r="AV20" s="11">
        <f ca="1">IF(AND(ISNUMBER(tblData[NSW]),tblData[Date]&gt;StartDt2NSW),(tblData[NSW]-AVERAGE(tblData[NSW]))^2,"")</f>
        <v>83990.760134425553</v>
      </c>
      <c r="AW20" s="39">
        <f ca="1">IF(AND(tblData[Date]&gt;StartDt2Italy,ISNUMBER(tblData[Days'# Italy])),betaItaly/(deltaItaly+betaPodeltaItaly*EXP(-betaItaly*tblData[Days'# Italy])),"")</f>
        <v>0.57285494245245916</v>
      </c>
      <c r="AX20" s="11">
        <f ca="1">IF(AND(tblData[Date]&gt;StartDt2Italy,ISNUMBER(tblData[Italy])),(tblData[[#This Row],[Italy LogiP(t)]]-tblData[[#This Row],[Italy]])^2,"")</f>
        <v>2.0367430152823736</v>
      </c>
      <c r="AY20" s="39">
        <f ca="1">IF(AND(tblData[Date]&gt;StartDt2Italy,ISNUMBER(tblData[Days'# Italy])),tblData[[#This Row],[Italy LogiP(t)]]/$AW$9,"")</f>
        <v>9.4710249227487678E-2</v>
      </c>
      <c r="AZ20" s="39">
        <f ca="1">IF(AND(ISNUMBER(tblData[Italy]),tblData[Date]&gt;StartDt2Italy),(tblData[Italy]-AVERAGE(tblData[Italy]))^2,"")</f>
        <v>440025205.93827158</v>
      </c>
      <c r="BA20" s="11">
        <f>tblData[[#This Row],[Date]]-Italy100dt+1</f>
        <v>-26</v>
      </c>
      <c r="BB20" s="11">
        <f ca="1">IF(AND(tblData[Date]&gt;StartDt2US,ISNUMBER(tblData[[#This Row],[Days'# US]])),betaUS/(deltaUS+betaPodeltaUS*EXP(-betaUS*tblData[Days'# US])),"")</f>
        <v>1.2857434935482123E-2</v>
      </c>
      <c r="BC20" s="11">
        <f ca="1">IF(AND(tblData[Date]&gt;StartDt2US,ISNUMBER(tblData[US])),(tblData[[#This Row],[US LogiP(t)]]-tblData[US])^2,"")</f>
        <v>48.820161224536378</v>
      </c>
      <c r="BD20" s="137">
        <f ca="1">IF(AND(tblData[Date]&gt;=StartDt2US,ISNUMBER(tblData[[#This Row],[Days'# US]])),tblData[[#This Row],[US LogiP(t)]]/$BB$9,"")</f>
        <v>3.9053315195014348E-4</v>
      </c>
      <c r="BE20" s="137">
        <f ca="1">IF(AND(ISNUMBER(tblData[US]),tblData[Date]&gt;StartDt2US),(tblData[US]-AVERAGE(tblData[US]))^2,"")</f>
        <v>335169971.16623682</v>
      </c>
      <c r="BF20" s="11">
        <f>tblData[[#This Row],[Date]]-US100dt+1</f>
        <v>-42</v>
      </c>
      <c r="BG20" s="11" t="str">
        <f ca="1">IF(tblData[Date]&gt;StartDt2SKorea,betaSKorea/(deltaSKorea+betaPodeltaSKorea*EXP(-betaSKorea*(tblData[Date]-StartDt2SKorea))),"")</f>
        <v/>
      </c>
      <c r="BH20" s="11" t="str">
        <f ca="1">IF(AND(tblData[Date]&gt;StartDt2SKorea,ISNUMBER(tblData[SKorea])),(tblData[[#This Row],[SKorea LogiP(t)]]-tblData[[#This Row],[SKorea]])^2,"")</f>
        <v/>
      </c>
      <c r="BI20" s="11" t="str">
        <f ca="1">IF(tblData[Date]&gt;StartDt2SKorea,tblData[[#This Row],[SKorea LogiP(t)]]/$BG$9,"")</f>
        <v/>
      </c>
      <c r="BJ20" s="11" t="str">
        <f ca="1">IF(AND(ISNUMBER(tblData[SKorea]),tblData[Date]&gt;StartDt2SKorea),(tblData[SKorea]-AVERAGE(tblData[SKorea]))^2,"")</f>
        <v/>
      </c>
      <c r="BK20" s="11">
        <f>tblData[[#This Row],[Date]]-SKorea100dt+1</f>
        <v>-21</v>
      </c>
      <c r="BL20" s="137">
        <f ca="1">IF(AND(tblData[Date]&gt;StartDt2UK,ISNUMBER(tblData[Days'# UK])),betaUK/(deltaUK+betaPodeltaUK*EXP(-betaUK*tblData[Days'# UK])),"")</f>
        <v>0.10892647347564044</v>
      </c>
      <c r="BM20" s="11">
        <f ca="1">IF(AND(tblData[Date]&gt;StartDt2UK,ISNUMBER(tblData[UK])),(tblData[[#This Row],[UK LogiP(t)]]-tblData[[#This Row],[UK]])^2,"")</f>
        <v>3.5761590827212779</v>
      </c>
      <c r="BN20" s="11">
        <f ca="1">IF(ISNUMBER(tblData[Days'# UK]),tblData[[#This Row],[UK LogiP(t)]]/$BL$9,"")</f>
        <v>1.6394713045701451E-2</v>
      </c>
      <c r="BO20" s="137">
        <f ca="1">IF(AND(ISNUMBER(tblData[UK]),tblData[Date]&gt;StartDt2UK),(tblData[UK]-AVERAGE(tblData[UK]))^2,"")</f>
        <v>9627722.4489795901</v>
      </c>
      <c r="BP20" s="11">
        <f>tblData[[#This Row],[Date]]-UK100dt</f>
        <v>-41</v>
      </c>
      <c r="BQ20" s="11">
        <f ca="1">IF(ISNUMBER(tblData[Days'# China]),betaChina/(deltaChina+betaPodeltaChina*EXP(-betaChina*tblData[Days'# China])),"")</f>
        <v>10182.79524239063</v>
      </c>
      <c r="BR20" s="11">
        <f ca="1">IF(ISNUMBER(tblData[China]),(tblData[[#This Row],[China LogiP(t)]]-tblData[[#This Row],[China]])^2,"")</f>
        <v>145005.0166273386</v>
      </c>
      <c r="BS20" s="11">
        <f ca="1">tblData[[#This Row],[China LogiP(t)]]/$BQ$9</f>
        <v>70.747078678082161</v>
      </c>
      <c r="BT20" s="137">
        <f ca="1">IF(AND(ISNUMBER(tblData[China]),tblData[Date]&gt;StartDt2China),(tblData[China]-AVERAGE(tblData[China]))^2,"")</f>
        <v>2532802676.0158701</v>
      </c>
      <c r="BU20" s="11">
        <f>tblData[[#This Row],[Date]]-China100dt</f>
        <v>9</v>
      </c>
      <c r="BV20" s="106" t="str">
        <f>IF(ISNUMBER(tblData[Day'# Singapore]),betaSingapore/(deltaSingapore+betaPodeltaSingapore*EXP(-betaSingapore*tblData[Day'# Singapore])),"")</f>
        <v/>
      </c>
      <c r="BW20" s="11" t="str">
        <f>IF(AND(ISNUMBER(tblData[Singapore]),tblData[Date]&gt;=StartDt2Singapore),(tblData[[#This Row],[Singapore LogiP(t)]]-tblData[[#This Row],[Singapore]])^2,"")</f>
        <v/>
      </c>
      <c r="BX20" s="106" t="str">
        <f>IF(ISNUMBER(tblData[Day'# Singapore]),tblData[Singapore LogiP(t)]/$BV$9,"")</f>
        <v/>
      </c>
      <c r="BY20" s="106" t="str">
        <f>IF(AND(ISNUMBER(tblData[Singapore]),tblData[Date]&gt;StartDt2Singapore),(tblData[Singapore]-AVERAGE(tblData[Singapore]))^2,"")</f>
        <v/>
      </c>
      <c r="BZ20" s="11">
        <f>tblData[[#This Row],[Date]]-Singapore100dt+1</f>
        <v>-10</v>
      </c>
      <c r="CA20" s="11">
        <f ca="1">IF(AND(tblData[Date]&gt;StartDt2Generic,ISNUMBER(tblData[Day'# Generic])),betaGeneric/(deltaGeneric+betaPodeltaGeneric*EXP(-betaGeneric*tblData[Day'# Generic])),"")</f>
        <v>5.8820027834894468E-3</v>
      </c>
      <c r="CB20" s="106" t="str">
        <f ca="1">IF(AND(ISNUMBER(tblData[Generic]),tblData[Date]&gt;StartDt2Generic),(tblData[Generic LogiP(t)]-tblData[[#This Row],[Generic]])^2,"")</f>
        <v/>
      </c>
      <c r="CC20" s="11" t="str">
        <f ca="1">IF(AND(ISNUMBER(tblData[Generic]),tblData[Date]&gt;StartDt2Generic),tblData[Generic LogiP(t)]/$CA$9,"")</f>
        <v/>
      </c>
      <c r="CD20" s="106" t="str">
        <f ca="1">IF(AND(ISNUMBER(tblData[Generic]),tblData[Date]&gt;StartDt2Generic),(tblData[Generic]-AVERAGE(tblData[Generic]))^2,"")</f>
        <v/>
      </c>
      <c r="CE20" s="11">
        <f>tblData[[#This Row],[Date]]-Generic100dt+1</f>
        <v>-49</v>
      </c>
      <c r="CG20" s="11"/>
      <c r="CH20" s="11" t="str">
        <f>IF(ISNUMBER(tblData[[#This Row],[Tests]]),tblData[[#This Row],[Tests]]-CH19,"")</f>
        <v/>
      </c>
      <c r="CI20" s="11" t="str">
        <f>IF(ISNUMBER(tblData[[#This Row],[NSW Under Investigation'']]),tblData[[#This Row],[NSW Under Investigation'']]-CG19,"")</f>
        <v/>
      </c>
      <c r="CJ20" s="11"/>
      <c r="CK20" s="11" t="str">
        <f>IF(AND(tblData[[#This Row],[NSW Test Day Number]]&gt;0,ISNUMBER(tblData[[#This Row],[NSW Test Day Number]])),betaTests/(deltaTests+betaPodeltaTests*EXP(-betaTests*tblData[[#This Row],[NSW Test Day Number]])),"")</f>
        <v/>
      </c>
      <c r="CL20" s="11" t="str">
        <f>IF(tblData[Tests]&gt;0,(tblData[[#This Row],[Tests]]-tblData[[#This Row],[NSW Test Logi]])^2,"")</f>
        <v/>
      </c>
      <c r="CM20" s="106" t="str">
        <f>IF(AND(ISNUMBER(tblData[Tests]),tblData[Date]&gt;StartDt2Tests),(tblData[Tests]-AVERAGE(tblData[Tests]))^2,"")</f>
        <v/>
      </c>
      <c r="CN20" s="11" t="str">
        <f>IF(ISNUMBER(tblData[Tests]),tblData[Tests]/$CN$9/100,"")</f>
        <v/>
      </c>
      <c r="CO20" s="11" t="str">
        <f>IF(AND(tblData[[#This Row],[NSW Test Day Number]]&gt;0,ISNUMBER(tblData[[#This Row],[NSW Test Day Number]])),TestsLogestB*TestsLogestM^tblData[[#This Row],[NSW Test Day Number]],"")</f>
        <v/>
      </c>
      <c r="CP20" s="11" t="str">
        <f>IF(AND(tblData[[#This Row],[NSW Test Day Number]]&gt;0,ISNUMBER(tblData[Tests])),(tblData[Tests]-tblData[[#This Row],[NSW Test Per Capita]])^2,"")</f>
        <v/>
      </c>
      <c r="CQ20" s="39">
        <f ca="1">IF(AND(tblData[Day '# NSW]&gt;0,ISNUMBER(tblData[[#This Row],[Day '# NSW]])),NSWLogestB*NSWLogestM^tblData[[#This Row],[Day '# NSW]]/$CR$9,"")</f>
        <v>1.8867688090541057</v>
      </c>
      <c r="CR20" s="39">
        <f ca="1">IF(AND(ISNUMBER(tblData[NSW]),tblData[Date]&gt;StartDt2NSW),(tblData[NSW]/$CR$9-tblData[[#This Row],[NSW Cases LogEst]])^2,"")</f>
        <v>9.3864184764270693</v>
      </c>
      <c r="CS20" s="11"/>
      <c r="CT20" s="11"/>
      <c r="CU20" s="26"/>
      <c r="CV20" s="25" t="s">
        <v>1365</v>
      </c>
      <c r="CW20" s="168">
        <v>43923.637708333335</v>
      </c>
      <c r="CX20" s="72">
        <f>INDEX(tblPopulation[Day 0],MATCH($CV20,tblPopulation[Country],0),1)</f>
        <v>43852</v>
      </c>
      <c r="CY20" s="72">
        <f ca="1">INDEX(tblPopulation[Logistic Start2],MATCH(tblRuns[[#This Row],[Place]],tblPopulation[Country],0),1)</f>
        <v>43852</v>
      </c>
      <c r="CZ20" s="25">
        <v>9</v>
      </c>
      <c r="DA20" s="44">
        <v>0.19687763216972617</v>
      </c>
      <c r="DB20" s="24">
        <v>5.5497236683652495E-5</v>
      </c>
      <c r="DC20" s="84">
        <v>1E-3</v>
      </c>
      <c r="DD20" s="23">
        <f>betaGeneric/deltaGeneric</f>
        <v>3547.52135303557</v>
      </c>
      <c r="DE20" s="34">
        <f ca="1">SQRT(SUM(tblData[Generic Sq Err])/COUNT(tblData[Generic Sq Err]))</f>
        <v>29.71635590398267</v>
      </c>
      <c r="DF20" s="24">
        <f ca="1">SUM(tblData[Generic Mean Devn Sq])</f>
        <v>1502795.6</v>
      </c>
      <c r="DG20" s="173">
        <f ca="1">1-(SUM(tblData[Generic Sq Err])/SUM(tblData[Generic Mean Devn Sq]))</f>
        <v>0.97943355484443406</v>
      </c>
      <c r="DH20" s="83">
        <f>(tblRuns[b]/tblRuns[Po])-tblRuns[d]</f>
        <v>196.87757667248951</v>
      </c>
      <c r="DI20" s="83">
        <f>tblRuns[d]*1000</f>
        <v>5.5497236683652494E-2</v>
      </c>
      <c r="DJ20" s="26">
        <f t="array" ref="DJ20">MAX(IF(ISNUMBER(tblData[Generic]),tblData[Date]))</f>
        <v>43922</v>
      </c>
      <c r="DK20" s="26" t="str">
        <f>Cengnotation(tblRuns[[#This Row],[Asymptote b/d]],3)</f>
        <v>3.55 k</v>
      </c>
      <c r="DL20" s="106">
        <f ca="1">MAX(tblData[Generic LogiP(t)])</f>
        <v>3547.52135303557</v>
      </c>
      <c r="DM20" s="25">
        <f t="array" ref="DM20">MAX(tblData[Generic])</f>
        <v>708</v>
      </c>
      <c r="DN20" s="25" t="str">
        <f>Cengnotation(tblRuns[[#This Row],[Asymptote b/d]]/(GenericPop/PerPerson),3)</f>
        <v>6.78 k</v>
      </c>
      <c r="DO20" s="26">
        <f t="array" ref="DO20">MAX(IF(ISNUMBER(tblData[Generic]),tblData[Date]))</f>
        <v>43922</v>
      </c>
      <c r="DP20" s="11">
        <f t="array" ref="DP20">COUNT(IF(ISNUMBER(tblData[Generic]),tblData[Date]))</f>
        <v>35</v>
      </c>
      <c r="DQ20" s="26" t="str">
        <f ca="1">"b="&amp;TEXT(tblRuns[b],"##0.###")&amp;", d="&amp;TEXT(tblRuns[d],"0.00E+00")&amp;", P0="&amp;TEXT(Po,"#.###")&amp; ", r2=" &amp;TEXT(tblRuns[[#This Row],[R2]],"##0.#E+0") &amp;", Limit="&amp;IF(PopScaling=0,tblRuns[Asymptote b/d],tblRuns[[#This Row],[Asymp PerP]])&amp;"=&gt;"&amp;Cengnotation(tblRuns[[#This Row],[Limit Cases]],3)&amp;" cases "&amp;tblRuns[[#This Row],[Notes]]</f>
        <v xml:space="preserve">b=0.197, d=5.55E-05, P0=.001, r2=979.4E-3, Limit=6.78 k=&gt;3.55 k cases </v>
      </c>
      <c r="DS20" s="25" t="str">
        <f>GenName&amp;" Limit " &amp; IF(PopScaling=0,DK20,DN20)</f>
        <v>New Zealand Limit 6.78 k</v>
      </c>
      <c r="DU20" s="18" t="str">
        <f ca="1">"COVID19 "&amp;GenCountry&amp;" "&amp;GenState &amp; " " &amp;LogFormula&amp;CHAR(10)&amp;DQ20&amp;CHAR(10)&amp;"  (Fit: " &amp; TEXT(tblRuns[Logistic Start2],"ddd dd-mmm") &amp; " - " &amp; TEXT(tblRuns[Last Date],"ddd dd-mmm")&amp;")"&amp;IF(PopScaling=0,"",", "&amp;PerPersonLabel)</f>
        <v>COVID19 New Zealand  P(t) = b / {d+[( b/Po - d ) ]* exp(-b*t)}
b=0.197, d=5.55E-05, P0=.001, r2=979.4E-3, Limit=6.78 k=&gt;3.55 k cases 
  (Fit: Wed 22-Jan - Wed 01-Apr), Cases per 10 M population</v>
      </c>
      <c r="DV20" s="20">
        <f t="array" ref="DV20">MAX(tblData[Generic Cases Per Capita])</f>
        <v>1353.7284894837476</v>
      </c>
      <c r="DW20" s="170"/>
      <c r="DX20" s="11"/>
      <c r="DY20" s="26"/>
      <c r="DZ20" s="11"/>
      <c r="EA20" s="25"/>
      <c r="EB20" s="11">
        <f ca="1">INDEX(tblData[NSW LogiP(t)],MATCH(VALUE(tblRuns[AtDate])+7,tblData[Date],1))</f>
        <v>2549.1463982529417</v>
      </c>
      <c r="EC20" s="19">
        <f ca="1">tblRuns[Mean Sq Err]/tblRuns[Max Cases Per Capita]</f>
        <v>2.1951488895173638E-2</v>
      </c>
      <c r="ED20" s="144">
        <f>IF(MIN(tblData[Generic Cases Per Capita])&gt;0,MIN(tblData[Date]),INDEX(tblData[Date],1+MATCH(solvMsgs!MinCases, tblData[Generic Cases Per Capita],1)))</f>
        <v>43911</v>
      </c>
      <c r="EE20" s="145" t="str">
        <f>GenName&amp;" from "&amp;TEXT(Au100dt,"dd-mmm")</f>
        <v>New Zealand from 14-Mar</v>
      </c>
      <c r="EF20" s="113" t="s">
        <v>1365</v>
      </c>
      <c r="EG20" s="113"/>
      <c r="EJ20" s="146"/>
      <c r="EK20"/>
      <c r="EL20"/>
      <c r="EM20"/>
      <c r="EN20"/>
      <c r="EO20" s="26">
        <f>EO16+14</f>
        <v>43868</v>
      </c>
      <c r="EP20" s="39">
        <v>10000000</v>
      </c>
      <c r="EQ20"/>
      <c r="ER20" s="25"/>
      <c r="ES20"/>
      <c r="ET20"/>
      <c r="EU20" s="25" t="s">
        <v>48</v>
      </c>
      <c r="EV20" s="69">
        <v>43913.58153935185</v>
      </c>
      <c r="EW20" s="26">
        <v>43855</v>
      </c>
      <c r="EX20" s="26">
        <v>43855</v>
      </c>
      <c r="EY20" s="25">
        <v>0</v>
      </c>
      <c r="EZ20" s="25">
        <v>0.21033404791007332</v>
      </c>
      <c r="FA20" s="81">
        <v>1.2749579930545968E-6</v>
      </c>
      <c r="FB20" s="21">
        <v>8.3106214710478091E-3</v>
      </c>
      <c r="FC20" s="82">
        <v>164973.31602757072</v>
      </c>
      <c r="FD20" s="82">
        <v>11.681151162686668</v>
      </c>
      <c r="FE20" s="25">
        <v>25.309062390476196</v>
      </c>
      <c r="FF20" s="84">
        <v>1.2749579930545968E-3</v>
      </c>
      <c r="FG20" s="26">
        <v>43913</v>
      </c>
      <c r="FH20" s="25" t="s">
        <v>1255</v>
      </c>
      <c r="FI20" s="84">
        <v>164973.31602757072</v>
      </c>
      <c r="FJ20" s="84">
        <v>1619</v>
      </c>
      <c r="FK20" s="25" t="s">
        <v>1256</v>
      </c>
      <c r="FL20" s="26">
        <v>43913</v>
      </c>
      <c r="FM20" s="25">
        <v>59</v>
      </c>
      <c r="FN20" s="25" t="s">
        <v>1257</v>
      </c>
      <c r="FO20" s="25"/>
      <c r="FP20" s="25" t="s">
        <v>1258</v>
      </c>
      <c r="FR20" s="25" t="s">
        <v>1259</v>
      </c>
      <c r="FS20" s="19">
        <v>638.3062608421385</v>
      </c>
      <c r="FT20" s="72"/>
      <c r="FU20" s="25"/>
      <c r="FV20" s="72"/>
      <c r="FW20" s="25"/>
      <c r="FX20" s="25" t="s">
        <v>1254</v>
      </c>
      <c r="FY20" s="25"/>
      <c r="FZ20" s="25"/>
      <c r="GA20" s="25"/>
    </row>
    <row r="21" spans="2:185" ht="15" customHeight="1" x14ac:dyDescent="0.25">
      <c r="B21" s="1">
        <v>43862</v>
      </c>
      <c r="C21">
        <v>0</v>
      </c>
      <c r="D21" s="25">
        <v>0</v>
      </c>
      <c r="E21">
        <v>4</v>
      </c>
      <c r="F21">
        <v>0</v>
      </c>
      <c r="G21">
        <v>3</v>
      </c>
      <c r="H21">
        <v>1</v>
      </c>
      <c r="I21">
        <v>0</v>
      </c>
      <c r="J21">
        <v>4</v>
      </c>
      <c r="K21">
        <v>0</v>
      </c>
      <c r="L21" s="12">
        <f>IF(ISNUMBER(tblData[[#This Row],[NSW]]),tblData[[#This Row],[New South Wales]]/$L$9,"")</f>
        <v>4.9504950495049505</v>
      </c>
      <c r="M21" s="25">
        <v>2</v>
      </c>
      <c r="N21" s="44">
        <f>IF(ISNUMBER(tblData[Italy]),tblData[Italy]/$N$9,"")</f>
        <v>0.33066049433743905</v>
      </c>
      <c r="O21">
        <v>8</v>
      </c>
      <c r="P21" s="106">
        <f>IF(ISNUMBER(tblData[US]),tblData[US]/$P$9,"")</f>
        <v>0.2429928855388756</v>
      </c>
      <c r="Q21">
        <v>12</v>
      </c>
      <c r="R21" s="19">
        <f>IF(ISNUMBER(tblData[SKorea]),tblData[SKorea]/$R$9,"")</f>
        <v>2.3346303501945527</v>
      </c>
      <c r="S21">
        <v>2</v>
      </c>
      <c r="T21" s="12">
        <f>IF(ISNUMBER(tblData[UK]),tblData[UK]/$T$9,"")</f>
        <v>0.30102347983142685</v>
      </c>
      <c r="U21">
        <v>11891</v>
      </c>
      <c r="V21" s="20">
        <f>IF(ISNUMBER(tblData[China]),tblData[China]/$V$9,"")</f>
        <v>82.615184979755384</v>
      </c>
      <c r="W21">
        <v>16</v>
      </c>
      <c r="X21" s="20">
        <f>IF(ISNUMBER(tblData[Singapore]),tblData[Singapore]/$X$9,"")</f>
        <v>27.350427350427353</v>
      </c>
      <c r="Y21"/>
      <c r="Z21" s="20" t="str">
        <f>IF(AND(LEN(tblData[Generic])&gt;0,ISNUMBER(tblData[Generic])),tblData[Generic]/$Z$9,"")</f>
        <v/>
      </c>
      <c r="AA21" s="25">
        <f ca="1">IF(tblData[[#This Row],[Date]]&lt;StartDt2Italy,"",tblData[[#This Row],[Date]]-ItalyStart)</f>
        <v>2</v>
      </c>
      <c r="AB21" s="25">
        <f ca="1">IF(tblData[[#This Row],[Date]]&lt;=StartDt2US,"",tblData[[#This Row],[Date]]-USStart)</f>
        <v>10</v>
      </c>
      <c r="AC21" s="25">
        <f ca="1">IF(tblData[[#This Row],[Date]]&lt;StartDt2China,"",tblData[[#This Row],[Date]]-ChinaStart)</f>
        <v>10</v>
      </c>
      <c r="AD21" s="25">
        <f>IF(tblData[[#This Row],[Date]]&lt;=SKoreaStart,"",tblData[[#This Row],[Date]]-SKoreaStart)</f>
        <v>10</v>
      </c>
      <c r="AE21" s="25">
        <f ca="1">IF(tblData[[#This Row],[Date]]&lt;=StartDt2UK,"",tblData[[#This Row],[Date]]-UKStart)</f>
        <v>2</v>
      </c>
      <c r="AF21" s="25" t="str">
        <f>IF(tblData[[#This Row],[Date]]&lt;StartDt2Singapore,"",tblData[[#This Row],[Date]]-SingaporeStart)</f>
        <v/>
      </c>
      <c r="AG21" s="25">
        <f ca="1">IF(tblData[[#This Row],[Date]]&lt;StartDt2Generic,"",tblData[[#This Row],[Date]]-GenericStart)</f>
        <v>10</v>
      </c>
      <c r="AH21">
        <f ca="1">IF(tblData[Date]&gt;StartDt2Au,tblData[Date]-AuStart,"")</f>
        <v>7</v>
      </c>
      <c r="AI21" s="25">
        <f>IF(tblData[New South Wales]&gt;=0,SUM(tblData[[#This Row],[Australian Capital Territory]:[Western Australia]]),"")</f>
        <v>12</v>
      </c>
      <c r="AJ21" s="12">
        <f>IF(ISNUMBER(tblData[Au]),tblData[Au]/$AE$9,"")</f>
        <v>4.731114966093676</v>
      </c>
      <c r="AK21" s="19">
        <f ca="1">IF(ISNUMBER(tblData[[#This Row],[Day'# Aust]]),betaAu/(deltaAu+betaPodeltaAu*EXP(-betaAu*tblData[[#This Row],[Day'# Aust]])),"")</f>
        <v>5.880068236441458E-3</v>
      </c>
      <c r="AL21" s="62">
        <f ca="1">IF(ISNUMBER(tblData[Day'# Aust]),tblData[Au LogiP(t)]/$AJ$9,"")</f>
        <v>2.3182732362566857E-3</v>
      </c>
      <c r="AM21" s="11">
        <f ca="1">IF(AND(tblData[Date]&gt;StartDt2Au,ISNUMBER(tblData[NSW])),(tblData[[#This Row],[Au LogiP(t)]]-tblData[[#This Row],[Au]])^2,"")</f>
        <v>143.85891293752786</v>
      </c>
      <c r="AN21" s="11">
        <f ca="1">IF(AND(ISNUMBER(tblData[Au]),tblData[Date]&gt;StartDt2Au),(tblData[Au]-AVERAGE(tblData[Au]))^2,"")</f>
        <v>186067.79964866865</v>
      </c>
      <c r="AO21" s="11">
        <f>tblData[[#This Row],[Date]]-Au100dt</f>
        <v>-42</v>
      </c>
      <c r="AP21">
        <f ca="1">IF(tblData[Date]&gt;StartDt2NSW,tblData[Date]-StartDt2NSW,"")</f>
        <v>7</v>
      </c>
      <c r="AQ21" s="25">
        <f>IF(tblData[[#This Row],[New South Wales]]&gt;0,tblData[[#This Row],[New South Wales]],"")</f>
        <v>4</v>
      </c>
      <c r="AR21" s="44">
        <f ca="1">IF(tblData[Date]&gt;StartDt2NSW,betaNSW/(deltaNSW+betaPodeltaNSW*EXP(-betaNSW*tblData[[#This Row],[Day '# NSW]])),"")</f>
        <v>5.283553906925721E-3</v>
      </c>
      <c r="AS21" s="12">
        <f ca="1">IF(AND(ISNUMBER(tblData[NSW]),tblData[Date]&gt;StartDt2NSW),(tblData[[#This Row],[NSW LogiP(t)]]-tblData[[#This Row],[NSW]])^2,"")</f>
        <v>15.957759484686482</v>
      </c>
      <c r="AT21" s="12">
        <f ca="1">IF(AND(tblData[Date]&gt;StartDt2NSW,ISNUMBER(tblData[Day'# Aust])),tblData[NSW LogiP(t)]/$AR$9,"")</f>
        <v>6.5390518650070804E-3</v>
      </c>
      <c r="AU21" s="11">
        <f>tblData[[#This Row],[Date]]-NSW100dt+1</f>
        <v>-38</v>
      </c>
      <c r="AV21" s="11">
        <f ca="1">IF(AND(ISNUMBER(tblData[NSW]),tblData[Date]&gt;StartDt2NSW),(tblData[NSW]-AVERAGE(tblData[NSW]))^2,"")</f>
        <v>83990.760134425553</v>
      </c>
      <c r="AW21" s="39">
        <f ca="1">IF(AND(tblData[Date]&gt;StartDt2Italy,ISNUMBER(tblData[Days'# Italy])),betaItaly/(deltaItaly+betaPodeltaItaly*EXP(-betaItaly*tblData[Days'# Italy])),"")</f>
        <v>0.74045564283996945</v>
      </c>
      <c r="AX21" s="11">
        <f ca="1">IF(AND(tblData[Date]&gt;StartDt2Italy,ISNUMBER(tblData[Italy])),(tblData[[#This Row],[Italy LogiP(t)]]-tblData[[#This Row],[Italy]])^2,"")</f>
        <v>1.5864519876536742</v>
      </c>
      <c r="AY21" s="39">
        <f ca="1">IF(AND(tblData[Date]&gt;StartDt2Italy,ISNUMBER(tblData[Days'# Italy])),tblData[[#This Row],[Italy LogiP(t)]]/$AW$9,"")</f>
        <v>0.12241971444820525</v>
      </c>
      <c r="AZ21" s="39">
        <f ca="1">IF(AND(ISNUMBER(tblData[Italy]),tblData[Date]&gt;StartDt2Italy),(tblData[Italy]-AVERAGE(tblData[Italy]))^2,"")</f>
        <v>440025205.93827158</v>
      </c>
      <c r="BA21" s="11">
        <f>tblData[[#This Row],[Date]]-Italy100dt+1</f>
        <v>-25</v>
      </c>
      <c r="BB21" s="11">
        <f ca="1">IF(AND(tblData[Date]&gt;StartDt2US,ISNUMBER(tblData[[#This Row],[Days'# US]])),betaUS/(deltaUS+betaPodeltaUS*EXP(-betaUS*tblData[Days'# US])),"")</f>
        <v>1.70762971646574E-2</v>
      </c>
      <c r="BC21" s="11">
        <f ca="1">IF(AND(tblData[Date]&gt;StartDt2US,ISNUMBER(tblData[US])),(tblData[[#This Row],[US LogiP(t)]]-tblData[US])^2,"")</f>
        <v>63.727070845290335</v>
      </c>
      <c r="BD21" s="137">
        <f ca="1">IF(AND(tblData[Date]&gt;=StartDt2US,ISNUMBER(tblData[[#This Row],[Days'# US]])),tblData[[#This Row],[US LogiP(t)]]/$BB$9,"")</f>
        <v>5.186773402949277E-4</v>
      </c>
      <c r="BE21" s="137">
        <f ca="1">IF(AND(ISNUMBER(tblData[US]),tblData[Date]&gt;StartDt2US),(tblData[US]-AVERAGE(tblData[US]))^2,"")</f>
        <v>335133356.87046218</v>
      </c>
      <c r="BF21" s="11">
        <f>tblData[[#This Row],[Date]]-US100dt+1</f>
        <v>-41</v>
      </c>
      <c r="BG21" s="11" t="str">
        <f ca="1">IF(tblData[Date]&gt;StartDt2SKorea,betaSKorea/(deltaSKorea+betaPodeltaSKorea*EXP(-betaSKorea*(tblData[Date]-StartDt2SKorea))),"")</f>
        <v/>
      </c>
      <c r="BH21" s="11" t="str">
        <f ca="1">IF(AND(tblData[Date]&gt;StartDt2SKorea,ISNUMBER(tblData[SKorea])),(tblData[[#This Row],[SKorea LogiP(t)]]-tblData[[#This Row],[SKorea]])^2,"")</f>
        <v/>
      </c>
      <c r="BI21" s="11" t="str">
        <f ca="1">IF(tblData[Date]&gt;StartDt2SKorea,tblData[[#This Row],[SKorea LogiP(t)]]/$BG$9,"")</f>
        <v/>
      </c>
      <c r="BJ21" s="11" t="str">
        <f ca="1">IF(AND(ISNUMBER(tblData[SKorea]),tblData[Date]&gt;StartDt2SKorea),(tblData[SKorea]-AVERAGE(tblData[SKorea]))^2,"")</f>
        <v/>
      </c>
      <c r="BK21" s="11">
        <f>tblData[[#This Row],[Date]]-SKorea100dt+1</f>
        <v>-20</v>
      </c>
      <c r="BL21" s="137">
        <f ca="1">IF(AND(tblData[Date]&gt;StartDt2UK,ISNUMBER(tblData[Days'# UK])),betaUK/(deltaUK+betaPodeltaUK*EXP(-betaUK*tblData[Days'# UK])),"")</f>
        <v>0.13487501795355447</v>
      </c>
      <c r="BM21" s="11">
        <f ca="1">IF(AND(tblData[Date]&gt;StartDt2UK,ISNUMBER(tblData[UK])),(tblData[[#This Row],[UK LogiP(t)]]-tblData[[#This Row],[UK]])^2,"")</f>
        <v>3.4786911986537539</v>
      </c>
      <c r="BN21" s="11">
        <f ca="1">IF(ISNUMBER(tblData[Days'# UK]),tblData[[#This Row],[UK LogiP(t)]]/$BL$9,"")</f>
        <v>2.0300273623352568E-2</v>
      </c>
      <c r="BO21" s="137">
        <f ca="1">IF(AND(ISNUMBER(tblData[UK]),tblData[Date]&gt;StartDt2UK),(tblData[UK]-AVERAGE(tblData[UK]))^2,"")</f>
        <v>9627722.4489795901</v>
      </c>
      <c r="BP21" s="11">
        <f>tblData[[#This Row],[Date]]-UK100dt</f>
        <v>-40</v>
      </c>
      <c r="BQ21" s="11">
        <f ca="1">IF(ISNUMBER(tblData[Days'# China]),betaChina/(deltaChina+betaPodeltaChina*EXP(-betaChina*tblData[Days'# China])),"")</f>
        <v>12317.807603792588</v>
      </c>
      <c r="BR21" s="11">
        <f ca="1">IF(ISNUMBER(tblData[China]),(tblData[[#This Row],[China LogiP(t)]]-tblData[[#This Row],[China]])^2,"")</f>
        <v>182164.7306551704</v>
      </c>
      <c r="BS21" s="11">
        <f ca="1">tblData[[#This Row],[China LogiP(t)]]/$BQ$9</f>
        <v>85.580519193706337</v>
      </c>
      <c r="BT21" s="137">
        <f ca="1">IF(AND(ISNUMBER(tblData[China]),tblData[Date]&gt;StartDt2China),(tblData[China]-AVERAGE(tblData[China]))^2,"")</f>
        <v>2326900567.5510812</v>
      </c>
      <c r="BU21" s="11">
        <f>tblData[[#This Row],[Date]]-China100dt</f>
        <v>10</v>
      </c>
      <c r="BV21" s="106" t="str">
        <f>IF(ISNUMBER(tblData[Day'# Singapore]),betaSingapore/(deltaSingapore+betaPodeltaSingapore*EXP(-betaSingapore*tblData[Day'# Singapore])),"")</f>
        <v/>
      </c>
      <c r="BW21" s="11" t="str">
        <f>IF(AND(ISNUMBER(tblData[Singapore]),tblData[Date]&gt;=StartDt2Singapore),(tblData[[#This Row],[Singapore LogiP(t)]]-tblData[[#This Row],[Singapore]])^2,"")</f>
        <v/>
      </c>
      <c r="BX21" s="106" t="str">
        <f>IF(ISNUMBER(tblData[Day'# Singapore]),tblData[Singapore LogiP(t)]/$BV$9,"")</f>
        <v/>
      </c>
      <c r="BY21" s="106" t="str">
        <f>IF(AND(ISNUMBER(tblData[Singapore]),tblData[Date]&gt;StartDt2Singapore),(tblData[Singapore]-AVERAGE(tblData[Singapore]))^2,"")</f>
        <v/>
      </c>
      <c r="BZ21" s="11">
        <f>tblData[[#This Row],[Date]]-Singapore100dt+1</f>
        <v>-9</v>
      </c>
      <c r="CA21" s="11">
        <f ca="1">IF(AND(tblData[Date]&gt;StartDt2Generic,ISNUMBER(tblData[Day'# Generic])),betaGeneric/(deltaGeneric+betaPodeltaGeneric*EXP(-betaGeneric*tblData[Day'# Generic])),"")</f>
        <v>7.1618948136332496E-3</v>
      </c>
      <c r="CB21" s="106" t="str">
        <f ca="1">IF(AND(ISNUMBER(tblData[Generic]),tblData[Date]&gt;StartDt2Generic),(tblData[Generic LogiP(t)]-tblData[[#This Row],[Generic]])^2,"")</f>
        <v/>
      </c>
      <c r="CC21" s="11" t="str">
        <f ca="1">IF(AND(ISNUMBER(tblData[Generic]),tblData[Date]&gt;StartDt2Generic),tblData[Generic LogiP(t)]/$CA$9,"")</f>
        <v/>
      </c>
      <c r="CD21" s="106" t="str">
        <f ca="1">IF(AND(ISNUMBER(tblData[Generic]),tblData[Date]&gt;StartDt2Generic),(tblData[Generic]-AVERAGE(tblData[Generic]))^2,"")</f>
        <v/>
      </c>
      <c r="CE21" s="11">
        <f>tblData[[#This Row],[Date]]-Generic100dt+1</f>
        <v>-48</v>
      </c>
      <c r="CG21" s="11"/>
      <c r="CH21" s="11" t="str">
        <f>IF(ISNUMBER(tblData[[#This Row],[Tests]]),tblData[[#This Row],[Tests]]-CH20,"")</f>
        <v/>
      </c>
      <c r="CI21" s="11" t="str">
        <f>IF(ISNUMBER(tblData[[#This Row],[NSW Under Investigation'']]),tblData[[#This Row],[NSW Under Investigation'']]-CG20,"")</f>
        <v/>
      </c>
      <c r="CJ21" s="11"/>
      <c r="CK21" s="11" t="str">
        <f>IF(AND(tblData[[#This Row],[NSW Test Day Number]]&gt;0,ISNUMBER(tblData[[#This Row],[NSW Test Day Number]])),betaTests/(deltaTests+betaPodeltaTests*EXP(-betaTests*tblData[[#This Row],[NSW Test Day Number]])),"")</f>
        <v/>
      </c>
      <c r="CL21" s="11" t="str">
        <f>IF(tblData[Tests]&gt;0,(tblData[[#This Row],[Tests]]-tblData[[#This Row],[NSW Test Logi]])^2,"")</f>
        <v/>
      </c>
      <c r="CM21" s="106" t="str">
        <f>IF(AND(ISNUMBER(tblData[Tests]),tblData[Date]&gt;StartDt2Tests),(tblData[Tests]-AVERAGE(tblData[Tests]))^2,"")</f>
        <v/>
      </c>
      <c r="CN21" s="11" t="str">
        <f>IF(ISNUMBER(tblData[Tests]),tblData[Tests]/$CN$9/100,"")</f>
        <v/>
      </c>
      <c r="CO21" s="11" t="str">
        <f>IF(AND(tblData[[#This Row],[NSW Test Day Number]]&gt;0,ISNUMBER(tblData[[#This Row],[NSW Test Day Number]])),TestsLogestB*TestsLogestM^tblData[[#This Row],[NSW Test Day Number]],"")</f>
        <v/>
      </c>
      <c r="CP21" s="11" t="str">
        <f>IF(AND(tblData[[#This Row],[NSW Test Day Number]]&gt;0,ISNUMBER(tblData[Tests])),(tblData[Tests]-tblData[[#This Row],[NSW Test Per Capita]])^2,"")</f>
        <v/>
      </c>
      <c r="CQ21" s="39">
        <f ca="1">IF(AND(tblData[Day '# NSW]&gt;0,ISNUMBER(tblData[[#This Row],[Day '# NSW]])),NSWLogestB*NSWLogestM^tblData[[#This Row],[Day '# NSW]]/$CR$9,"")</f>
        <v>2.099858352884679</v>
      </c>
      <c r="CR21" s="39">
        <f ca="1">IF(AND(ISNUMBER(tblData[NSW]),tblData[Date]&gt;StartDt2NSW),(tblData[NSW]/$CR$9-tblData[[#This Row],[NSW Cases LogEst]])^2,"")</f>
        <v>8.1261295761181334</v>
      </c>
      <c r="CS21" s="11"/>
      <c r="CT21" s="11"/>
      <c r="CU21" s="26"/>
      <c r="CW21" s="70"/>
      <c r="CX21" s="26"/>
      <c r="CY21" s="26"/>
      <c r="DA21" s="44"/>
      <c r="DB21" s="71"/>
      <c r="DC21" s="83"/>
      <c r="DE21" s="12"/>
      <c r="DF21" s="12"/>
      <c r="DG21" s="12"/>
      <c r="DH21" s="83"/>
      <c r="DI21" s="83"/>
      <c r="DJ21" s="26"/>
      <c r="DK21" s="26"/>
      <c r="DL21" s="106"/>
      <c r="DO21" s="26">
        <f>MIN(tblRuns[Last Date])</f>
        <v>43922</v>
      </c>
      <c r="DP21" s="11"/>
      <c r="DQ21" s="26"/>
      <c r="DR21"/>
      <c r="DS21"/>
      <c r="DT21"/>
      <c r="DU21" s="18"/>
      <c r="DV21" s="20"/>
      <c r="DW21" s="26"/>
      <c r="DX21" s="11"/>
      <c r="DY21" s="26"/>
      <c r="DZ21" s="11"/>
      <c r="EB21" s="11"/>
      <c r="EC21" s="19"/>
      <c r="ED21" s="25"/>
      <c r="EK21"/>
      <c r="EL21"/>
      <c r="EM21"/>
      <c r="EN21"/>
      <c r="EO21" s="26">
        <f>EO17+14</f>
        <v>43874</v>
      </c>
      <c r="EP21" s="25">
        <v>10000000</v>
      </c>
      <c r="EQ21"/>
      <c r="ER21"/>
      <c r="ES21"/>
      <c r="ET21"/>
      <c r="EU21" s="25" t="s">
        <v>48</v>
      </c>
      <c r="EV21" s="69">
        <v>43913.686678240738</v>
      </c>
      <c r="EW21" s="26">
        <v>43855</v>
      </c>
      <c r="EX21" s="26">
        <v>43855</v>
      </c>
      <c r="EY21" s="25">
        <v>0</v>
      </c>
      <c r="EZ21" s="25">
        <v>0.20946993609128423</v>
      </c>
      <c r="FA21" s="81">
        <v>1.0000000000276037E-12</v>
      </c>
      <c r="FB21" s="21">
        <v>8.7014432070134148E-3</v>
      </c>
      <c r="FC21" s="82">
        <v>209469936085.50208</v>
      </c>
      <c r="FD21" s="82">
        <v>11.322136770692364</v>
      </c>
      <c r="FE21" s="25">
        <v>24.073010776240146</v>
      </c>
      <c r="FF21" s="84">
        <v>1.0000000000276037E-9</v>
      </c>
      <c r="FG21" s="26">
        <v>43913</v>
      </c>
      <c r="FH21" s="25" t="s">
        <v>1285</v>
      </c>
      <c r="FI21" s="84">
        <v>209469936085.50208</v>
      </c>
      <c r="FJ21" s="84">
        <v>1639</v>
      </c>
      <c r="FK21" s="25" t="s">
        <v>1286</v>
      </c>
      <c r="FL21" s="26">
        <v>43913</v>
      </c>
      <c r="FM21" s="25">
        <v>59</v>
      </c>
      <c r="FN21" s="25" t="s">
        <v>1287</v>
      </c>
      <c r="FO21" s="25"/>
      <c r="FP21" s="25" t="s">
        <v>1288</v>
      </c>
      <c r="FR21" s="25" t="s">
        <v>1289</v>
      </c>
      <c r="FS21" s="19">
        <v>646.19145245229458</v>
      </c>
      <c r="FT21" s="72"/>
      <c r="FU21" s="25"/>
      <c r="FV21" s="72"/>
      <c r="FW21" s="25"/>
      <c r="FX21" s="25" t="s">
        <v>1284</v>
      </c>
      <c r="FY21" s="25"/>
      <c r="FZ21" s="25"/>
      <c r="GA21" s="25"/>
    </row>
    <row r="22" spans="2:185" ht="18.75" customHeight="1" x14ac:dyDescent="0.25">
      <c r="B22" s="1">
        <v>43863</v>
      </c>
      <c r="C22">
        <v>0</v>
      </c>
      <c r="D22" s="25">
        <v>0</v>
      </c>
      <c r="E22">
        <v>4</v>
      </c>
      <c r="F22">
        <v>0</v>
      </c>
      <c r="G22">
        <v>2</v>
      </c>
      <c r="H22">
        <v>2</v>
      </c>
      <c r="I22">
        <v>0</v>
      </c>
      <c r="J22">
        <v>4</v>
      </c>
      <c r="K22">
        <v>0</v>
      </c>
      <c r="L22" s="12">
        <f>IF(ISNUMBER(tblData[[#This Row],[NSW]]),tblData[[#This Row],[New South Wales]]/$L$9,"")</f>
        <v>4.9504950495049505</v>
      </c>
      <c r="M22" s="25">
        <v>2</v>
      </c>
      <c r="N22" s="44">
        <f>IF(ISNUMBER(tblData[Italy]),tblData[Italy]/$N$9,"")</f>
        <v>0.33066049433743905</v>
      </c>
      <c r="O22">
        <v>8</v>
      </c>
      <c r="P22" s="106">
        <f>IF(ISNUMBER(tblData[US]),tblData[US]/$P$9,"")</f>
        <v>0.2429928855388756</v>
      </c>
      <c r="Q22">
        <v>15</v>
      </c>
      <c r="R22" s="19">
        <f>IF(ISNUMBER(tblData[SKorea]),tblData[SKorea]/$R$9,"")</f>
        <v>2.918287937743191</v>
      </c>
      <c r="S22">
        <v>2</v>
      </c>
      <c r="T22" s="12">
        <f>IF(ISNUMBER(tblData[UK]),tblData[UK]/$T$9,"")</f>
        <v>0.30102347983142685</v>
      </c>
      <c r="U22">
        <v>16630</v>
      </c>
      <c r="V22" s="20">
        <f>IF(ISNUMBER(tblData[China]),tblData[China]/$V$9,"")</f>
        <v>115.54036886833168</v>
      </c>
      <c r="W22">
        <v>18</v>
      </c>
      <c r="X22" s="20">
        <f>IF(ISNUMBER(tblData[Singapore]),tblData[Singapore]/$X$9,"")</f>
        <v>30.76923076923077</v>
      </c>
      <c r="Y22"/>
      <c r="Z22" s="20" t="str">
        <f>IF(AND(LEN(tblData[Generic])&gt;0,ISNUMBER(tblData[Generic])),tblData[Generic]/$Z$9,"")</f>
        <v/>
      </c>
      <c r="AA22" s="25">
        <f ca="1">IF(tblData[[#This Row],[Date]]&lt;StartDt2Italy,"",tblData[[#This Row],[Date]]-ItalyStart)</f>
        <v>3</v>
      </c>
      <c r="AB22" s="25">
        <f ca="1">IF(tblData[[#This Row],[Date]]&lt;=StartDt2US,"",tblData[[#This Row],[Date]]-USStart)</f>
        <v>11</v>
      </c>
      <c r="AC22" s="25">
        <f ca="1">IF(tblData[[#This Row],[Date]]&lt;StartDt2China,"",tblData[[#This Row],[Date]]-ChinaStart)</f>
        <v>11</v>
      </c>
      <c r="AD22" s="25">
        <f>IF(tblData[[#This Row],[Date]]&lt;=SKoreaStart,"",tblData[[#This Row],[Date]]-SKoreaStart)</f>
        <v>11</v>
      </c>
      <c r="AE22" s="25">
        <f ca="1">IF(tblData[[#This Row],[Date]]&lt;=StartDt2UK,"",tblData[[#This Row],[Date]]-UKStart)</f>
        <v>3</v>
      </c>
      <c r="AF22" s="25" t="str">
        <f>IF(tblData[[#This Row],[Date]]&lt;StartDt2Singapore,"",tblData[[#This Row],[Date]]-SingaporeStart)</f>
        <v/>
      </c>
      <c r="AG22" s="25">
        <f ca="1">IF(tblData[[#This Row],[Date]]&lt;StartDt2Generic,"",tblData[[#This Row],[Date]]-GenericStart)</f>
        <v>11</v>
      </c>
      <c r="AH22">
        <f ca="1">IF(tblData[Date]&gt;StartDt2Au,tblData[Date]-AuStart,"")</f>
        <v>8</v>
      </c>
      <c r="AI22" s="25">
        <f>IF(tblData[New South Wales]&gt;=0,SUM(tblData[[#This Row],[Australian Capital Territory]:[Western Australia]]),"")</f>
        <v>12</v>
      </c>
      <c r="AJ22" s="12">
        <f>IF(ISNUMBER(tblData[Au]),tblData[Au]/$AE$9,"")</f>
        <v>4.731114966093676</v>
      </c>
      <c r="AK22" s="19">
        <f ca="1">IF(ISNUMBER(tblData[[#This Row],[Day'# Aust]]),betaAu/(deltaAu+betaPodeltaAu*EXP(-betaAu*tblData[[#This Row],[Day'# Aust]])),"")</f>
        <v>7.5734552310794774E-3</v>
      </c>
      <c r="AL22" s="62">
        <f ca="1">IF(ISNUMBER(tblData[Day'# Aust]),tblData[Au LogiP(t)]/$AJ$9,"")</f>
        <v>2.9859072824000464E-3</v>
      </c>
      <c r="AM22" s="11">
        <f ca="1">IF(AND(tblData[Date]&gt;StartDt2Au,ISNUMBER(tblData[NSW])),(tblData[[#This Row],[Au LogiP(t)]]-tblData[[#This Row],[Au]])^2,"")</f>
        <v>143.81829443167823</v>
      </c>
      <c r="AN22" s="11">
        <f ca="1">IF(AND(ISNUMBER(tblData[Au]),tblData[Date]&gt;StartDt2Au),(tblData[Au]-AVERAGE(tblData[Au]))^2,"")</f>
        <v>186067.79964866865</v>
      </c>
      <c r="AO22" s="11">
        <f>tblData[[#This Row],[Date]]-Au100dt</f>
        <v>-41</v>
      </c>
      <c r="AP22">
        <f ca="1">IF(tblData[Date]&gt;StartDt2NSW,tblData[Date]-StartDt2NSW,"")</f>
        <v>8</v>
      </c>
      <c r="AQ22" s="25">
        <f>IF(tblData[[#This Row],[New South Wales]]&gt;0,tblData[[#This Row],[New South Wales]],"")</f>
        <v>4</v>
      </c>
      <c r="AR22" s="44">
        <f ca="1">IF(tblData[Date]&gt;StartDt2NSW,betaNSW/(deltaNSW+betaPodeltaNSW*EXP(-betaNSW*tblData[[#This Row],[Day '# NSW]])),"")</f>
        <v>6.7019500904315727E-3</v>
      </c>
      <c r="AS22" s="12">
        <f ca="1">IF(AND(ISNUMBER(tblData[NSW]),tblData[Date]&gt;StartDt2NSW),(tblData[[#This Row],[NSW LogiP(t)]]-tblData[[#This Row],[NSW]])^2,"")</f>
        <v>15.94642931541156</v>
      </c>
      <c r="AT22" s="12">
        <f ca="1">IF(AND(tblData[Date]&gt;StartDt2NSW,ISNUMBER(tblData[Day'# Aust])),tblData[NSW LogiP(t)]/$AR$9,"")</f>
        <v>8.2944926861776881E-3</v>
      </c>
      <c r="AU22" s="11">
        <f>tblData[[#This Row],[Date]]-NSW100dt+1</f>
        <v>-37</v>
      </c>
      <c r="AV22" s="11">
        <f ca="1">IF(AND(ISNUMBER(tblData[NSW]),tblData[Date]&gt;StartDt2NSW),(tblData[NSW]-AVERAGE(tblData[NSW]))^2,"")</f>
        <v>83990.760134425553</v>
      </c>
      <c r="AW22" s="39">
        <f ca="1">IF(AND(tblData[Date]&gt;StartDt2Italy,ISNUMBER(tblData[Days'# Italy])),betaItaly/(deltaItaly+betaPodeltaItaly*EXP(-betaItaly*tblData[Days'# Italy])),"")</f>
        <v>0.9570909526794803</v>
      </c>
      <c r="AX22" s="11">
        <f ca="1">IF(AND(tblData[Date]&gt;StartDt2Italy,ISNUMBER(tblData[Italy])),(tblData[[#This Row],[Italy LogiP(t)]]-tblData[[#This Row],[Italy]])^2,"")</f>
        <v>1.0876592809829941</v>
      </c>
      <c r="AY22" s="39">
        <f ca="1">IF(AND(tblData[Date]&gt;StartDt2Italy,ISNUMBER(tblData[Days'# Italy])),tblData[[#This Row],[Italy LogiP(t)]]/$AW$9,"")</f>
        <v>0.15823608376944373</v>
      </c>
      <c r="AZ22" s="39">
        <f ca="1">IF(AND(ISNUMBER(tblData[Italy]),tblData[Date]&gt;StartDt2Italy),(tblData[Italy]-AVERAGE(tblData[Italy]))^2,"")</f>
        <v>440025205.93827158</v>
      </c>
      <c r="BA22" s="11">
        <f>tblData[[#This Row],[Date]]-Italy100dt+1</f>
        <v>-24</v>
      </c>
      <c r="BB22" s="11">
        <f ca="1">IF(AND(tblData[Date]&gt;StartDt2US,ISNUMBER(tblData[[#This Row],[Days'# US]])),betaUS/(deltaUS+betaPodeltaUS*EXP(-betaUS*tblData[Days'# US])),"")</f>
        <v>2.2679478891504453E-2</v>
      </c>
      <c r="BC22" s="11">
        <f ca="1">IF(AND(tblData[Date]&gt;StartDt2US,ISNUMBER(tblData[US])),(tblData[[#This Row],[US LogiP(t)]]-tblData[US])^2,"")</f>
        <v>63.637642696498723</v>
      </c>
      <c r="BD22" s="137">
        <f ca="1">IF(AND(tblData[Date]&gt;=StartDt2US,ISNUMBER(tblData[[#This Row],[Days'# US]])),tblData[[#This Row],[US LogiP(t)]]/$BB$9,"")</f>
        <v>6.8886900229558586E-4</v>
      </c>
      <c r="BE22" s="137">
        <f ca="1">IF(AND(ISNUMBER(tblData[US]),tblData[Date]&gt;StartDt2US),(tblData[US]-AVERAGE(tblData[US]))^2,"")</f>
        <v>335133356.87046218</v>
      </c>
      <c r="BF22" s="11">
        <f>tblData[[#This Row],[Date]]-US100dt+1</f>
        <v>-40</v>
      </c>
      <c r="BG22" s="11" t="str">
        <f ca="1">IF(tblData[Date]&gt;StartDt2SKorea,betaSKorea/(deltaSKorea+betaPodeltaSKorea*EXP(-betaSKorea*(tblData[Date]-StartDt2SKorea))),"")</f>
        <v/>
      </c>
      <c r="BH22" s="11" t="str">
        <f ca="1">IF(AND(tblData[Date]&gt;StartDt2SKorea,ISNUMBER(tblData[SKorea])),(tblData[[#This Row],[SKorea LogiP(t)]]-tblData[[#This Row],[SKorea]])^2,"")</f>
        <v/>
      </c>
      <c r="BI22" s="11" t="str">
        <f ca="1">IF(tblData[Date]&gt;StartDt2SKorea,tblData[[#This Row],[SKorea LogiP(t)]]/$BG$9,"")</f>
        <v/>
      </c>
      <c r="BJ22" s="11" t="str">
        <f ca="1">IF(AND(ISNUMBER(tblData[SKorea]),tblData[Date]&gt;StartDt2SKorea),(tblData[SKorea]-AVERAGE(tblData[SKorea]))^2,"")</f>
        <v/>
      </c>
      <c r="BK22" s="11">
        <f>tblData[[#This Row],[Date]]-SKorea100dt+1</f>
        <v>-19</v>
      </c>
      <c r="BL22" s="137">
        <f ca="1">IF(AND(tblData[Date]&gt;StartDt2UK,ISNUMBER(tblData[Days'# UK])),betaUK/(deltaUK+betaPodeltaUK*EXP(-betaUK*tblData[Days'# UK])),"")</f>
        <v>0.16700502989941013</v>
      </c>
      <c r="BM22" s="11">
        <f ca="1">IF(AND(tblData[Date]&gt;StartDt2UK,ISNUMBER(tblData[UK])),(tblData[[#This Row],[UK LogiP(t)]]-tblData[[#This Row],[UK]])^2,"")</f>
        <v>3.3598705604140622</v>
      </c>
      <c r="BN22" s="11">
        <f ca="1">IF(ISNUMBER(tblData[Days'# UK]),tblData[[#This Row],[UK LogiP(t)]]/$BL$9,"")</f>
        <v>2.513621762483596E-2</v>
      </c>
      <c r="BO22" s="137">
        <f ca="1">IF(AND(ISNUMBER(tblData[UK]),tblData[Date]&gt;StartDt2UK),(tblData[UK]-AVERAGE(tblData[UK]))^2,"")</f>
        <v>9627722.4489795901</v>
      </c>
      <c r="BP22" s="11">
        <f>tblData[[#This Row],[Date]]-UK100dt</f>
        <v>-39</v>
      </c>
      <c r="BQ22" s="11">
        <f ca="1">IF(ISNUMBER(tblData[Days'# China]),betaChina/(deltaChina+betaPodeltaChina*EXP(-betaChina*tblData[Days'# China])),"")</f>
        <v>14807.162010144666</v>
      </c>
      <c r="BR22" s="11">
        <f ca="1">IF(ISNUMBER(tblData[China]),(tblData[[#This Row],[China LogiP(t)]]-tblData[[#This Row],[China]])^2,"")</f>
        <v>3322738.3372598346</v>
      </c>
      <c r="BS22" s="11">
        <f ca="1">tblData[[#This Row],[China LogiP(t)]]/$BQ$9</f>
        <v>102.87582444649804</v>
      </c>
      <c r="BT22" s="137">
        <f ca="1">IF(AND(ISNUMBER(tblData[China]),tblData[Date]&gt;StartDt2China),(tblData[China]-AVERAGE(tblData[China]))^2,"")</f>
        <v>1892159325.0299544</v>
      </c>
      <c r="BU22" s="11">
        <f>tblData[[#This Row],[Date]]-China100dt</f>
        <v>11</v>
      </c>
      <c r="BV22" s="106" t="str">
        <f>IF(ISNUMBER(tblData[Day'# Singapore]),betaSingapore/(deltaSingapore+betaPodeltaSingapore*EXP(-betaSingapore*tblData[Day'# Singapore])),"")</f>
        <v/>
      </c>
      <c r="BW22" s="11" t="str">
        <f>IF(AND(ISNUMBER(tblData[Singapore]),tblData[Date]&gt;=StartDt2Singapore),(tblData[[#This Row],[Singapore LogiP(t)]]-tblData[[#This Row],[Singapore]])^2,"")</f>
        <v/>
      </c>
      <c r="BX22" s="106" t="str">
        <f>IF(ISNUMBER(tblData[Day'# Singapore]),tblData[Singapore LogiP(t)]/$BV$9,"")</f>
        <v/>
      </c>
      <c r="BY22" s="106" t="str">
        <f>IF(AND(ISNUMBER(tblData[Singapore]),tblData[Date]&gt;StartDt2Singapore),(tblData[Singapore]-AVERAGE(tblData[Singapore]))^2,"")</f>
        <v/>
      </c>
      <c r="BZ22" s="11">
        <f>tblData[[#This Row],[Date]]-Singapore100dt+1</f>
        <v>-8</v>
      </c>
      <c r="CA22" s="11">
        <f ca="1">IF(AND(tblData[Date]&gt;StartDt2Generic,ISNUMBER(tblData[Day'# Generic])),betaGeneric/(deltaGeneric+betaPodeltaGeneric*EXP(-betaGeneric*tblData[Day'# Generic])),"")</f>
        <v>8.7202837507641268E-3</v>
      </c>
      <c r="CB22" s="106" t="str">
        <f ca="1">IF(AND(ISNUMBER(tblData[Generic]),tblData[Date]&gt;StartDt2Generic),(tblData[Generic LogiP(t)]-tblData[[#This Row],[Generic]])^2,"")</f>
        <v/>
      </c>
      <c r="CC22" s="11" t="str">
        <f ca="1">IF(AND(ISNUMBER(tblData[Generic]),tblData[Date]&gt;StartDt2Generic),tblData[Generic LogiP(t)]/$CA$9,"")</f>
        <v/>
      </c>
      <c r="CD22" s="106" t="str">
        <f ca="1">IF(AND(ISNUMBER(tblData[Generic]),tblData[Date]&gt;StartDt2Generic),(tblData[Generic]-AVERAGE(tblData[Generic]))^2,"")</f>
        <v/>
      </c>
      <c r="CE22" s="11">
        <f>tblData[[#This Row],[Date]]-Generic100dt+1</f>
        <v>-47</v>
      </c>
      <c r="CG22" s="11"/>
      <c r="CH22" s="11" t="str">
        <f>IF(ISNUMBER(tblData[[#This Row],[Tests]]),tblData[[#This Row],[Tests]]-CH21,"")</f>
        <v/>
      </c>
      <c r="CI22" s="11" t="str">
        <f>IF(ISNUMBER(tblData[[#This Row],[NSW Under Investigation'']]),tblData[[#This Row],[NSW Under Investigation'']]-CG21,"")</f>
        <v/>
      </c>
      <c r="CJ22" s="11"/>
      <c r="CK22" s="11" t="str">
        <f>IF(AND(tblData[[#This Row],[NSW Test Day Number]]&gt;0,ISNUMBER(tblData[[#This Row],[NSW Test Day Number]])),betaTests/(deltaTests+betaPodeltaTests*EXP(-betaTests*tblData[[#This Row],[NSW Test Day Number]])),"")</f>
        <v/>
      </c>
      <c r="CL22" s="11" t="str">
        <f>IF(tblData[Tests]&gt;0,(tblData[[#This Row],[Tests]]-tblData[[#This Row],[NSW Test Logi]])^2,"")</f>
        <v/>
      </c>
      <c r="CM22" s="106" t="str">
        <f>IF(AND(ISNUMBER(tblData[Tests]),tblData[Date]&gt;StartDt2Tests),(tblData[Tests]-AVERAGE(tblData[Tests]))^2,"")</f>
        <v/>
      </c>
      <c r="CN22" s="11" t="str">
        <f>IF(ISNUMBER(tblData[Tests]),tblData[Tests]/$CN$9/100,"")</f>
        <v/>
      </c>
      <c r="CO22" s="11" t="str">
        <f>IF(AND(tblData[[#This Row],[NSW Test Day Number]]&gt;0,ISNUMBER(tblData[[#This Row],[NSW Test Day Number]])),TestsLogestB*TestsLogestM^tblData[[#This Row],[NSW Test Day Number]],"")</f>
        <v/>
      </c>
      <c r="CP22" s="11" t="str">
        <f>IF(AND(tblData[[#This Row],[NSW Test Day Number]]&gt;0,ISNUMBER(tblData[Tests])),(tblData[Tests]-tblData[[#This Row],[NSW Test Per Capita]])^2,"")</f>
        <v/>
      </c>
      <c r="CQ22" s="39">
        <f ca="1">IF(AND(tblData[Day '# NSW]&gt;0,ISNUMBER(tblData[[#This Row],[Day '# NSW]])),NSWLogestB*NSWLogestM^tblData[[#This Row],[Day '# NSW]]/$CR$9,"")</f>
        <v>2.3370139897479674</v>
      </c>
      <c r="CR22" s="39">
        <f ca="1">IF(AND(ISNUMBER(tblData[NSW]),tblData[Date]&gt;StartDt2NSW),(tblData[NSW]/$CR$9-tblData[[#This Row],[NSW Cases LogEst]])^2,"")</f>
        <v>6.8302832497084838</v>
      </c>
      <c r="CS22" s="11"/>
      <c r="CT22" s="11"/>
      <c r="CU22" s="26"/>
      <c r="CW22" s="25"/>
      <c r="CX22"/>
      <c r="DK22" s="25"/>
      <c r="DL22" s="25"/>
      <c r="DM22" s="25"/>
      <c r="DR22"/>
      <c r="DS22"/>
      <c r="DT22"/>
      <c r="DU22"/>
      <c r="EB22" s="25"/>
      <c r="EC22" s="25"/>
      <c r="ED22" s="25"/>
      <c r="EE22" s="25"/>
      <c r="EK22"/>
      <c r="EL22"/>
      <c r="EM22"/>
      <c r="EN22"/>
      <c r="EO22"/>
      <c r="EP22" s="26">
        <f>EO18+14</f>
        <v>43874</v>
      </c>
      <c r="EQ22" s="25">
        <v>0.1</v>
      </c>
      <c r="ER22"/>
      <c r="ES22"/>
      <c r="ET22"/>
      <c r="EU22" s="26" t="s">
        <v>48</v>
      </c>
      <c r="EV22" s="69">
        <v>43914.309386574074</v>
      </c>
      <c r="EW22" s="26">
        <v>43855</v>
      </c>
      <c r="EX22" s="26">
        <v>43855</v>
      </c>
      <c r="EY22" s="25">
        <v>0</v>
      </c>
      <c r="EZ22" s="25">
        <v>0.21514234654205289</v>
      </c>
      <c r="FA22" s="25">
        <v>1.0000000000276037E-12</v>
      </c>
      <c r="FB22" s="21">
        <v>6.4314818913227033E-3</v>
      </c>
      <c r="FC22" s="82">
        <v>215142346536.11417</v>
      </c>
      <c r="FD22" s="82">
        <v>12.518702367489782</v>
      </c>
      <c r="FE22" s="25">
        <v>33.451442478958782</v>
      </c>
      <c r="FF22" s="84">
        <v>1.0000000000276037E-9</v>
      </c>
      <c r="FG22" s="26">
        <v>43913</v>
      </c>
      <c r="FH22" s="25" t="s">
        <v>1314</v>
      </c>
      <c r="FI22" s="84">
        <v>215142346536.11417</v>
      </c>
      <c r="FJ22" s="84">
        <v>1716</v>
      </c>
      <c r="FK22" s="25" t="s">
        <v>1336</v>
      </c>
      <c r="FL22" s="26">
        <v>43913</v>
      </c>
      <c r="FM22" s="25">
        <v>59</v>
      </c>
      <c r="FN22" s="25" t="s">
        <v>1337</v>
      </c>
      <c r="FO22" s="25"/>
      <c r="FP22" s="25" t="s">
        <v>1338</v>
      </c>
      <c r="FR22" s="72" t="s">
        <v>1339</v>
      </c>
      <c r="FS22" s="19">
        <v>676.54944015139563</v>
      </c>
      <c r="FT22" s="72"/>
      <c r="FU22" s="25"/>
      <c r="FV22" s="25"/>
      <c r="FW22" s="25"/>
      <c r="FX22" s="25" t="s">
        <v>1335</v>
      </c>
      <c r="FY22" s="25"/>
      <c r="FZ22" s="25"/>
      <c r="GA22" s="25"/>
      <c r="GB22" s="25"/>
    </row>
    <row r="23" spans="2:185" x14ac:dyDescent="0.25">
      <c r="B23" s="1">
        <v>43864</v>
      </c>
      <c r="C23">
        <v>0</v>
      </c>
      <c r="D23" s="25">
        <v>0</v>
      </c>
      <c r="E23">
        <v>4</v>
      </c>
      <c r="F23">
        <v>0</v>
      </c>
      <c r="G23">
        <v>2</v>
      </c>
      <c r="H23">
        <v>2</v>
      </c>
      <c r="I23">
        <v>0</v>
      </c>
      <c r="J23">
        <v>4</v>
      </c>
      <c r="K23">
        <v>0</v>
      </c>
      <c r="L23" s="12">
        <f>IF(ISNUMBER(tblData[[#This Row],[NSW]]),tblData[[#This Row],[New South Wales]]/$L$9,"")</f>
        <v>4.9504950495049505</v>
      </c>
      <c r="M23" s="25">
        <v>2</v>
      </c>
      <c r="N23" s="44">
        <f>IF(ISNUMBER(tblData[Italy]),tblData[Italy]/$N$9,"")</f>
        <v>0.33066049433743905</v>
      </c>
      <c r="O23">
        <v>11</v>
      </c>
      <c r="P23" s="106">
        <f>IF(ISNUMBER(tblData[US]),tblData[US]/$P$9,"")</f>
        <v>0.33411521761595392</v>
      </c>
      <c r="Q23">
        <v>15</v>
      </c>
      <c r="R23" s="19">
        <f>IF(ISNUMBER(tblData[SKorea]),tblData[SKorea]/$R$9,"")</f>
        <v>2.918287937743191</v>
      </c>
      <c r="S23">
        <v>2</v>
      </c>
      <c r="T23" s="12">
        <f>IF(ISNUMBER(tblData[UK]),tblData[UK]/$T$9,"")</f>
        <v>0.30102347983142685</v>
      </c>
      <c r="U23">
        <v>19716</v>
      </c>
      <c r="V23" s="20">
        <f>IF(ISNUMBER(tblData[China]),tblData[China]/$V$9,"")</f>
        <v>136.98099294095175</v>
      </c>
      <c r="W23">
        <v>18</v>
      </c>
      <c r="X23" s="20">
        <f>IF(ISNUMBER(tblData[Singapore]),tblData[Singapore]/$X$9,"")</f>
        <v>30.76923076923077</v>
      </c>
      <c r="Y23"/>
      <c r="Z23" s="20" t="str">
        <f>IF(AND(LEN(tblData[Generic])&gt;0,ISNUMBER(tblData[Generic])),tblData[Generic]/$Z$9,"")</f>
        <v/>
      </c>
      <c r="AA23" s="25">
        <f ca="1">IF(tblData[[#This Row],[Date]]&lt;StartDt2Italy,"",tblData[[#This Row],[Date]]-ItalyStart)</f>
        <v>4</v>
      </c>
      <c r="AB23" s="25">
        <f ca="1">IF(tblData[[#This Row],[Date]]&lt;=StartDt2US,"",tblData[[#This Row],[Date]]-USStart)</f>
        <v>12</v>
      </c>
      <c r="AC23" s="25">
        <f ca="1">IF(tblData[[#This Row],[Date]]&lt;StartDt2China,"",tblData[[#This Row],[Date]]-ChinaStart)</f>
        <v>12</v>
      </c>
      <c r="AD23" s="25">
        <f>IF(tblData[[#This Row],[Date]]&lt;=SKoreaStart,"",tblData[[#This Row],[Date]]-SKoreaStart)</f>
        <v>12</v>
      </c>
      <c r="AE23" s="25">
        <f ca="1">IF(tblData[[#This Row],[Date]]&lt;=StartDt2UK,"",tblData[[#This Row],[Date]]-UKStart)</f>
        <v>4</v>
      </c>
      <c r="AF23" s="25" t="str">
        <f>IF(tblData[[#This Row],[Date]]&lt;StartDt2Singapore,"",tblData[[#This Row],[Date]]-SingaporeStart)</f>
        <v/>
      </c>
      <c r="AG23" s="25">
        <f ca="1">IF(tblData[[#This Row],[Date]]&lt;StartDt2Generic,"",tblData[[#This Row],[Date]]-GenericStart)</f>
        <v>12</v>
      </c>
      <c r="AH23">
        <f ca="1">IF(tblData[Date]&gt;StartDt2Au,tblData[Date]-AuStart,"")</f>
        <v>9</v>
      </c>
      <c r="AI23" s="25">
        <f>IF(tblData[New South Wales]&gt;=0,SUM(tblData[[#This Row],[Australian Capital Territory]:[Western Australia]]),"")</f>
        <v>12</v>
      </c>
      <c r="AJ23" s="12">
        <f>IF(ISNUMBER(tblData[Au]),tblData[Au]/$AE$9,"")</f>
        <v>4.731114966093676</v>
      </c>
      <c r="AK23" s="19">
        <f ca="1">IF(ISNUMBER(tblData[[#This Row],[Day'# Aust]]),betaAu/(deltaAu+betaPodeltaAu*EXP(-betaAu*tblData[[#This Row],[Day'# Aust]])),"")</f>
        <v>9.7545159859358469E-3</v>
      </c>
      <c r="AL23" s="62">
        <f ca="1">IF(ISNUMBER(tblData[Day'# Aust]),tblData[Au LogiP(t)]/$AJ$9,"")</f>
        <v>3.8458113806717582E-3</v>
      </c>
      <c r="AM23" s="11">
        <f ca="1">IF(AND(tblData[Date]&gt;StartDt2Au,ISNUMBER(tblData[NSW])),(tblData[[#This Row],[Au LogiP(t)]]-tblData[[#This Row],[Au]])^2,"")</f>
        <v>143.76598676691967</v>
      </c>
      <c r="AN23" s="11">
        <f ca="1">IF(AND(ISNUMBER(tblData[Au]),tblData[Date]&gt;StartDt2Au),(tblData[Au]-AVERAGE(tblData[Au]))^2,"")</f>
        <v>186067.79964866865</v>
      </c>
      <c r="AO23" s="11">
        <f>tblData[[#This Row],[Date]]-Au100dt</f>
        <v>-40</v>
      </c>
      <c r="AP23">
        <f ca="1">IF(tblData[Date]&gt;StartDt2NSW,tblData[Date]-StartDt2NSW,"")</f>
        <v>9</v>
      </c>
      <c r="AQ23" s="25">
        <f>IF(tblData[[#This Row],[New South Wales]]&gt;0,tblData[[#This Row],[New South Wales]],"")</f>
        <v>4</v>
      </c>
      <c r="AR23" s="44">
        <f ca="1">IF(tblData[Date]&gt;StartDt2NSW,betaNSW/(deltaNSW+betaPodeltaNSW*EXP(-betaNSW*tblData[[#This Row],[Day '# NSW]])),"")</f>
        <v>8.5011206671434802E-3</v>
      </c>
      <c r="AS23" s="12">
        <f ca="1">IF(AND(ISNUMBER(tblData[NSW]),tblData[Date]&gt;StartDt2NSW),(tblData[[#This Row],[NSW LogiP(t)]]-tblData[[#This Row],[NSW]])^2,"")</f>
        <v>15.932063303715447</v>
      </c>
      <c r="AT23" s="12">
        <f ca="1">IF(AND(tblData[Date]&gt;StartDt2NSW,ISNUMBER(tblData[Day'# Aust])),tblData[NSW LogiP(t)]/$AR$9,"")</f>
        <v>1.0521188944484505E-2</v>
      </c>
      <c r="AU23" s="11">
        <f>tblData[[#This Row],[Date]]-NSW100dt+1</f>
        <v>-36</v>
      </c>
      <c r="AV23" s="11">
        <f ca="1">IF(AND(ISNUMBER(tblData[NSW]),tblData[Date]&gt;StartDt2NSW),(tblData[NSW]-AVERAGE(tblData[NSW]))^2,"")</f>
        <v>83990.760134425553</v>
      </c>
      <c r="AW23" s="39">
        <f ca="1">IF(AND(tblData[Date]&gt;StartDt2Italy,ISNUMBER(tblData[Days'# Italy])),betaItaly/(deltaItaly+betaPodeltaItaly*EXP(-betaItaly*tblData[Days'# Italy])),"")</f>
        <v>1.2371065082334107</v>
      </c>
      <c r="AX23" s="11">
        <f ca="1">IF(AND(tblData[Date]&gt;StartDt2Italy,ISNUMBER(tblData[Italy])),(tblData[[#This Row],[Italy LogiP(t)]]-tblData[[#This Row],[Italy]])^2,"")</f>
        <v>0.58200647977981901</v>
      </c>
      <c r="AY23" s="39">
        <f ca="1">IF(AND(tblData[Date]&gt;StartDt2Italy,ISNUMBER(tblData[Days'# Italy])),tblData[[#This Row],[Italy LogiP(t)]]/$AW$9,"")</f>
        <v>0.20453112478026134</v>
      </c>
      <c r="AZ23" s="39">
        <f ca="1">IF(AND(ISNUMBER(tblData[Italy]),tblData[Date]&gt;StartDt2Italy),(tblData[Italy]-AVERAGE(tblData[Italy]))^2,"")</f>
        <v>440025205.93827158</v>
      </c>
      <c r="BA23" s="11">
        <f>tblData[[#This Row],[Date]]-Italy100dt+1</f>
        <v>-23</v>
      </c>
      <c r="BB23" s="11">
        <f ca="1">IF(AND(tblData[Date]&gt;StartDt2US,ISNUMBER(tblData[[#This Row],[Days'# US]])),betaUS/(deltaUS+betaPodeltaUS*EXP(-betaUS*tblData[Days'# US])),"")</f>
        <v>3.0121211661812534E-2</v>
      </c>
      <c r="BC23" s="11">
        <f ca="1">IF(AND(tblData[Date]&gt;StartDt2US,ISNUMBER(tblData[US])),(tblData[[#This Row],[US LogiP(t)]]-tblData[US])^2,"")</f>
        <v>120.33824063083209</v>
      </c>
      <c r="BD23" s="137">
        <f ca="1">IF(AND(tblData[Date]&gt;=StartDt2US,ISNUMBER(tblData[[#This Row],[Days'# US]])),tblData[[#This Row],[US LogiP(t)]]/$BB$9,"")</f>
        <v>9.1490501720388224E-4</v>
      </c>
      <c r="BE23" s="137">
        <f ca="1">IF(AND(ISNUMBER(tblData[US]),tblData[Date]&gt;StartDt2US),(tblData[US]-AVERAGE(tblData[US]))^2,"")</f>
        <v>335023525.98313826</v>
      </c>
      <c r="BF23" s="11">
        <f>tblData[[#This Row],[Date]]-US100dt+1</f>
        <v>-39</v>
      </c>
      <c r="BG23" s="11" t="str">
        <f ca="1">IF(tblData[Date]&gt;StartDt2SKorea,betaSKorea/(deltaSKorea+betaPodeltaSKorea*EXP(-betaSKorea*(tblData[Date]-StartDt2SKorea))),"")</f>
        <v/>
      </c>
      <c r="BH23" s="11" t="str">
        <f ca="1">IF(AND(tblData[Date]&gt;StartDt2SKorea,ISNUMBER(tblData[SKorea])),(tblData[[#This Row],[SKorea LogiP(t)]]-tblData[[#This Row],[SKorea]])^2,"")</f>
        <v/>
      </c>
      <c r="BI23" s="11" t="str">
        <f ca="1">IF(tblData[Date]&gt;StartDt2SKorea,tblData[[#This Row],[SKorea LogiP(t)]]/$BG$9,"")</f>
        <v/>
      </c>
      <c r="BJ23" s="137" t="str">
        <f ca="1">IF(AND(ISNUMBER(tblData[SKorea]),tblData[Date]&gt;StartDt2SKorea),(tblData[SKorea]-AVERAGE(tblData[SKorea]))^2,"")</f>
        <v/>
      </c>
      <c r="BK23" s="11">
        <f>tblData[[#This Row],[Date]]-SKorea100dt+1</f>
        <v>-18</v>
      </c>
      <c r="BL23" s="137">
        <f ca="1">IF(AND(tblData[Date]&gt;StartDt2UK,ISNUMBER(tblData[Days'# UK])),betaUK/(deltaUK+betaPodeltaUK*EXP(-betaUK*tblData[Days'# UK])),"")</f>
        <v>0.20678905234951164</v>
      </c>
      <c r="BM23" s="11">
        <f ca="1">IF(AND(tblData[Date]&gt;StartDt2UK,ISNUMBER(tblData[UK])),(tblData[[#This Row],[UK LogiP(t)]]-tblData[[#This Row],[UK]])^2,"")</f>
        <v>3.2156055027735624</v>
      </c>
      <c r="BN23" s="11">
        <f ca="1">IF(ISNUMBER(tblData[Days'# UK]),tblData[[#This Row],[UK LogiP(t)]]/$BL$9,"")</f>
        <v>3.1124180064646543E-2</v>
      </c>
      <c r="BO23" s="137">
        <f ca="1">IF(AND(ISNUMBER(tblData[UK]),tblData[Date]&gt;StartDt2UK),(tblData[UK]-AVERAGE(tblData[UK]))^2,"")</f>
        <v>9627722.4489795901</v>
      </c>
      <c r="BP23" s="11">
        <f>tblData[[#This Row],[Date]]-UK100dt</f>
        <v>-38</v>
      </c>
      <c r="BQ23" s="11">
        <f ca="1">IF(ISNUMBER(tblData[Days'# China]),betaChina/(deltaChina+betaPodeltaChina*EXP(-betaChina*tblData[Days'# China])),"")</f>
        <v>17670.587001996166</v>
      </c>
      <c r="BR23" s="11">
        <f ca="1">IF(ISNUMBER(tblData[China]),(tblData[[#This Row],[China LogiP(t)]]-tblData[[#This Row],[China]])^2,"")</f>
        <v>4183714.332403033</v>
      </c>
      <c r="BS23" s="11">
        <f ca="1">tblData[[#This Row],[China LogiP(t)]]/$BQ$9</f>
        <v>122.77006255746147</v>
      </c>
      <c r="BT23" s="137">
        <f ca="1">IF(AND(ISNUMBER(tblData[China]),tblData[Date]&gt;StartDt2China),(tblData[China]-AVERAGE(tblData[China]))^2,"")</f>
        <v>1633207153.818687</v>
      </c>
      <c r="BU23" s="11">
        <f>tblData[[#This Row],[Date]]-China100dt</f>
        <v>12</v>
      </c>
      <c r="BV23" s="106" t="str">
        <f>IF(ISNUMBER(tblData[Day'# Singapore]),betaSingapore/(deltaSingapore+betaPodeltaSingapore*EXP(-betaSingapore*tblData[Day'# Singapore])),"")</f>
        <v/>
      </c>
      <c r="BW23" s="11" t="str">
        <f>IF(AND(ISNUMBER(tblData[Singapore]),tblData[Date]&gt;=StartDt2Singapore),(tblData[[#This Row],[Singapore LogiP(t)]]-tblData[[#This Row],[Singapore]])^2,"")</f>
        <v/>
      </c>
      <c r="BX23" s="106" t="str">
        <f>IF(ISNUMBER(tblData[Day'# Singapore]),tblData[Singapore LogiP(t)]/$BV$9,"")</f>
        <v/>
      </c>
      <c r="BY23" s="106" t="str">
        <f>IF(AND(ISNUMBER(tblData[Singapore]),tblData[Date]&gt;StartDt2Singapore),(tblData[Singapore]-AVERAGE(tblData[Singapore]))^2,"")</f>
        <v/>
      </c>
      <c r="BZ23" s="11">
        <f>tblData[[#This Row],[Date]]-Singapore100dt+1</f>
        <v>-7</v>
      </c>
      <c r="CA23" s="11">
        <f ca="1">IF(AND(tblData[Date]&gt;StartDt2Generic,ISNUMBER(tblData[Day'# Generic])),betaGeneric/(deltaGeneric+betaPodeltaGeneric*EXP(-betaGeneric*tblData[Day'# Generic])),"")</f>
        <v>1.0617768538057541E-2</v>
      </c>
      <c r="CB23" s="106" t="str">
        <f ca="1">IF(AND(ISNUMBER(tblData[Generic]),tblData[Date]&gt;StartDt2Generic),(tblData[Generic LogiP(t)]-tblData[[#This Row],[Generic]])^2,"")</f>
        <v/>
      </c>
      <c r="CC23" s="11" t="str">
        <f ca="1">IF(AND(ISNUMBER(tblData[Generic]),tblData[Date]&gt;StartDt2Generic),tblData[Generic LogiP(t)]/$CA$9,"")</f>
        <v/>
      </c>
      <c r="CD23" s="106" t="str">
        <f ca="1">IF(AND(ISNUMBER(tblData[Generic]),tblData[Date]&gt;StartDt2Generic),(tblData[Generic]-AVERAGE(tblData[Generic]))^2,"")</f>
        <v/>
      </c>
      <c r="CE23" s="11">
        <f>tblData[[#This Row],[Date]]-Generic100dt+1</f>
        <v>-46</v>
      </c>
      <c r="CG23" s="11"/>
      <c r="CH23" s="11" t="str">
        <f>IF(ISNUMBER(tblData[[#This Row],[Tests]]),tblData[[#This Row],[Tests]]-CH22,"")</f>
        <v/>
      </c>
      <c r="CI23" s="11" t="str">
        <f>IF(ISNUMBER(tblData[[#This Row],[NSW Under Investigation'']]),tblData[[#This Row],[NSW Under Investigation'']]-CG22,"")</f>
        <v/>
      </c>
      <c r="CJ23" s="11"/>
      <c r="CK23" s="11" t="str">
        <f>IF(AND(tblData[[#This Row],[NSW Test Day Number]]&gt;0,ISNUMBER(tblData[[#This Row],[NSW Test Day Number]])),betaTests/(deltaTests+betaPodeltaTests*EXP(-betaTests*tblData[[#This Row],[NSW Test Day Number]])),"")</f>
        <v/>
      </c>
      <c r="CL23" s="11" t="str">
        <f>IF(tblData[Tests]&gt;0,(tblData[[#This Row],[Tests]]-tblData[[#This Row],[NSW Test Logi]])^2,"")</f>
        <v/>
      </c>
      <c r="CM23" s="106" t="str">
        <f>IF(AND(ISNUMBER(tblData[Tests]),tblData[Date]&gt;StartDt2Tests),(tblData[Tests]-AVERAGE(tblData[Tests]))^2,"")</f>
        <v/>
      </c>
      <c r="CN23" s="11" t="str">
        <f>IF(ISNUMBER(tblData[Tests]),tblData[Tests]/$CN$9/100,"")</f>
        <v/>
      </c>
      <c r="CO23" s="11" t="str">
        <f>IF(AND(tblData[[#This Row],[NSW Test Day Number]]&gt;0,ISNUMBER(tblData[[#This Row],[NSW Test Day Number]])),TestsLogestB*TestsLogestM^tblData[[#This Row],[NSW Test Day Number]],"")</f>
        <v/>
      </c>
      <c r="CP23" s="11" t="str">
        <f>IF(AND(tblData[[#This Row],[NSW Test Day Number]]&gt;0,ISNUMBER(tblData[Tests])),(tblData[Tests]-tblData[[#This Row],[NSW Test Per Capita]])^2,"")</f>
        <v/>
      </c>
      <c r="CQ23" s="39">
        <f ca="1">IF(AND(tblData[Day '# NSW]&gt;0,ISNUMBER(tblData[[#This Row],[Day '# NSW]])),NSWLogestB*NSWLogestM^tblData[[#This Row],[Day '# NSW]]/$CR$9,"")</f>
        <v>2.6009537170803902</v>
      </c>
      <c r="CR23" s="39">
        <f ca="1">IF(AND(ISNUMBER(tblData[NSW]),tblData[Date]&gt;StartDt2NSW),(tblData[NSW]/$CR$9-tblData[[#This Row],[NSW Cases LogEst]])^2,"")</f>
        <v>5.5203444727713773</v>
      </c>
      <c r="CS23" s="11"/>
      <c r="CT23" s="11"/>
      <c r="CU23" s="26"/>
      <c r="CW23" s="25"/>
      <c r="CX23"/>
      <c r="DK23" s="25"/>
      <c r="DL23" s="25"/>
      <c r="DM23" s="25"/>
      <c r="DR23"/>
      <c r="DS23"/>
      <c r="DT23"/>
      <c r="DU23"/>
      <c r="EB23" s="25"/>
      <c r="EC23" s="25"/>
      <c r="ED23" s="25"/>
      <c r="EE23" s="25"/>
      <c r="EK23"/>
      <c r="EL23"/>
      <c r="EM23"/>
      <c r="EN23"/>
      <c r="EO23"/>
      <c r="EP23"/>
      <c r="EQ23"/>
      <c r="ER23"/>
      <c r="ES23"/>
      <c r="ET23"/>
      <c r="EU23" s="26" t="s">
        <v>48</v>
      </c>
      <c r="EV23" s="69">
        <v>43914.45108796296</v>
      </c>
      <c r="EW23" s="26">
        <v>43855</v>
      </c>
      <c r="EX23" s="26">
        <v>43855</v>
      </c>
      <c r="EY23" s="25">
        <v>0</v>
      </c>
      <c r="EZ23" s="25">
        <v>0.21628365962159252</v>
      </c>
      <c r="FA23" s="25">
        <v>1.4253070268900137E-5</v>
      </c>
      <c r="FB23" s="21">
        <v>6.440673502432822E-3</v>
      </c>
      <c r="FC23" s="82">
        <v>15174.531209147151</v>
      </c>
      <c r="FD23" s="82">
        <v>20.170498206159532</v>
      </c>
      <c r="FE23" s="25">
        <v>33.580893013832195</v>
      </c>
      <c r="FF23" s="84">
        <v>1.4253070268900136E-2</v>
      </c>
      <c r="FG23" s="26">
        <v>43914</v>
      </c>
      <c r="FH23" s="25" t="s">
        <v>1347</v>
      </c>
      <c r="FI23" s="84">
        <v>15174.531209147151</v>
      </c>
      <c r="FJ23" s="84">
        <v>1886</v>
      </c>
      <c r="FK23" s="25" t="s">
        <v>1348</v>
      </c>
      <c r="FL23" s="26">
        <v>43914</v>
      </c>
      <c r="FM23" s="25">
        <v>60</v>
      </c>
      <c r="FN23" s="25" t="s">
        <v>1349</v>
      </c>
      <c r="FO23" s="25"/>
      <c r="FP23" s="25" t="s">
        <v>1350</v>
      </c>
      <c r="FR23" s="72" t="s">
        <v>1351</v>
      </c>
      <c r="FS23" s="19">
        <v>743.57356883772275</v>
      </c>
      <c r="FT23" s="72"/>
      <c r="FU23" s="25"/>
      <c r="FV23" s="25"/>
      <c r="FW23" s="25"/>
      <c r="FX23" s="25" t="s">
        <v>1346</v>
      </c>
      <c r="FY23" s="25"/>
      <c r="FZ23" s="25"/>
      <c r="GA23" s="25"/>
      <c r="GB23" s="25"/>
    </row>
    <row r="24" spans="2:185" x14ac:dyDescent="0.25">
      <c r="B24" s="1">
        <v>43865</v>
      </c>
      <c r="C24">
        <v>0</v>
      </c>
      <c r="D24" s="25">
        <v>0</v>
      </c>
      <c r="E24">
        <v>4</v>
      </c>
      <c r="F24">
        <v>0</v>
      </c>
      <c r="G24">
        <v>3</v>
      </c>
      <c r="H24">
        <v>2</v>
      </c>
      <c r="I24">
        <v>0</v>
      </c>
      <c r="J24">
        <v>4</v>
      </c>
      <c r="K24">
        <v>0</v>
      </c>
      <c r="L24" s="12">
        <f>IF(ISNUMBER(tblData[[#This Row],[NSW]]),tblData[[#This Row],[New South Wales]]/$L$9,"")</f>
        <v>4.9504950495049505</v>
      </c>
      <c r="M24" s="25">
        <v>2</v>
      </c>
      <c r="N24" s="44">
        <f>IF(ISNUMBER(tblData[Italy]),tblData[Italy]/$N$9,"")</f>
        <v>0.33066049433743905</v>
      </c>
      <c r="O24">
        <v>11</v>
      </c>
      <c r="P24" s="106">
        <f>IF(ISNUMBER(tblData[US]),tblData[US]/$P$9,"")</f>
        <v>0.33411521761595392</v>
      </c>
      <c r="Q24">
        <v>16</v>
      </c>
      <c r="R24" s="19">
        <f>IF(ISNUMBER(tblData[SKorea]),tblData[SKorea]/$R$9,"")</f>
        <v>3.1128404669260701</v>
      </c>
      <c r="S24">
        <v>2</v>
      </c>
      <c r="T24" s="12">
        <f>IF(ISNUMBER(tblData[UK]),tblData[UK]/$T$9,"")</f>
        <v>0.30102347983142685</v>
      </c>
      <c r="U24">
        <v>23707</v>
      </c>
      <c r="V24" s="20">
        <f>IF(ISNUMBER(tblData[China]),tblData[China]/$V$9,"")</f>
        <v>164.7092919279338</v>
      </c>
      <c r="W24">
        <v>24</v>
      </c>
      <c r="X24" s="20">
        <f>IF(ISNUMBER(tblData[Singapore]),tblData[Singapore]/$X$9,"")</f>
        <v>41.025641025641029</v>
      </c>
      <c r="Y24"/>
      <c r="Z24" s="20" t="str">
        <f>IF(AND(LEN(tblData[Generic])&gt;0,ISNUMBER(tblData[Generic])),tblData[Generic]/$Z$9,"")</f>
        <v/>
      </c>
      <c r="AA24" s="25">
        <f ca="1">IF(tblData[[#This Row],[Date]]&lt;StartDt2Italy,"",tblData[[#This Row],[Date]]-ItalyStart)</f>
        <v>5</v>
      </c>
      <c r="AB24" s="25">
        <f ca="1">IF(tblData[[#This Row],[Date]]&lt;=StartDt2US,"",tblData[[#This Row],[Date]]-USStart)</f>
        <v>13</v>
      </c>
      <c r="AC24" s="25">
        <f ca="1">IF(tblData[[#This Row],[Date]]&lt;StartDt2China,"",tblData[[#This Row],[Date]]-ChinaStart)</f>
        <v>13</v>
      </c>
      <c r="AD24" s="25">
        <f>IF(tblData[[#This Row],[Date]]&lt;=SKoreaStart,"",tblData[[#This Row],[Date]]-SKoreaStart)</f>
        <v>13</v>
      </c>
      <c r="AE24" s="25">
        <f ca="1">IF(tblData[[#This Row],[Date]]&lt;=StartDt2UK,"",tblData[[#This Row],[Date]]-UKStart)</f>
        <v>5</v>
      </c>
      <c r="AF24" s="25" t="str">
        <f>IF(tblData[[#This Row],[Date]]&lt;StartDt2Singapore,"",tblData[[#This Row],[Date]]-SingaporeStart)</f>
        <v/>
      </c>
      <c r="AG24" s="25">
        <f ca="1">IF(tblData[[#This Row],[Date]]&lt;StartDt2Generic,"",tblData[[#This Row],[Date]]-GenericStart)</f>
        <v>13</v>
      </c>
      <c r="AH24">
        <f ca="1">IF(tblData[Date]&gt;StartDt2Au,tblData[Date]-AuStart,"")</f>
        <v>10</v>
      </c>
      <c r="AI24" s="25">
        <f>IF(tblData[New South Wales]&gt;=0,SUM(tblData[[#This Row],[Australian Capital Territory]:[Western Australia]]),"")</f>
        <v>13</v>
      </c>
      <c r="AJ24" s="12">
        <f>IF(ISNUMBER(tblData[Au]),tblData[Au]/$AE$9,"")</f>
        <v>5.1253745466014822</v>
      </c>
      <c r="AK24" s="19">
        <f ca="1">IF(ISNUMBER(tblData[[#This Row],[Day'# Aust]]),betaAu/(deltaAu+betaPodeltaAu*EXP(-betaAu*tblData[[#This Row],[Day'# Aust]])),"")</f>
        <v>1.2563693789069139E-2</v>
      </c>
      <c r="AL24" s="62">
        <f ca="1">IF(ISNUMBER(tblData[Day'# Aust]),tblData[Au LogiP(t)]/$AJ$9,"")</f>
        <v>4.9533566429069307E-3</v>
      </c>
      <c r="AM24" s="11">
        <f ca="1">IF(AND(tblData[Date]&gt;StartDt2Au,ISNUMBER(tblData[NSW])),(tblData[[#This Row],[Au LogiP(t)]]-tblData[[#This Row],[Au]])^2,"")</f>
        <v>168.67350180788583</v>
      </c>
      <c r="AN24" s="11">
        <f ca="1">IF(AND(ISNUMBER(tblData[Au]),tblData[Date]&gt;StartDt2Au),(tblData[Au]-AVERAGE(tblData[Au]))^2,"")</f>
        <v>185206.08811020709</v>
      </c>
      <c r="AO24" s="11">
        <f>tblData[[#This Row],[Date]]-Au100dt</f>
        <v>-39</v>
      </c>
      <c r="AP24">
        <f ca="1">IF(tblData[Date]&gt;StartDt2NSW,tblData[Date]-StartDt2NSW,"")</f>
        <v>10</v>
      </c>
      <c r="AQ24" s="25">
        <f>IF(tblData[[#This Row],[New South Wales]]&gt;0,tblData[[#This Row],[New South Wales]],"")</f>
        <v>4</v>
      </c>
      <c r="AR24" s="44">
        <f ca="1">IF(tblData[Date]&gt;StartDt2NSW,betaNSW/(deltaNSW+betaPodeltaNSW*EXP(-betaNSW*tblData[[#This Row],[Day '# NSW]])),"")</f>
        <v>1.0783285459895795E-2</v>
      </c>
      <c r="AS24" s="12">
        <f ca="1">IF(AND(ISNUMBER(tblData[NSW]),tblData[Date]&gt;StartDt2NSW),(tblData[[#This Row],[NSW LogiP(t)]]-tblData[[#This Row],[NSW]])^2,"")</f>
        <v>15.913849995566144</v>
      </c>
      <c r="AT24" s="12">
        <f ca="1">IF(AND(tblData[Date]&gt;StartDt2NSW,ISNUMBER(tblData[Day'# Aust])),tblData[NSW LogiP(t)]/$AR$9,"")</f>
        <v>1.3345650321653212E-2</v>
      </c>
      <c r="AU24" s="11">
        <f>tblData[[#This Row],[Date]]-NSW100dt+1</f>
        <v>-35</v>
      </c>
      <c r="AV24" s="11">
        <f ca="1">IF(AND(ISNUMBER(tblData[NSW]),tblData[Date]&gt;StartDt2NSW),(tblData[NSW]-AVERAGE(tblData[NSW]))^2,"")</f>
        <v>83990.760134425553</v>
      </c>
      <c r="AW24" s="39">
        <f ca="1">IF(AND(tblData[Date]&gt;StartDt2Italy,ISNUMBER(tblData[Days'# Italy])),betaItaly/(deltaItaly+betaPodeltaItaly*EXP(-betaItaly*tblData[Days'# Italy])),"")</f>
        <v>1.599044708795627</v>
      </c>
      <c r="AX24" s="11">
        <f ca="1">IF(AND(tblData[Date]&gt;StartDt2Italy,ISNUMBER(tblData[Italy])),(tblData[[#This Row],[Italy LogiP(t)]]-tblData[[#This Row],[Italy]])^2,"")</f>
        <v>0.16076514554478355</v>
      </c>
      <c r="AY24" s="39">
        <f ca="1">IF(AND(tblData[Date]&gt;StartDt2Italy,ISNUMBER(tblData[Days'# Italy])),tblData[[#This Row],[Italy LogiP(t)]]/$AW$9,"")</f>
        <v>0.26437045693901412</v>
      </c>
      <c r="AZ24" s="39">
        <f ca="1">IF(AND(ISNUMBER(tblData[Italy]),tblData[Date]&gt;StartDt2Italy),(tblData[Italy]-AVERAGE(tblData[Italy]))^2,"")</f>
        <v>440025205.93827158</v>
      </c>
      <c r="BA24" s="11">
        <f>tblData[[#This Row],[Date]]-Italy100dt+1</f>
        <v>-22</v>
      </c>
      <c r="BB24" s="11">
        <f ca="1">IF(AND(tblData[Date]&gt;StartDt2US,ISNUMBER(tblData[[#This Row],[Days'# US]])),betaUS/(deltaUS+betaPodeltaUS*EXP(-betaUS*tblData[Days'# US])),"")</f>
        <v>4.0004772279694838E-2</v>
      </c>
      <c r="BC24" s="11">
        <f ca="1">IF(AND(tblData[Date]&gt;StartDt2US,ISNUMBER(tblData[US])),(tblData[[#This Row],[US LogiP(t)]]-tblData[US])^2,"")</f>
        <v>120.12149539165188</v>
      </c>
      <c r="BD24" s="137">
        <f ca="1">IF(AND(tblData[Date]&gt;=StartDt2US,ISNUMBER(tblData[[#This Row],[Days'# US]])),tblData[[#This Row],[US LogiP(t)]]/$BB$9,"")</f>
        <v>1.2151093814460839E-3</v>
      </c>
      <c r="BE24" s="137">
        <f ca="1">IF(AND(ISNUMBER(tblData[US]),tblData[Date]&gt;StartDt2US),(tblData[US]-AVERAGE(tblData[US]))^2,"")</f>
        <v>335023525.98313826</v>
      </c>
      <c r="BF24" s="11">
        <f>tblData[[#This Row],[Date]]-US100dt+1</f>
        <v>-38</v>
      </c>
      <c r="BG24" s="11" t="str">
        <f ca="1">IF(tblData[Date]&gt;StartDt2SKorea,betaSKorea/(deltaSKorea+betaPodeltaSKorea*EXP(-betaSKorea*(tblData[Date]-StartDt2SKorea))),"")</f>
        <v/>
      </c>
      <c r="BH24" s="11" t="str">
        <f ca="1">IF(AND(tblData[Date]&gt;StartDt2SKorea,ISNUMBER(tblData[SKorea])),(tblData[[#This Row],[SKorea LogiP(t)]]-tblData[[#This Row],[SKorea]])^2,"")</f>
        <v/>
      </c>
      <c r="BI24" s="11" t="str">
        <f ca="1">IF(tblData[Date]&gt;StartDt2SKorea,tblData[[#This Row],[SKorea LogiP(t)]]/$BG$9,"")</f>
        <v/>
      </c>
      <c r="BJ24" s="137" t="str">
        <f ca="1">IF(AND(ISNUMBER(tblData[SKorea]),tblData[Date]&gt;StartDt2SKorea),(tblData[SKorea]-AVERAGE(tblData[SKorea]))^2,"")</f>
        <v/>
      </c>
      <c r="BK24" s="11">
        <f>tblData[[#This Row],[Date]]-SKorea100dt+1</f>
        <v>-17</v>
      </c>
      <c r="BL24" s="137">
        <f ca="1">IF(AND(tblData[Date]&gt;StartDt2UK,ISNUMBER(tblData[Days'# UK])),betaUK/(deltaUK+betaPodeltaUK*EXP(-betaUK*tblData[Days'# UK])),"")</f>
        <v>0.25605041214201724</v>
      </c>
      <c r="BM24" s="11">
        <f ca="1">IF(AND(tblData[Date]&gt;StartDt2UK,ISNUMBER(tblData[UK])),(tblData[[#This Row],[UK LogiP(t)]]-tblData[[#This Row],[UK]])^2,"")</f>
        <v>3.0413601649900279</v>
      </c>
      <c r="BN24" s="11">
        <f ca="1">IF(ISNUMBER(tblData[Days'# UK]),tblData[[#This Row],[UK LogiP(t)]]/$BL$9,"")</f>
        <v>3.8538593037630527E-2</v>
      </c>
      <c r="BO24" s="137">
        <f ca="1">IF(AND(ISNUMBER(tblData[UK]),tblData[Date]&gt;StartDt2UK),(tblData[UK]-AVERAGE(tblData[UK]))^2,"")</f>
        <v>9627722.4489795901</v>
      </c>
      <c r="BP24" s="11">
        <f>tblData[[#This Row],[Date]]-UK100dt</f>
        <v>-37</v>
      </c>
      <c r="BQ24" s="11">
        <f ca="1">IF(ISNUMBER(tblData[Days'# China]),betaChina/(deltaChina+betaPodeltaChina*EXP(-betaChina*tblData[Days'# China])),"")</f>
        <v>20913.384463026068</v>
      </c>
      <c r="BR24" s="11">
        <f ca="1">IF(ISNUMBER(tblData[China]),(tblData[[#This Row],[China LogiP(t)]]-tblData[[#This Row],[China]])^2,"")</f>
        <v>7804287.7684221491</v>
      </c>
      <c r="BS24" s="11">
        <f ca="1">tblData[[#This Row],[China LogiP(t)]]/$BQ$9</f>
        <v>145.30006946141123</v>
      </c>
      <c r="BT24" s="137">
        <f ca="1">IF(AND(ISNUMBER(tblData[China]),tblData[Date]&gt;StartDt2China),(tblData[China]-AVERAGE(tblData[China]))^2,"")</f>
        <v>1326559006.0862925</v>
      </c>
      <c r="BU24" s="11">
        <f>tblData[[#This Row],[Date]]-China100dt</f>
        <v>13</v>
      </c>
      <c r="BV24" s="106" t="str">
        <f>IF(ISNUMBER(tblData[Day'# Singapore]),betaSingapore/(deltaSingapore+betaPodeltaSingapore*EXP(-betaSingapore*tblData[Day'# Singapore])),"")</f>
        <v/>
      </c>
      <c r="BW24" s="11" t="str">
        <f>IF(AND(ISNUMBER(tblData[Singapore]),tblData[Date]&gt;=StartDt2Singapore),(tblData[[#This Row],[Singapore LogiP(t)]]-tblData[[#This Row],[Singapore]])^2,"")</f>
        <v/>
      </c>
      <c r="BX24" s="106" t="str">
        <f>IF(ISNUMBER(tblData[Day'# Singapore]),tblData[Singapore LogiP(t)]/$BV$9,"")</f>
        <v/>
      </c>
      <c r="BY24" s="106" t="str">
        <f>IF(AND(ISNUMBER(tblData[Singapore]),tblData[Date]&gt;StartDt2Singapore),(tblData[Singapore]-AVERAGE(tblData[Singapore]))^2,"")</f>
        <v/>
      </c>
      <c r="BZ24" s="11">
        <f>tblData[[#This Row],[Date]]-Singapore100dt+1</f>
        <v>-6</v>
      </c>
      <c r="CA24" s="11">
        <f ca="1">IF(AND(tblData[Date]&gt;StartDt2Generic,ISNUMBER(tblData[Day'# Generic])),betaGeneric/(deltaGeneric+betaPodeltaGeneric*EXP(-betaGeneric*tblData[Day'# Generic])),"")</f>
        <v>1.2928133857667039E-2</v>
      </c>
      <c r="CB24" s="106" t="str">
        <f ca="1">IF(AND(ISNUMBER(tblData[Generic]),tblData[Date]&gt;StartDt2Generic),(tblData[Generic LogiP(t)]-tblData[[#This Row],[Generic]])^2,"")</f>
        <v/>
      </c>
      <c r="CC24" s="11" t="str">
        <f ca="1">IF(AND(ISNUMBER(tblData[Generic]),tblData[Date]&gt;StartDt2Generic),tblData[Generic LogiP(t)]/$CA$9,"")</f>
        <v/>
      </c>
      <c r="CD24" s="106" t="str">
        <f ca="1">IF(AND(ISNUMBER(tblData[Generic]),tblData[Date]&gt;StartDt2Generic),(tblData[Generic]-AVERAGE(tblData[Generic]))^2,"")</f>
        <v/>
      </c>
      <c r="CE24" s="11">
        <f>tblData[[#This Row],[Date]]-Generic100dt+1</f>
        <v>-45</v>
      </c>
      <c r="CG24" s="11"/>
      <c r="CH24" s="11" t="str">
        <f>IF(ISNUMBER(tblData[[#This Row],[Tests]]),tblData[[#This Row],[Tests]]-CH23,"")</f>
        <v/>
      </c>
      <c r="CI24" s="11" t="str">
        <f>IF(ISNUMBER(tblData[[#This Row],[NSW Under Investigation'']]),tblData[[#This Row],[NSW Under Investigation'']]-CG23,"")</f>
        <v/>
      </c>
      <c r="CJ24" s="11"/>
      <c r="CK24" s="11" t="str">
        <f>IF(AND(tblData[[#This Row],[NSW Test Day Number]]&gt;0,ISNUMBER(tblData[[#This Row],[NSW Test Day Number]])),betaTests/(deltaTests+betaPodeltaTests*EXP(-betaTests*tblData[[#This Row],[NSW Test Day Number]])),"")</f>
        <v/>
      </c>
      <c r="CL24" s="11" t="str">
        <f>IF(tblData[Tests]&gt;0,(tblData[[#This Row],[Tests]]-tblData[[#This Row],[NSW Test Logi]])^2,"")</f>
        <v/>
      </c>
      <c r="CM24" s="106" t="str">
        <f>IF(AND(ISNUMBER(tblData[Tests]),tblData[Date]&gt;StartDt2Tests),(tblData[Tests]-AVERAGE(tblData[Tests]))^2,"")</f>
        <v/>
      </c>
      <c r="CN24" s="11" t="str">
        <f>IF(ISNUMBER(tblData[Tests]),tblData[Tests]/$CN$9/100,"")</f>
        <v/>
      </c>
      <c r="CO24" s="11" t="str">
        <f>IF(AND(tblData[[#This Row],[NSW Test Day Number]]&gt;0,ISNUMBER(tblData[[#This Row],[NSW Test Day Number]])),TestsLogestB*TestsLogestM^tblData[[#This Row],[NSW Test Day Number]],"")</f>
        <v/>
      </c>
      <c r="CP24" s="11" t="str">
        <f>IF(AND(tblData[[#This Row],[NSW Test Day Number]]&gt;0,ISNUMBER(tblData[Tests])),(tblData[Tests]-tblData[[#This Row],[NSW Test Per Capita]])^2,"")</f>
        <v/>
      </c>
      <c r="CQ24" s="39">
        <f ca="1">IF(AND(tblData[Day '# NSW]&gt;0,ISNUMBER(tblData[[#This Row],[Day '# NSW]])),NSWLogestB*NSWLogestM^tblData[[#This Row],[Day '# NSW]]/$CR$9,"")</f>
        <v>2.8947024998869866</v>
      </c>
      <c r="CR24" s="39">
        <f ca="1">IF(AND(ISNUMBER(tblData[NSW]),tblData[Date]&gt;StartDt2NSW),(tblData[NSW]/$CR$9-tblData[[#This Row],[NSW Cases LogEst]])^2,"")</f>
        <v>4.2262830070647288</v>
      </c>
      <c r="CS24" s="11"/>
      <c r="CT24" s="11"/>
      <c r="CU24" s="26"/>
      <c r="CW24" s="25"/>
      <c r="CX24"/>
      <c r="DK24" s="25"/>
      <c r="DL24" s="25"/>
      <c r="DM24" s="25"/>
      <c r="DR24"/>
      <c r="DS24"/>
      <c r="DT24"/>
      <c r="DU24"/>
      <c r="EB24" s="25"/>
      <c r="EC24" s="25"/>
      <c r="ED24" s="25"/>
      <c r="EE24" s="25"/>
      <c r="EK24"/>
      <c r="EL24"/>
      <c r="EM24"/>
      <c r="EN24"/>
      <c r="EO24"/>
      <c r="EP24"/>
      <c r="EQ24"/>
      <c r="ER24"/>
      <c r="ES24"/>
      <c r="ET24"/>
      <c r="EU24" s="26" t="s">
        <v>48</v>
      </c>
      <c r="EV24" s="69">
        <v>43914.46266203704</v>
      </c>
      <c r="EW24" s="26">
        <v>43855</v>
      </c>
      <c r="EX24" s="26">
        <v>43855</v>
      </c>
      <c r="EY24" s="25">
        <v>0</v>
      </c>
      <c r="EZ24" s="25">
        <v>0.2267210961509846</v>
      </c>
      <c r="FA24" s="25">
        <v>2.3593825272637381E-5</v>
      </c>
      <c r="FB24" s="21">
        <v>3.7861973773528883E-3</v>
      </c>
      <c r="FC24" s="82">
        <v>9609.3403054027585</v>
      </c>
      <c r="FD24" s="82">
        <v>19.856217518584224</v>
      </c>
      <c r="FE24" s="25">
        <v>59.880926487413269</v>
      </c>
      <c r="FF24" s="84">
        <v>2.359382527263738E-2</v>
      </c>
      <c r="FG24" s="26">
        <v>43914</v>
      </c>
      <c r="FH24" s="25" t="s">
        <v>1352</v>
      </c>
      <c r="FI24" s="84">
        <v>9609.3403054027585</v>
      </c>
      <c r="FJ24" s="84">
        <v>1886</v>
      </c>
      <c r="FK24" s="84" t="s">
        <v>1353</v>
      </c>
      <c r="FL24" s="26">
        <v>43914</v>
      </c>
      <c r="FM24" s="25">
        <v>60</v>
      </c>
      <c r="FN24" s="25" t="s">
        <v>1354</v>
      </c>
      <c r="FO24" s="25"/>
      <c r="FP24" s="25" t="s">
        <v>1355</v>
      </c>
      <c r="FR24" s="25" t="s">
        <v>1356</v>
      </c>
      <c r="FS24" s="19">
        <v>743.57356883772275</v>
      </c>
      <c r="FT24" s="72"/>
      <c r="FU24" s="25"/>
      <c r="FV24" s="25"/>
      <c r="FW24" s="25"/>
      <c r="FX24" s="25" t="s">
        <v>1346</v>
      </c>
      <c r="FY24" s="25"/>
      <c r="FZ24" s="25"/>
      <c r="GA24" s="25"/>
    </row>
    <row r="25" spans="2:185" ht="18.75" customHeight="1" x14ac:dyDescent="0.25">
      <c r="B25" s="1">
        <v>43866</v>
      </c>
      <c r="C25">
        <v>0</v>
      </c>
      <c r="D25" s="25">
        <v>0</v>
      </c>
      <c r="E25">
        <v>4</v>
      </c>
      <c r="F25">
        <v>0</v>
      </c>
      <c r="G25">
        <v>3</v>
      </c>
      <c r="H25">
        <v>2</v>
      </c>
      <c r="I25">
        <v>0</v>
      </c>
      <c r="J25">
        <v>4</v>
      </c>
      <c r="K25">
        <v>0</v>
      </c>
      <c r="L25" s="12">
        <f>IF(ISNUMBER(tblData[[#This Row],[NSW]]),tblData[[#This Row],[New South Wales]]/$L$9,"")</f>
        <v>4.9504950495049505</v>
      </c>
      <c r="M25" s="25">
        <v>2</v>
      </c>
      <c r="N25" s="44">
        <f>IF(ISNUMBER(tblData[Italy]),tblData[Italy]/$N$9,"")</f>
        <v>0.33066049433743905</v>
      </c>
      <c r="O25">
        <v>11</v>
      </c>
      <c r="P25" s="106">
        <f>IF(ISNUMBER(tblData[US]),tblData[US]/$P$9,"")</f>
        <v>0.33411521761595392</v>
      </c>
      <c r="Q25">
        <v>19</v>
      </c>
      <c r="R25" s="19">
        <f>IF(ISNUMBER(tblData[SKorea]),tblData[SKorea]/$R$9,"")</f>
        <v>3.6964980544747084</v>
      </c>
      <c r="S25">
        <v>2</v>
      </c>
      <c r="T25" s="12">
        <f>IF(ISNUMBER(tblData[UK]),tblData[UK]/$T$9,"")</f>
        <v>0.30102347983142685</v>
      </c>
      <c r="U25">
        <v>27440</v>
      </c>
      <c r="V25" s="20">
        <f>IF(ISNUMBER(tblData[China]),tblData[China]/$V$9,"")</f>
        <v>190.64508248629113</v>
      </c>
      <c r="W25">
        <v>28</v>
      </c>
      <c r="X25" s="20">
        <f>IF(ISNUMBER(tblData[Singapore]),tblData[Singapore]/$X$9,"")</f>
        <v>47.863247863247864</v>
      </c>
      <c r="Y25"/>
      <c r="Z25" s="20" t="str">
        <f>IF(AND(LEN(tblData[Generic])&gt;0,ISNUMBER(tblData[Generic])),tblData[Generic]/$Z$9,"")</f>
        <v/>
      </c>
      <c r="AA25" s="25">
        <f ca="1">IF(tblData[[#This Row],[Date]]&lt;StartDt2Italy,"",tblData[[#This Row],[Date]]-ItalyStart)</f>
        <v>6</v>
      </c>
      <c r="AB25" s="25">
        <f ca="1">IF(tblData[[#This Row],[Date]]&lt;=StartDt2US,"",tblData[[#This Row],[Date]]-USStart)</f>
        <v>14</v>
      </c>
      <c r="AC25" s="25">
        <f ca="1">IF(tblData[[#This Row],[Date]]&lt;StartDt2China,"",tblData[[#This Row],[Date]]-ChinaStart)</f>
        <v>14</v>
      </c>
      <c r="AD25" s="25">
        <f>IF(tblData[[#This Row],[Date]]&lt;=SKoreaStart,"",tblData[[#This Row],[Date]]-SKoreaStart)</f>
        <v>14</v>
      </c>
      <c r="AE25" s="25">
        <f ca="1">IF(tblData[[#This Row],[Date]]&lt;=StartDt2UK,"",tblData[[#This Row],[Date]]-UKStart)</f>
        <v>6</v>
      </c>
      <c r="AF25" s="25" t="str">
        <f>IF(tblData[[#This Row],[Date]]&lt;StartDt2Singapore,"",tblData[[#This Row],[Date]]-SingaporeStart)</f>
        <v/>
      </c>
      <c r="AG25" s="25">
        <f ca="1">IF(tblData[[#This Row],[Date]]&lt;StartDt2Generic,"",tblData[[#This Row],[Date]]-GenericStart)</f>
        <v>14</v>
      </c>
      <c r="AH25">
        <f ca="1">IF(tblData[Date]&gt;StartDt2Au,tblData[Date]-AuStart,"")</f>
        <v>11</v>
      </c>
      <c r="AI25" s="25">
        <f>IF(tblData[New South Wales]&gt;=0,SUM(tblData[[#This Row],[Australian Capital Territory]:[Western Australia]]),"")</f>
        <v>13</v>
      </c>
      <c r="AJ25" s="12">
        <f>IF(ISNUMBER(tblData[Au]),tblData[Au]/$AE$9,"")</f>
        <v>5.1253745466014822</v>
      </c>
      <c r="AK25" s="19">
        <f ca="1">IF(ISNUMBER(tblData[[#This Row],[Day'# Aust]]),betaAu/(deltaAu+betaPodeltaAu*EXP(-betaAu*tblData[[#This Row],[Day'# Aust]])),"")</f>
        <v>1.6181877315971697E-2</v>
      </c>
      <c r="AL25" s="62">
        <f ca="1">IF(ISNUMBER(tblData[Day'# Aust]),tblData[Au LogiP(t)]/$AJ$9,"")</f>
        <v>6.379860162423789E-3</v>
      </c>
      <c r="AM25" s="11">
        <f ca="1">IF(AND(tblData[Date]&gt;StartDt2Au,ISNUMBER(tblData[NSW])),(tblData[[#This Row],[Au LogiP(t)]]-tblData[[#This Row],[Au]])^2,"")</f>
        <v>168.57953304293818</v>
      </c>
      <c r="AN25" s="11">
        <f ca="1">IF(AND(ISNUMBER(tblData[Au]),tblData[Date]&gt;StartDt2Au),(tblData[Au]-AVERAGE(tblData[Au]))^2,"")</f>
        <v>185206.08811020709</v>
      </c>
      <c r="AO25" s="11">
        <f>tblData[[#This Row],[Date]]-Au100dt</f>
        <v>-38</v>
      </c>
      <c r="AP25">
        <f ca="1">IF(tblData[Date]&gt;StartDt2NSW,tblData[Date]-StartDt2NSW,"")</f>
        <v>11</v>
      </c>
      <c r="AQ25" s="25">
        <f>IF(tblData[[#This Row],[New South Wales]]&gt;0,tblData[[#This Row],[New South Wales]],"")</f>
        <v>4</v>
      </c>
      <c r="AR25" s="44">
        <f ca="1">IF(tblData[Date]&gt;StartDt2NSW,betaNSW/(deltaNSW+betaPodeltaNSW*EXP(-betaNSW*tblData[[#This Row],[Day '# NSW]])),"")</f>
        <v>1.3678105054379002E-2</v>
      </c>
      <c r="AS25" s="12">
        <f ca="1">IF(AND(ISNUMBER(tblData[NSW]),tblData[Date]&gt;StartDt2NSW),(tblData[[#This Row],[NSW LogiP(t)]]-tblData[[#This Row],[NSW]])^2,"")</f>
        <v>15.890762250122846</v>
      </c>
      <c r="AT25" s="12">
        <f ca="1">IF(AND(tblData[Date]&gt;StartDt2NSW,ISNUMBER(tblData[Day'# Aust])),tblData[NSW LogiP(t)]/$AR$9,"")</f>
        <v>1.6928347839577973E-2</v>
      </c>
      <c r="AU25" s="11">
        <f>tblData[[#This Row],[Date]]-NSW100dt+1</f>
        <v>-34</v>
      </c>
      <c r="AV25" s="11">
        <f ca="1">IF(AND(ISNUMBER(tblData[NSW]),tblData[Date]&gt;StartDt2NSW),(tblData[NSW]-AVERAGE(tblData[NSW]))^2,"")</f>
        <v>83990.760134425553</v>
      </c>
      <c r="AW25" s="39">
        <f ca="1">IF(AND(tblData[Date]&gt;StartDt2Italy,ISNUMBER(tblData[Days'# Italy])),betaItaly/(deltaItaly+betaPodeltaItaly*EXP(-betaItaly*tblData[Days'# Italy])),"")</f>
        <v>2.0668723186636142</v>
      </c>
      <c r="AX25" s="11">
        <f ca="1">IF(AND(tblData[Date]&gt;StartDt2Italy,ISNUMBER(tblData[Italy])),(tblData[[#This Row],[Italy LogiP(t)]]-tblData[[#This Row],[Italy]])^2,"")</f>
        <v>4.4719070034479648E-3</v>
      </c>
      <c r="AY25" s="39">
        <f ca="1">IF(AND(tblData[Date]&gt;StartDt2Italy,ISNUMBER(tblData[Days'# Italy])),tblData[[#This Row],[Italy LogiP(t)]]/$AW$9,"")</f>
        <v>0.34171651131083974</v>
      </c>
      <c r="AZ25" s="39">
        <f ca="1">IF(AND(ISNUMBER(tblData[Italy]),tblData[Date]&gt;StartDt2Italy),(tblData[Italy]-AVERAGE(tblData[Italy]))^2,"")</f>
        <v>440025205.93827158</v>
      </c>
      <c r="BA25" s="11">
        <f>tblData[[#This Row],[Date]]-Italy100dt+1</f>
        <v>-21</v>
      </c>
      <c r="BB25" s="11">
        <f ca="1">IF(AND(tblData[Date]&gt;StartDt2US,ISNUMBER(tblData[[#This Row],[Days'# US]])),betaUS/(deltaUS+betaPodeltaUS*EXP(-betaUS*tblData[Days'# US])),"")</f>
        <v>5.313138843555304E-2</v>
      </c>
      <c r="BC25" s="11">
        <f ca="1">IF(AND(tblData[Date]&gt;StartDt2US,ISNUMBER(tblData[US])),(tblData[[#This Row],[US LogiP(t)]]-tblData[US])^2,"")</f>
        <v>119.83393239885493</v>
      </c>
      <c r="BD25" s="137">
        <f ca="1">IF(AND(tblData[Date]&gt;=StartDt2US,ISNUMBER(tblData[[#This Row],[Days'# US]])),tblData[[#This Row],[US LogiP(t)]]/$BB$9,"")</f>
        <v>1.6138186735802347E-3</v>
      </c>
      <c r="BE25" s="137">
        <f ca="1">IF(AND(ISNUMBER(tblData[US]),tblData[Date]&gt;StartDt2US),(tblData[US]-AVERAGE(tblData[US]))^2,"")</f>
        <v>335023525.98313826</v>
      </c>
      <c r="BF25" s="11">
        <f>tblData[[#This Row],[Date]]-US100dt+1</f>
        <v>-37</v>
      </c>
      <c r="BG25" s="11" t="str">
        <f ca="1">IF(tblData[Date]&gt;StartDt2SKorea,betaSKorea/(deltaSKorea+betaPodeltaSKorea*EXP(-betaSKorea*(tblData[Date]-StartDt2SKorea))),"")</f>
        <v/>
      </c>
      <c r="BH25" s="11" t="str">
        <f ca="1">IF(AND(tblData[Date]&gt;StartDt2SKorea,ISNUMBER(tblData[SKorea])),(tblData[[#This Row],[SKorea LogiP(t)]]-tblData[[#This Row],[SKorea]])^2,"")</f>
        <v/>
      </c>
      <c r="BI25" s="11" t="str">
        <f ca="1">IF(tblData[Date]&gt;StartDt2SKorea,tblData[[#This Row],[SKorea LogiP(t)]]/$BG$9,"")</f>
        <v/>
      </c>
      <c r="BJ25" s="137" t="str">
        <f ca="1">IF(AND(ISNUMBER(tblData[SKorea]),tblData[Date]&gt;StartDt2SKorea),(tblData[SKorea]-AVERAGE(tblData[SKorea]))^2,"")</f>
        <v/>
      </c>
      <c r="BK25" s="11">
        <f>tblData[[#This Row],[Date]]-SKorea100dt+1</f>
        <v>-16</v>
      </c>
      <c r="BL25" s="137">
        <f ca="1">IF(AND(tblData[Date]&gt;StartDt2UK,ISNUMBER(tblData[Days'# UK])),betaUK/(deltaUK+betaPodeltaUK*EXP(-betaUK*tblData[Days'# UK])),"")</f>
        <v>0.31704678024880556</v>
      </c>
      <c r="BM25" s="11">
        <f ca="1">IF(AND(tblData[Date]&gt;StartDt2UK,ISNUMBER(tblData[UK])),(tblData[[#This Row],[UK LogiP(t)]]-tblData[[#This Row],[UK]])^2,"")</f>
        <v>2.8323315398709124</v>
      </c>
      <c r="BN25" s="11">
        <f ca="1">IF(ISNUMBER(tblData[Days'# UK]),tblData[[#This Row],[UK LogiP(t)]]/$BL$9,"")</f>
        <v>4.771926252992257E-2</v>
      </c>
      <c r="BO25" s="137">
        <f ca="1">IF(AND(ISNUMBER(tblData[UK]),tblData[Date]&gt;StartDt2UK),(tblData[UK]-AVERAGE(tblData[UK]))^2,"")</f>
        <v>9627722.4489795901</v>
      </c>
      <c r="BP25" s="11">
        <f>tblData[[#This Row],[Date]]-UK100dt</f>
        <v>-36</v>
      </c>
      <c r="BQ25" s="11">
        <f ca="1">IF(ISNUMBER(tblData[Days'# China]),betaChina/(deltaChina+betaPodeltaChina*EXP(-betaChina*tblData[Days'# China])),"")</f>
        <v>24521.665262107872</v>
      </c>
      <c r="BR25" s="11">
        <f ca="1">IF(ISNUMBER(tblData[China]),(tblData[[#This Row],[China LogiP(t)]]-tblData[[#This Row],[China]])^2,"")</f>
        <v>8516677.6423879154</v>
      </c>
      <c r="BS25" s="11">
        <f ca="1">tblData[[#This Row],[China LogiP(t)]]/$BQ$9</f>
        <v>170.36934754357782</v>
      </c>
      <c r="BT25" s="137">
        <f ca="1">IF(AND(ISNUMBER(tblData[China]),tblData[Date]&gt;StartDt2China),(tblData[China]-AVERAGE(tblData[China]))^2,"")</f>
        <v>1068567958.5510812</v>
      </c>
      <c r="BU25" s="11">
        <f>tblData[[#This Row],[Date]]-China100dt</f>
        <v>14</v>
      </c>
      <c r="BV25" s="106" t="str">
        <f>IF(ISNUMBER(tblData[Day'# Singapore]),betaSingapore/(deltaSingapore+betaPodeltaSingapore*EXP(-betaSingapore*tblData[Day'# Singapore])),"")</f>
        <v/>
      </c>
      <c r="BW25" s="11" t="str">
        <f>IF(AND(ISNUMBER(tblData[Singapore]),tblData[Date]&gt;=StartDt2Singapore),(tblData[[#This Row],[Singapore LogiP(t)]]-tblData[[#This Row],[Singapore]])^2,"")</f>
        <v/>
      </c>
      <c r="BX25" s="106" t="str">
        <f>IF(ISNUMBER(tblData[Day'# Singapore]),tblData[Singapore LogiP(t)]/$BV$9,"")</f>
        <v/>
      </c>
      <c r="BY25" s="106" t="str">
        <f>IF(AND(ISNUMBER(tblData[Singapore]),tblData[Date]&gt;StartDt2Singapore),(tblData[Singapore]-AVERAGE(tblData[Singapore]))^2,"")</f>
        <v/>
      </c>
      <c r="BZ25" s="11">
        <f>tblData[[#This Row],[Date]]-Singapore100dt+1</f>
        <v>-5</v>
      </c>
      <c r="CA25" s="11">
        <f ca="1">IF(AND(tblData[Date]&gt;StartDt2Generic,ISNUMBER(tblData[Day'# Generic])),betaGeneric/(deltaGeneric+betaPodeltaGeneric*EXP(-betaGeneric*tblData[Day'# Generic])),"")</f>
        <v>1.5741219142001883E-2</v>
      </c>
      <c r="CB25" s="106" t="str">
        <f ca="1">IF(AND(ISNUMBER(tblData[Generic]),tblData[Date]&gt;StartDt2Generic),(tblData[Generic LogiP(t)]-tblData[[#This Row],[Generic]])^2,"")</f>
        <v/>
      </c>
      <c r="CC25" s="11" t="str">
        <f ca="1">IF(AND(ISNUMBER(tblData[Generic]),tblData[Date]&gt;StartDt2Generic),tblData[Generic LogiP(t)]/$CA$9,"")</f>
        <v/>
      </c>
      <c r="CD25" s="106" t="str">
        <f ca="1">IF(AND(ISNUMBER(tblData[Generic]),tblData[Date]&gt;StartDt2Generic),(tblData[Generic]-AVERAGE(tblData[Generic]))^2,"")</f>
        <v/>
      </c>
      <c r="CE25" s="11">
        <f>tblData[[#This Row],[Date]]-Generic100dt+1</f>
        <v>-44</v>
      </c>
      <c r="CG25" s="11"/>
      <c r="CH25" s="11" t="str">
        <f>IF(ISNUMBER(tblData[[#This Row],[Tests]]),tblData[[#This Row],[Tests]]-CH24,"")</f>
        <v/>
      </c>
      <c r="CI25" s="11" t="str">
        <f>IF(ISNUMBER(tblData[[#This Row],[NSW Under Investigation'']]),tblData[[#This Row],[NSW Under Investigation'']]-CG24,"")</f>
        <v/>
      </c>
      <c r="CJ25" s="11"/>
      <c r="CK25" s="11" t="str">
        <f>IF(AND(tblData[[#This Row],[NSW Test Day Number]]&gt;0,ISNUMBER(tblData[[#This Row],[NSW Test Day Number]])),betaTests/(deltaTests+betaPodeltaTests*EXP(-betaTests*tblData[[#This Row],[NSW Test Day Number]])),"")</f>
        <v/>
      </c>
      <c r="CL25" s="11" t="str">
        <f>IF(tblData[Tests]&gt;0,(tblData[[#This Row],[Tests]]-tblData[[#This Row],[NSW Test Logi]])^2,"")</f>
        <v/>
      </c>
      <c r="CM25" s="106" t="str">
        <f>IF(AND(ISNUMBER(tblData[Tests]),tblData[Date]&gt;StartDt2Tests),(tblData[Tests]-AVERAGE(tblData[Tests]))^2,"")</f>
        <v/>
      </c>
      <c r="CN25" s="11" t="str">
        <f>IF(ISNUMBER(tblData[Tests]),tblData[Tests]/$CN$9/100,"")</f>
        <v/>
      </c>
      <c r="CO25" s="11" t="str">
        <f>IF(AND(tblData[[#This Row],[NSW Test Day Number]]&gt;0,ISNUMBER(tblData[[#This Row],[NSW Test Day Number]])),TestsLogestB*TestsLogestM^tblData[[#This Row],[NSW Test Day Number]],"")</f>
        <v/>
      </c>
      <c r="CP25" s="11" t="str">
        <f>IF(AND(tblData[[#This Row],[NSW Test Day Number]]&gt;0,ISNUMBER(tblData[Tests])),(tblData[Tests]-tblData[[#This Row],[NSW Test Per Capita]])^2,"")</f>
        <v/>
      </c>
      <c r="CQ25" s="39">
        <f ca="1">IF(AND(tblData[Day '# NSW]&gt;0,ISNUMBER(tblData[[#This Row],[Day '# NSW]])),NSWLogestB*NSWLogestM^tblData[[#This Row],[Day '# NSW]]/$CR$9,"")</f>
        <v>3.2216269393128076</v>
      </c>
      <c r="CR25" s="39">
        <f ca="1">IF(AND(ISNUMBER(tblData[NSW]),tblData[Date]&gt;StartDt2NSW),(tblData[NSW]/$CR$9-tblData[[#This Row],[NSW Cases LogEst]])^2,"")</f>
        <v>2.9889849424393513</v>
      </c>
      <c r="CS25" s="11"/>
      <c r="CT25" s="11"/>
      <c r="CU25" s="26"/>
      <c r="CW25" s="25"/>
      <c r="CX25"/>
      <c r="DK25" s="25"/>
      <c r="DL25" s="25"/>
      <c r="DM25" s="25"/>
      <c r="DR25"/>
      <c r="DS25"/>
      <c r="DT25"/>
      <c r="DU25"/>
      <c r="EB25" s="25"/>
      <c r="EC25" s="25"/>
      <c r="ED25" s="25"/>
      <c r="EE25" s="25"/>
      <c r="EK25"/>
      <c r="EL25"/>
      <c r="EM25"/>
      <c r="EN25"/>
      <c r="EO25"/>
      <c r="EP25"/>
      <c r="EQ25"/>
      <c r="ER25"/>
      <c r="ES25"/>
      <c r="ET25"/>
      <c r="EU25" s="26" t="s">
        <v>48</v>
      </c>
      <c r="EV25" s="69">
        <v>43915.873437499999</v>
      </c>
      <c r="EW25" s="26">
        <v>43855</v>
      </c>
      <c r="EX25" s="26">
        <v>43855</v>
      </c>
      <c r="EY25" s="25">
        <v>0</v>
      </c>
      <c r="EZ25" s="25">
        <v>0.23936046371525532</v>
      </c>
      <c r="FA25" s="25">
        <v>2.4999857006033165E-5</v>
      </c>
      <c r="FB25" s="21">
        <v>1.909057740652589E-3</v>
      </c>
      <c r="FC25" s="82">
        <v>9574.4733122869839</v>
      </c>
      <c r="FD25" s="82">
        <v>31.065496180503203</v>
      </c>
      <c r="FE25" s="25">
        <v>125.38144388826198</v>
      </c>
      <c r="FF25" s="84">
        <v>2.4999857006033164E-2</v>
      </c>
      <c r="FG25" s="26">
        <v>43915</v>
      </c>
      <c r="FH25" s="26" t="s">
        <v>1483</v>
      </c>
      <c r="FI25" s="84">
        <v>9574.4733122869839</v>
      </c>
      <c r="FJ25" s="84">
        <v>2425</v>
      </c>
      <c r="FK25" s="84" t="s">
        <v>1484</v>
      </c>
      <c r="FL25" s="26">
        <v>43915</v>
      </c>
      <c r="FM25" s="25">
        <v>61</v>
      </c>
      <c r="FN25" s="25" t="s">
        <v>1485</v>
      </c>
      <c r="FO25" s="25"/>
      <c r="FP25" s="25" t="s">
        <v>1486</v>
      </c>
      <c r="FR25" s="25" t="s">
        <v>1487</v>
      </c>
      <c r="FS25" s="19">
        <v>956.0794827314304</v>
      </c>
      <c r="FT25" s="72"/>
      <c r="FU25" s="25"/>
      <c r="FV25" s="25"/>
      <c r="FW25" s="25"/>
      <c r="FX25" s="25" t="s">
        <v>1482</v>
      </c>
      <c r="FY25" s="25"/>
      <c r="FZ25" s="25"/>
      <c r="GA25" s="25"/>
    </row>
    <row r="26" spans="2:185" ht="15" customHeight="1" x14ac:dyDescent="0.25">
      <c r="B26" s="1">
        <v>43867</v>
      </c>
      <c r="C26">
        <v>0</v>
      </c>
      <c r="D26" s="25">
        <v>0</v>
      </c>
      <c r="E26">
        <v>4</v>
      </c>
      <c r="F26">
        <v>0</v>
      </c>
      <c r="G26">
        <v>4</v>
      </c>
      <c r="H26">
        <v>2</v>
      </c>
      <c r="I26">
        <v>0</v>
      </c>
      <c r="J26">
        <v>4</v>
      </c>
      <c r="K26">
        <v>0</v>
      </c>
      <c r="L26" s="12">
        <f>IF(ISNUMBER(tblData[[#This Row],[NSW]]),tblData[[#This Row],[New South Wales]]/$L$9,"")</f>
        <v>4.9504950495049505</v>
      </c>
      <c r="M26" s="25">
        <v>2</v>
      </c>
      <c r="N26" s="44">
        <f>IF(ISNUMBER(tblData[Italy]),tblData[Italy]/$N$9,"")</f>
        <v>0.33066049433743905</v>
      </c>
      <c r="O26">
        <v>11</v>
      </c>
      <c r="P26" s="106">
        <f>IF(ISNUMBER(tblData[US]),tblData[US]/$P$9,"")</f>
        <v>0.33411521761595392</v>
      </c>
      <c r="Q26">
        <v>23</v>
      </c>
      <c r="R26" s="19">
        <f>IF(ISNUMBER(tblData[SKorea]),tblData[SKorea]/$R$9,"")</f>
        <v>4.4747081712062258</v>
      </c>
      <c r="S26">
        <v>2</v>
      </c>
      <c r="T26" s="12">
        <f>IF(ISNUMBER(tblData[UK]),tblData[UK]/$T$9,"")</f>
        <v>0.30102347983142685</v>
      </c>
      <c r="U26">
        <v>30587</v>
      </c>
      <c r="V26" s="20">
        <f>IF(ISNUMBER(tblData[China]),tblData[China]/$V$9,"")</f>
        <v>212.50951669126044</v>
      </c>
      <c r="W26">
        <v>28</v>
      </c>
      <c r="X26" s="20">
        <f>IF(ISNUMBER(tblData[Singapore]),tblData[Singapore]/$X$9,"")</f>
        <v>47.863247863247864</v>
      </c>
      <c r="Y26"/>
      <c r="Z26" s="20" t="str">
        <f>IF(AND(LEN(tblData[Generic])&gt;0,ISNUMBER(tblData[Generic])),tblData[Generic]/$Z$9,"")</f>
        <v/>
      </c>
      <c r="AA26" s="25">
        <f ca="1">IF(tblData[[#This Row],[Date]]&lt;StartDt2Italy,"",tblData[[#This Row],[Date]]-ItalyStart)</f>
        <v>7</v>
      </c>
      <c r="AB26" s="25">
        <f ca="1">IF(tblData[[#This Row],[Date]]&lt;=StartDt2US,"",tblData[[#This Row],[Date]]-USStart)</f>
        <v>15</v>
      </c>
      <c r="AC26" s="25">
        <f ca="1">IF(tblData[[#This Row],[Date]]&lt;StartDt2China,"",tblData[[#This Row],[Date]]-ChinaStart)</f>
        <v>15</v>
      </c>
      <c r="AD26" s="25">
        <f>IF(tblData[[#This Row],[Date]]&lt;=SKoreaStart,"",tblData[[#This Row],[Date]]-SKoreaStart)</f>
        <v>15</v>
      </c>
      <c r="AE26" s="25">
        <f ca="1">IF(tblData[[#This Row],[Date]]&lt;=StartDt2UK,"",tblData[[#This Row],[Date]]-UKStart)</f>
        <v>7</v>
      </c>
      <c r="AF26" s="25" t="str">
        <f>IF(tblData[[#This Row],[Date]]&lt;StartDt2Singapore,"",tblData[[#This Row],[Date]]-SingaporeStart)</f>
        <v/>
      </c>
      <c r="AG26" s="25">
        <f ca="1">IF(tblData[[#This Row],[Date]]&lt;StartDt2Generic,"",tblData[[#This Row],[Date]]-GenericStart)</f>
        <v>15</v>
      </c>
      <c r="AH26">
        <f ca="1">IF(tblData[Date]&gt;StartDt2Au,tblData[Date]-AuStart,"")</f>
        <v>12</v>
      </c>
      <c r="AI26" s="25">
        <f>IF(tblData[New South Wales]&gt;=0,SUM(tblData[[#This Row],[Australian Capital Territory]:[Western Australia]]),"")</f>
        <v>14</v>
      </c>
      <c r="AJ26" s="12">
        <f>IF(ISNUMBER(tblData[Au]),tblData[Au]/$AE$9,"")</f>
        <v>5.5196341271092884</v>
      </c>
      <c r="AK26" s="19">
        <f ca="1">IF(ISNUMBER(tblData[[#This Row],[Day'# Aust]]),betaAu/(deltaAu+betaPodeltaAu*EXP(-betaAu*tblData[[#This Row],[Day'# Aust]])),"")</f>
        <v>2.0842048024466747E-2</v>
      </c>
      <c r="AL26" s="62">
        <f ca="1">IF(ISNUMBER(tblData[Day'# Aust]),tblData[Au LogiP(t)]/$AJ$9,"")</f>
        <v>8.2171771110498126E-3</v>
      </c>
      <c r="AM26" s="11">
        <f ca="1">IF(AND(tblData[Date]&gt;StartDt2Au,ISNUMBER(tblData[NSW])),(tblData[[#This Row],[Au LogiP(t)]]-tblData[[#This Row],[Au]])^2,"")</f>
        <v>195.4168570462808</v>
      </c>
      <c r="AN26" s="11">
        <f ca="1">IF(AND(ISNUMBER(tblData[Au]),tblData[Date]&gt;StartDt2Au),(tblData[Au]-AVERAGE(tblData[Au]))^2,"")</f>
        <v>184346.37657174555</v>
      </c>
      <c r="AO26" s="11">
        <f>tblData[[#This Row],[Date]]-Au100dt</f>
        <v>-37</v>
      </c>
      <c r="AP26">
        <f ca="1">IF(tblData[Date]&gt;StartDt2NSW,tblData[Date]-StartDt2NSW,"")</f>
        <v>12</v>
      </c>
      <c r="AQ26" s="25">
        <f>IF(tblData[[#This Row],[New South Wales]]&gt;0,tblData[[#This Row],[New South Wales]],"")</f>
        <v>4</v>
      </c>
      <c r="AR26" s="44">
        <f ca="1">IF(tblData[Date]&gt;StartDt2NSW,betaNSW/(deltaNSW+betaPodeltaNSW*EXP(-betaNSW*tblData[[#This Row],[Day '# NSW]])),"")</f>
        <v>1.7350046988379532E-2</v>
      </c>
      <c r="AS26" s="12">
        <f ca="1">IF(AND(ISNUMBER(tblData[NSW]),tblData[Date]&gt;StartDt2NSW),(tblData[[#This Row],[NSW LogiP(t)]]-tblData[[#This Row],[NSW]])^2,"")</f>
        <v>15.861500648223464</v>
      </c>
      <c r="AT26" s="12">
        <f ca="1">IF(AND(tblData[Date]&gt;StartDt2NSW,ISNUMBER(tblData[Day'# Aust])),tblData[NSW LogiP(t)]/$AR$9,"")</f>
        <v>2.1472830431162784E-2</v>
      </c>
      <c r="AU26" s="11">
        <f>tblData[[#This Row],[Date]]-NSW100dt+1</f>
        <v>-33</v>
      </c>
      <c r="AV26" s="11">
        <f ca="1">IF(AND(ISNUMBER(tblData[NSW]),tblData[Date]&gt;StartDt2NSW),(tblData[NSW]-AVERAGE(tblData[NSW]))^2,"")</f>
        <v>83990.760134425553</v>
      </c>
      <c r="AW26" s="39">
        <f ca="1">IF(AND(tblData[Date]&gt;StartDt2Italy,ISNUMBER(tblData[Days'# Italy])),betaItaly/(deltaItaly+betaPodeltaItaly*EXP(-betaItaly*tblData[Days'# Italy])),"")</f>
        <v>2.6715670593067458</v>
      </c>
      <c r="AX26" s="11">
        <f ca="1">IF(AND(tblData[Date]&gt;StartDt2Italy,ISNUMBER(tblData[Italy])),(tblData[[#This Row],[Italy LogiP(t)]]-tblData[[#This Row],[Italy]])^2,"")</f>
        <v>0.45100231514591016</v>
      </c>
      <c r="AY26" s="39">
        <f ca="1">IF(AND(tblData[Date]&gt;StartDt2Italy,ISNUMBER(tblData[Days'# Italy])),tblData[[#This Row],[Italy LogiP(t)]]/$AW$9,"")</f>
        <v>0.44169084224299343</v>
      </c>
      <c r="AZ26" s="39">
        <f ca="1">IF(AND(ISNUMBER(tblData[Italy]),tblData[Date]&gt;StartDt2Italy),(tblData[Italy]-AVERAGE(tblData[Italy]))^2,"")</f>
        <v>440025205.93827158</v>
      </c>
      <c r="BA26" s="11">
        <f>tblData[[#This Row],[Date]]-Italy100dt+1</f>
        <v>-20</v>
      </c>
      <c r="BB26" s="11">
        <f ca="1">IF(AND(tblData[Date]&gt;StartDt2US,ISNUMBER(tblData[[#This Row],[Days'# US]])),betaUS/(deltaUS+betaPodeltaUS*EXP(-betaUS*tblData[Days'# US])),"")</f>
        <v>7.0565191526395801E-2</v>
      </c>
      <c r="BC26" s="11">
        <f ca="1">IF(AND(tblData[Date]&gt;StartDt2US,ISNUMBER(tblData[US])),(tblData[[#This Row],[US LogiP(t)]]-tblData[US])^2,"")</f>
        <v>119.45254523267447</v>
      </c>
      <c r="BD26" s="137">
        <f ca="1">IF(AND(tblData[Date]&gt;=StartDt2US,ISNUMBER(tblData[[#This Row],[Days'# US]])),tblData[[#This Row],[US LogiP(t)]]/$BB$9,"")</f>
        <v>2.1433549384502911E-3</v>
      </c>
      <c r="BE26" s="137">
        <f ca="1">IF(AND(ISNUMBER(tblData[US]),tblData[Date]&gt;StartDt2US),(tblData[US]-AVERAGE(tblData[US]))^2,"")</f>
        <v>335023525.98313826</v>
      </c>
      <c r="BF26" s="11">
        <f>tblData[[#This Row],[Date]]-US100dt+1</f>
        <v>-36</v>
      </c>
      <c r="BG26" s="11" t="str">
        <f ca="1">IF(tblData[Date]&gt;StartDt2SKorea,betaSKorea/(deltaSKorea+betaPodeltaSKorea*EXP(-betaSKorea*(tblData[Date]-StartDt2SKorea))),"")</f>
        <v/>
      </c>
      <c r="BH26" s="11" t="str">
        <f ca="1">IF(AND(tblData[Date]&gt;StartDt2SKorea,ISNUMBER(tblData[SKorea])),(tblData[[#This Row],[SKorea LogiP(t)]]-tblData[[#This Row],[SKorea]])^2,"")</f>
        <v/>
      </c>
      <c r="BI26" s="11" t="str">
        <f ca="1">IF(tblData[Date]&gt;StartDt2SKorea,tblData[[#This Row],[SKorea LogiP(t)]]/$BG$9,"")</f>
        <v/>
      </c>
      <c r="BJ26" s="137" t="str">
        <f ca="1">IF(AND(ISNUMBER(tblData[SKorea]),tblData[Date]&gt;StartDt2SKorea),(tblData[SKorea]-AVERAGE(tblData[SKorea]))^2,"")</f>
        <v/>
      </c>
      <c r="BK26" s="11">
        <f>tblData[[#This Row],[Date]]-SKorea100dt+1</f>
        <v>-15</v>
      </c>
      <c r="BL26" s="137">
        <f ca="1">IF(AND(tblData[Date]&gt;StartDt2UK,ISNUMBER(tblData[Days'# UK])),betaUK/(deltaUK+betaPodeltaUK*EXP(-betaUK*tblData[Days'# UK])),"")</f>
        <v>0.39257363592400257</v>
      </c>
      <c r="BM26" s="11">
        <f ca="1">IF(AND(tblData[Date]&gt;StartDt2UK,ISNUMBER(tblData[UK])),(tblData[[#This Row],[UK LogiP(t)]]-tblData[[#This Row],[UK]])^2,"")</f>
        <v>2.5838195159265807</v>
      </c>
      <c r="BN26" s="11">
        <f ca="1">IF(ISNUMBER(tblData[Days'# UK]),tblData[[#This Row],[UK LogiP(t)]]/$BL$9,"")</f>
        <v>5.9086940987959448E-2</v>
      </c>
      <c r="BO26" s="137">
        <f ca="1">IF(AND(ISNUMBER(tblData[UK]),tblData[Date]&gt;StartDt2UK),(tblData[UK]-AVERAGE(tblData[UK]))^2,"")</f>
        <v>9627722.4489795901</v>
      </c>
      <c r="BP26" s="11">
        <f>tblData[[#This Row],[Date]]-UK100dt</f>
        <v>-35</v>
      </c>
      <c r="BQ26" s="11">
        <f ca="1">IF(ISNUMBER(tblData[Days'# China]),betaChina/(deltaChina+betaPodeltaChina*EXP(-betaChina*tblData[Days'# China])),"")</f>
        <v>28458.73510386001</v>
      </c>
      <c r="BR26" s="11">
        <f ca="1">IF(ISNUMBER(tblData[China]),(tblData[[#This Row],[China LogiP(t)]]-tblData[[#This Row],[China]])^2,"")</f>
        <v>4529511.4681417625</v>
      </c>
      <c r="BS26" s="11">
        <f ca="1">tblData[[#This Row],[China LogiP(t)]]/$BQ$9</f>
        <v>197.72295558786081</v>
      </c>
      <c r="BT26" s="137">
        <f ca="1">IF(AND(ISNUMBER(tblData[China]),tblData[Date]&gt;StartDt2China),(tblData[China]-AVERAGE(tblData[China]))^2,"")</f>
        <v>872727267.49474323</v>
      </c>
      <c r="BU26" s="11">
        <f>tblData[[#This Row],[Date]]-China100dt</f>
        <v>15</v>
      </c>
      <c r="BV26" s="106" t="str">
        <f>IF(ISNUMBER(tblData[Day'# Singapore]),betaSingapore/(deltaSingapore+betaPodeltaSingapore*EXP(-betaSingapore*tblData[Day'# Singapore])),"")</f>
        <v/>
      </c>
      <c r="BW26" s="11" t="str">
        <f>IF(AND(ISNUMBER(tblData[Singapore]),tblData[Date]&gt;=StartDt2Singapore),(tblData[[#This Row],[Singapore LogiP(t)]]-tblData[[#This Row],[Singapore]])^2,"")</f>
        <v/>
      </c>
      <c r="BX26" s="106" t="str">
        <f>IF(ISNUMBER(tblData[Day'# Singapore]),tblData[Singapore LogiP(t)]/$BV$9,"")</f>
        <v/>
      </c>
      <c r="BY26" s="106" t="str">
        <f>IF(AND(ISNUMBER(tblData[Singapore]),tblData[Date]&gt;StartDt2Singapore),(tblData[Singapore]-AVERAGE(tblData[Singapore]))^2,"")</f>
        <v/>
      </c>
      <c r="BZ26" s="11">
        <f>tblData[[#This Row],[Date]]-Singapore100dt+1</f>
        <v>-4</v>
      </c>
      <c r="CA26" s="11">
        <f ca="1">IF(AND(tblData[Date]&gt;StartDt2Generic,ISNUMBER(tblData[Day'# Generic])),betaGeneric/(deltaGeneric+betaPodeltaGeneric*EXP(-betaGeneric*tblData[Day'# Generic])),"")</f>
        <v>1.9166411800025131E-2</v>
      </c>
      <c r="CB26" s="106" t="str">
        <f ca="1">IF(AND(ISNUMBER(tblData[Generic]),tblData[Date]&gt;StartDt2Generic),(tblData[Generic LogiP(t)]-tblData[[#This Row],[Generic]])^2,"")</f>
        <v/>
      </c>
      <c r="CC26" s="11" t="str">
        <f ca="1">IF(AND(ISNUMBER(tblData[Generic]),tblData[Date]&gt;StartDt2Generic),tblData[Generic LogiP(t)]/$CA$9,"")</f>
        <v/>
      </c>
      <c r="CD26" s="106" t="str">
        <f ca="1">IF(AND(ISNUMBER(tblData[Generic]),tblData[Date]&gt;StartDt2Generic),(tblData[Generic]-AVERAGE(tblData[Generic]))^2,"")</f>
        <v/>
      </c>
      <c r="CE26" s="11">
        <f>tblData[[#This Row],[Date]]-Generic100dt+1</f>
        <v>-43</v>
      </c>
      <c r="CG26" s="11"/>
      <c r="CH26" s="11" t="str">
        <f>IF(ISNUMBER(tblData[[#This Row],[Tests]]),tblData[[#This Row],[Tests]]-CH25,"")</f>
        <v/>
      </c>
      <c r="CI26" s="11" t="str">
        <f>IF(ISNUMBER(tblData[[#This Row],[NSW Under Investigation'']]),tblData[[#This Row],[NSW Under Investigation'']]-CG25,"")</f>
        <v/>
      </c>
      <c r="CJ26" s="11"/>
      <c r="CK26" s="11" t="str">
        <f>IF(AND(tblData[[#This Row],[NSW Test Day Number]]&gt;0,ISNUMBER(tblData[[#This Row],[NSW Test Day Number]])),betaTests/(deltaTests+betaPodeltaTests*EXP(-betaTests*tblData[[#This Row],[NSW Test Day Number]])),"")</f>
        <v/>
      </c>
      <c r="CL26" s="11" t="str">
        <f>IF(tblData[Tests]&gt;0,(tblData[[#This Row],[Tests]]-tblData[[#This Row],[NSW Test Logi]])^2,"")</f>
        <v/>
      </c>
      <c r="CM26" s="106" t="str">
        <f>IF(AND(ISNUMBER(tblData[Tests]),tblData[Date]&gt;StartDt2Tests),(tblData[Tests]-AVERAGE(tblData[Tests]))^2,"")</f>
        <v/>
      </c>
      <c r="CN26" s="11" t="str">
        <f>IF(ISNUMBER(tblData[Tests]),tblData[Tests]/$CN$9/100,"")</f>
        <v/>
      </c>
      <c r="CO26" s="11" t="str">
        <f>IF(AND(tblData[[#This Row],[NSW Test Day Number]]&gt;0,ISNUMBER(tblData[[#This Row],[NSW Test Day Number]])),TestsLogestB*TestsLogestM^tblData[[#This Row],[NSW Test Day Number]],"")</f>
        <v/>
      </c>
      <c r="CP26" s="11" t="str">
        <f>IF(AND(tblData[[#This Row],[NSW Test Day Number]]&gt;0,ISNUMBER(tblData[Tests])),(tblData[Tests]-tblData[[#This Row],[NSW Test Per Capita]])^2,"")</f>
        <v/>
      </c>
      <c r="CQ26" s="39">
        <f ca="1">IF(AND(tblData[Day '# NSW]&gt;0,ISNUMBER(tblData[[#This Row],[Day '# NSW]])),NSWLogestB*NSWLogestM^tblData[[#This Row],[Day '# NSW]]/$CR$9,"")</f>
        <v>3.5854738566437194</v>
      </c>
      <c r="CR26" s="39">
        <f ca="1">IF(AND(ISNUMBER(tblData[NSW]),tblData[Date]&gt;StartDt2NSW),(tblData[NSW]/$CR$9-tblData[[#This Row],[NSW Cases LogEst]])^2,"")</f>
        <v>1.8632828569602982</v>
      </c>
      <c r="CS26" s="11"/>
      <c r="CT26" s="11"/>
      <c r="CU26" s="26"/>
      <c r="CW26" s="25"/>
      <c r="CX26"/>
      <c r="DK26" s="25"/>
      <c r="DL26" s="25"/>
      <c r="DM26" s="25"/>
      <c r="DR26"/>
      <c r="DS26"/>
      <c r="DT26"/>
      <c r="DU26"/>
      <c r="EB26" s="25"/>
      <c r="EC26" s="25"/>
      <c r="ED26" s="25"/>
      <c r="EE26" s="25"/>
      <c r="EK26"/>
      <c r="EL26"/>
      <c r="EM26"/>
      <c r="EN26"/>
      <c r="EO26"/>
      <c r="EP26"/>
      <c r="EQ26"/>
      <c r="ER26"/>
      <c r="ES26"/>
      <c r="ET26"/>
      <c r="EU26" s="26" t="s">
        <v>48</v>
      </c>
      <c r="EV26" s="69">
        <v>43915.89570601852</v>
      </c>
      <c r="EW26" s="26">
        <v>43855</v>
      </c>
      <c r="EX26" s="26">
        <v>43855</v>
      </c>
      <c r="EY26" s="25">
        <v>0</v>
      </c>
      <c r="EZ26" s="25">
        <v>0.23945207141381078</v>
      </c>
      <c r="FA26" s="25">
        <v>2.4677872777670242E-5</v>
      </c>
      <c r="FB26" s="21">
        <v>1.8969822156356662E-3</v>
      </c>
      <c r="FC26" s="82">
        <v>9703.1082691405572</v>
      </c>
      <c r="FD26" s="82">
        <v>30.998325689265126</v>
      </c>
      <c r="FE26" s="25">
        <v>126.22787004889565</v>
      </c>
      <c r="FF26" s="84">
        <v>2.4677872777670241E-2</v>
      </c>
      <c r="FG26" s="26">
        <v>43915</v>
      </c>
      <c r="FH26" s="25" t="s">
        <v>1504</v>
      </c>
      <c r="FI26" s="84">
        <v>9703.1082691405572</v>
      </c>
      <c r="FJ26" s="84">
        <v>2431</v>
      </c>
      <c r="FK26" s="25" t="s">
        <v>1505</v>
      </c>
      <c r="FL26" s="26">
        <v>43915</v>
      </c>
      <c r="FM26" s="25">
        <v>61</v>
      </c>
      <c r="FN26" s="25" t="s">
        <v>1506</v>
      </c>
      <c r="FO26" s="25"/>
      <c r="FP26" s="25" t="s">
        <v>1507</v>
      </c>
      <c r="FR26" s="72" t="s">
        <v>1508</v>
      </c>
      <c r="FS26" s="19">
        <v>958.44504021447722</v>
      </c>
      <c r="FT26" s="72"/>
      <c r="FU26" s="25"/>
      <c r="FV26" s="25"/>
      <c r="FW26" s="25"/>
      <c r="FX26" s="25" t="s">
        <v>1503</v>
      </c>
      <c r="FY26" s="25"/>
      <c r="FZ26" s="25"/>
      <c r="GA26" s="25"/>
    </row>
    <row r="27" spans="2:185" ht="18.75" customHeight="1" x14ac:dyDescent="0.25">
      <c r="B27" s="1">
        <v>43868</v>
      </c>
      <c r="C27">
        <v>0</v>
      </c>
      <c r="D27" s="25">
        <v>0</v>
      </c>
      <c r="E27">
        <v>4</v>
      </c>
      <c r="F27">
        <v>0</v>
      </c>
      <c r="G27">
        <v>5</v>
      </c>
      <c r="H27">
        <v>2</v>
      </c>
      <c r="I27">
        <v>0</v>
      </c>
      <c r="J27">
        <v>4</v>
      </c>
      <c r="K27">
        <v>0</v>
      </c>
      <c r="L27" s="12">
        <f>IF(ISNUMBER(tblData[[#This Row],[NSW]]),tblData[[#This Row],[New South Wales]]/$L$9,"")</f>
        <v>4.9504950495049505</v>
      </c>
      <c r="M27" s="25">
        <v>3</v>
      </c>
      <c r="N27" s="44">
        <f>IF(ISNUMBER(tblData[Italy]),tblData[Italy]/$N$9,"")</f>
        <v>0.49599074150615857</v>
      </c>
      <c r="O27">
        <v>11</v>
      </c>
      <c r="P27" s="106">
        <f>IF(ISNUMBER(tblData[US]),tblData[US]/$P$9,"")</f>
        <v>0.33411521761595392</v>
      </c>
      <c r="Q27">
        <v>24</v>
      </c>
      <c r="R27" s="19">
        <f>IF(ISNUMBER(tblData[SKorea]),tblData[SKorea]/$R$9,"")</f>
        <v>4.6692607003891053</v>
      </c>
      <c r="S27">
        <v>3</v>
      </c>
      <c r="T27" s="12">
        <f>IF(ISNUMBER(tblData[UK]),tblData[UK]/$T$9,"")</f>
        <v>0.45153521974714028</v>
      </c>
      <c r="U27">
        <v>34110</v>
      </c>
      <c r="V27" s="20">
        <f>IF(ISNUMBER(tblData[China]),tblData[China]/$V$9,"")</f>
        <v>236.98628876120227</v>
      </c>
      <c r="W27">
        <v>30</v>
      </c>
      <c r="X27" s="20">
        <f>IF(ISNUMBER(tblData[Singapore]),tblData[Singapore]/$X$9,"")</f>
        <v>51.282051282051285</v>
      </c>
      <c r="Y27"/>
      <c r="Z27" s="20" t="str">
        <f>IF(AND(LEN(tblData[Generic])&gt;0,ISNUMBER(tblData[Generic])),tblData[Generic]/$Z$9,"")</f>
        <v/>
      </c>
      <c r="AA27" s="25">
        <f ca="1">IF(tblData[[#This Row],[Date]]&lt;StartDt2Italy,"",tblData[[#This Row],[Date]]-ItalyStart)</f>
        <v>8</v>
      </c>
      <c r="AB27" s="25">
        <f ca="1">IF(tblData[[#This Row],[Date]]&lt;=StartDt2US,"",tblData[[#This Row],[Date]]-USStart)</f>
        <v>16</v>
      </c>
      <c r="AC27" s="25">
        <f ca="1">IF(tblData[[#This Row],[Date]]&lt;StartDt2China,"",tblData[[#This Row],[Date]]-ChinaStart)</f>
        <v>16</v>
      </c>
      <c r="AD27" s="25">
        <f>IF(tblData[[#This Row],[Date]]&lt;=SKoreaStart,"",tblData[[#This Row],[Date]]-SKoreaStart)</f>
        <v>16</v>
      </c>
      <c r="AE27" s="25">
        <f ca="1">IF(tblData[[#This Row],[Date]]&lt;=StartDt2UK,"",tblData[[#This Row],[Date]]-UKStart)</f>
        <v>8</v>
      </c>
      <c r="AF27" s="25" t="str">
        <f>IF(tblData[[#This Row],[Date]]&lt;StartDt2Singapore,"",tblData[[#This Row],[Date]]-SingaporeStart)</f>
        <v/>
      </c>
      <c r="AG27" s="25">
        <f ca="1">IF(tblData[[#This Row],[Date]]&lt;StartDt2Generic,"",tblData[[#This Row],[Date]]-GenericStart)</f>
        <v>16</v>
      </c>
      <c r="AH27">
        <f ca="1">IF(tblData[Date]&gt;StartDt2Au,tblData[Date]-AuStart,"")</f>
        <v>13</v>
      </c>
      <c r="AI27" s="25">
        <f>IF(tblData[New South Wales]&gt;=0,SUM(tblData[[#This Row],[Australian Capital Territory]:[Western Australia]]),"")</f>
        <v>15</v>
      </c>
      <c r="AJ27" s="12">
        <f>IF(ISNUMBER(tblData[Au]),tblData[Au]/$AE$9,"")</f>
        <v>5.9138937076170954</v>
      </c>
      <c r="AK27" s="19">
        <f ca="1">IF(ISNUMBER(tblData[[#This Row],[Day'# Aust]]),betaAu/(deltaAu+betaPodeltaAu*EXP(-betaAu*tblData[[#This Row],[Day'# Aust]])),"")</f>
        <v>2.6844281601766634E-2</v>
      </c>
      <c r="AL27" s="62">
        <f ca="1">IF(ISNUMBER(tblData[Day'# Aust]),tblData[Au LogiP(t)]/$AJ$9,"")</f>
        <v>1.0583615203345937E-2</v>
      </c>
      <c r="AM27" s="11">
        <f ca="1">IF(AND(tblData[Date]&gt;StartDt2Au,ISNUMBER(tblData[NSW])),(tblData[[#This Row],[Au LogiP(t)]]-tblData[[#This Row],[Au]])^2,"")</f>
        <v>224.19539216740174</v>
      </c>
      <c r="AN27" s="11">
        <f ca="1">IF(AND(ISNUMBER(tblData[Au]),tblData[Date]&gt;StartDt2Au),(tblData[Au]-AVERAGE(tblData[Au]))^2,"")</f>
        <v>183488.66503328402</v>
      </c>
      <c r="AO27" s="11">
        <f>tblData[[#This Row],[Date]]-Au100dt</f>
        <v>-36</v>
      </c>
      <c r="AP27">
        <f ca="1">IF(tblData[Date]&gt;StartDt2NSW,tblData[Date]-StartDt2NSW,"")</f>
        <v>13</v>
      </c>
      <c r="AQ27" s="25">
        <f>IF(tblData[[#This Row],[New South Wales]]&gt;0,tblData[[#This Row],[New South Wales]],"")</f>
        <v>4</v>
      </c>
      <c r="AR27" s="44">
        <f ca="1">IF(tblData[Date]&gt;StartDt2NSW,betaNSW/(deltaNSW+betaPodeltaNSW*EXP(-betaNSW*tblData[[#This Row],[Day '# NSW]])),"")</f>
        <v>2.2007729170021171E-2</v>
      </c>
      <c r="AS27" s="12">
        <f ca="1">IF(AND(ISNUMBER(tblData[NSW]),tblData[Date]&gt;StartDt2NSW),(tblData[[#This Row],[NSW LogiP(t)]]-tblData[[#This Row],[NSW]])^2,"")</f>
        <v>15.824422506783051</v>
      </c>
      <c r="AT27" s="12">
        <f ca="1">IF(AND(tblData[Date]&gt;StartDt2NSW,ISNUMBER(tblData[Day'# Aust])),tblData[NSW LogiP(t)]/$AR$9,"")</f>
        <v>2.7237288576758872E-2</v>
      </c>
      <c r="AU27" s="11">
        <f>tblData[[#This Row],[Date]]-NSW100dt+1</f>
        <v>-32</v>
      </c>
      <c r="AV27" s="11">
        <f ca="1">IF(AND(ISNUMBER(tblData[NSW]),tblData[Date]&gt;StartDt2NSW),(tblData[NSW]-AVERAGE(tblData[NSW]))^2,"")</f>
        <v>83990.760134425553</v>
      </c>
      <c r="AW27" s="39">
        <f ca="1">IF(AND(tblData[Date]&gt;StartDt2Italy,ISNUMBER(tblData[Days'# Italy])),betaItaly/(deltaItaly+betaPodeltaItaly*EXP(-betaItaly*tblData[Days'# Italy])),"")</f>
        <v>3.4531681064802338</v>
      </c>
      <c r="AX27" s="11">
        <f ca="1">IF(AND(tblData[Date]&gt;StartDt2Italy,ISNUMBER(tblData[Italy])),(tblData[[#This Row],[Italy LogiP(t)]]-tblData[[#This Row],[Italy]])^2,"")</f>
        <v>0.20536133273088047</v>
      </c>
      <c r="AY27" s="39">
        <f ca="1">IF(AND(tblData[Date]&gt;StartDt2Italy,ISNUMBER(tblData[Days'# Italy])),tblData[[#This Row],[Italy LogiP(t)]]/$AW$9,"")</f>
        <v>0.57091313655951625</v>
      </c>
      <c r="AZ27" s="39">
        <f ca="1">IF(AND(ISNUMBER(tblData[Italy]),tblData[Date]&gt;StartDt2Italy),(tblData[Italy]-AVERAGE(tblData[Italy]))^2,"")</f>
        <v>439983253.38271606</v>
      </c>
      <c r="BA27" s="11">
        <f>tblData[[#This Row],[Date]]-Italy100dt+1</f>
        <v>-19</v>
      </c>
      <c r="BB27" s="11">
        <f ca="1">IF(AND(tblData[Date]&gt;StartDt2US,ISNUMBER(tblData[[#This Row],[Days'# US]])),betaUS/(deltaUS+betaPodeltaUS*EXP(-betaUS*tblData[Days'# US])),"")</f>
        <v>9.3719482151489508E-2</v>
      </c>
      <c r="BC27" s="11">
        <f ca="1">IF(AND(tblData[Date]&gt;StartDt2US,ISNUMBER(tblData[US])),(tblData[[#This Row],[US LogiP(t)]]-tblData[US])^2,"")</f>
        <v>118.94695473400199</v>
      </c>
      <c r="BD27" s="137">
        <f ca="1">IF(AND(tblData[Date]&gt;=StartDt2US,ISNUMBER(tblData[[#This Row],[Days'# US]])),tblData[[#This Row],[US LogiP(t)]]/$BB$9,"")</f>
        <v>2.8466459248999479E-3</v>
      </c>
      <c r="BE27" s="137">
        <f ca="1">IF(AND(ISNUMBER(tblData[US]),tblData[Date]&gt;StartDt2US),(tblData[US]-AVERAGE(tblData[US]))^2,"")</f>
        <v>335023525.98313826</v>
      </c>
      <c r="BF27" s="11">
        <f>tblData[[#This Row],[Date]]-US100dt+1</f>
        <v>-35</v>
      </c>
      <c r="BG27" s="11" t="str">
        <f ca="1">IF(tblData[Date]&gt;StartDt2SKorea,betaSKorea/(deltaSKorea+betaPodeltaSKorea*EXP(-betaSKorea*(tblData[Date]-StartDt2SKorea))),"")</f>
        <v/>
      </c>
      <c r="BH27" s="11" t="str">
        <f ca="1">IF(AND(tblData[Date]&gt;StartDt2SKorea,ISNUMBER(tblData[SKorea])),(tblData[[#This Row],[SKorea LogiP(t)]]-tblData[[#This Row],[SKorea]])^2,"")</f>
        <v/>
      </c>
      <c r="BI27" s="11" t="str">
        <f ca="1">IF(tblData[Date]&gt;StartDt2SKorea,tblData[[#This Row],[SKorea LogiP(t)]]/$BG$9,"")</f>
        <v/>
      </c>
      <c r="BJ27" s="137" t="str">
        <f ca="1">IF(AND(ISNUMBER(tblData[SKorea]),tblData[Date]&gt;StartDt2SKorea),(tblData[SKorea]-AVERAGE(tblData[SKorea]))^2,"")</f>
        <v/>
      </c>
      <c r="BK27" s="11">
        <f>tblData[[#This Row],[Date]]-SKorea100dt+1</f>
        <v>-14</v>
      </c>
      <c r="BL27" s="137">
        <f ca="1">IF(AND(tblData[Date]&gt;StartDt2UK,ISNUMBER(tblData[Days'# UK])),betaUK/(deltaUK+betaPodeltaUK*EXP(-betaUK*tblData[Days'# UK])),"")</f>
        <v>0.48609237510097708</v>
      </c>
      <c r="BM27" s="11">
        <f ca="1">IF(AND(tblData[Date]&gt;StartDt2UK,ISNUMBER(tblData[UK])),(tblData[[#This Row],[UK LogiP(t)]]-tblData[[#This Row],[UK]])^2,"")</f>
        <v>6.3197315465254462</v>
      </c>
      <c r="BN27" s="11">
        <f ca="1">IF(ISNUMBER(tblData[Days'# UK]),tblData[[#This Row],[UK LogiP(t)]]/$BL$9,"")</f>
        <v>7.3162609136209672E-2</v>
      </c>
      <c r="BO27" s="137">
        <f ca="1">IF(AND(ISNUMBER(tblData[UK]),tblData[Date]&gt;StartDt2UK),(tblData[UK]-AVERAGE(tblData[UK]))^2,"")</f>
        <v>9621517.7346938755</v>
      </c>
      <c r="BP27" s="11">
        <f>tblData[[#This Row],[Date]]-UK100dt</f>
        <v>-34</v>
      </c>
      <c r="BQ27" s="11">
        <f ca="1">IF(ISNUMBER(tblData[Days'# China]),betaChina/(deltaChina+betaPodeltaChina*EXP(-betaChina*tblData[Days'# China])),"")</f>
        <v>32663.78537952331</v>
      </c>
      <c r="BR27" s="11">
        <f ca="1">IF(ISNUMBER(tblData[China]),(tblData[[#This Row],[China LogiP(t)]]-tblData[[#This Row],[China]])^2,"")</f>
        <v>2091536.7284805379</v>
      </c>
      <c r="BS27" s="11">
        <f ca="1">tblData[[#This Row],[China LogiP(t)]]/$BQ$9</f>
        <v>226.93841319219138</v>
      </c>
      <c r="BT27" s="137">
        <f ca="1">IF(AND(ISNUMBER(tblData[China]),tblData[Date]&gt;StartDt2China),(tblData[China]-AVERAGE(tblData[China]))^2,"")</f>
        <v>676986162.21305299</v>
      </c>
      <c r="BU27" s="11">
        <f>tblData[[#This Row],[Date]]-China100dt</f>
        <v>16</v>
      </c>
      <c r="BV27" s="106" t="str">
        <f>IF(ISNUMBER(tblData[Day'# Singapore]),betaSingapore/(deltaSingapore+betaPodeltaSingapore*EXP(-betaSingapore*tblData[Day'# Singapore])),"")</f>
        <v/>
      </c>
      <c r="BW27" s="11" t="str">
        <f>IF(AND(ISNUMBER(tblData[Singapore]),tblData[Date]&gt;=StartDt2Singapore),(tblData[[#This Row],[Singapore LogiP(t)]]-tblData[[#This Row],[Singapore]])^2,"")</f>
        <v/>
      </c>
      <c r="BX27" s="106" t="str">
        <f>IF(ISNUMBER(tblData[Day'# Singapore]),tblData[Singapore LogiP(t)]/$BV$9,"")</f>
        <v/>
      </c>
      <c r="BY27" s="106" t="str">
        <f>IF(AND(ISNUMBER(tblData[Singapore]),tblData[Date]&gt;StartDt2Singapore),(tblData[Singapore]-AVERAGE(tblData[Singapore]))^2,"")</f>
        <v/>
      </c>
      <c r="BZ27" s="11">
        <f>tblData[[#This Row],[Date]]-Singapore100dt+1</f>
        <v>-3</v>
      </c>
      <c r="CA27" s="11">
        <f ca="1">IF(AND(tblData[Date]&gt;StartDt2Generic,ISNUMBER(tblData[Day'# Generic])),betaGeneric/(deltaGeneric+betaPodeltaGeneric*EXP(-betaGeneric*tblData[Day'# Generic])),"")</f>
        <v>2.3336900452046824E-2</v>
      </c>
      <c r="CB27" s="106" t="str">
        <f ca="1">IF(AND(ISNUMBER(tblData[Generic]),tblData[Date]&gt;StartDt2Generic),(tblData[Generic LogiP(t)]-tblData[[#This Row],[Generic]])^2,"")</f>
        <v/>
      </c>
      <c r="CC27" s="11" t="str">
        <f ca="1">IF(AND(ISNUMBER(tblData[Generic]),tblData[Date]&gt;StartDt2Generic),tblData[Generic LogiP(t)]/$CA$9,"")</f>
        <v/>
      </c>
      <c r="CD27" s="106" t="str">
        <f ca="1">IF(AND(ISNUMBER(tblData[Generic]),tblData[Date]&gt;StartDt2Generic),(tblData[Generic]-AVERAGE(tblData[Generic]))^2,"")</f>
        <v/>
      </c>
      <c r="CE27" s="11">
        <f>tblData[[#This Row],[Date]]-Generic100dt+1</f>
        <v>-42</v>
      </c>
      <c r="CG27" s="11"/>
      <c r="CH27" s="11" t="str">
        <f>IF(ISNUMBER(tblData[[#This Row],[Tests]]),tblData[[#This Row],[Tests]]-CH26,"")</f>
        <v/>
      </c>
      <c r="CI27" s="11" t="str">
        <f>IF(ISNUMBER(tblData[[#This Row],[NSW Under Investigation'']]),tblData[[#This Row],[NSW Under Investigation'']]-CG26,"")</f>
        <v/>
      </c>
      <c r="CJ27" s="11"/>
      <c r="CK27" s="11" t="str">
        <f>IF(AND(tblData[[#This Row],[NSW Test Day Number]]&gt;0,ISNUMBER(tblData[[#This Row],[NSW Test Day Number]])),betaTests/(deltaTests+betaPodeltaTests*EXP(-betaTests*tblData[[#This Row],[NSW Test Day Number]])),"")</f>
        <v/>
      </c>
      <c r="CL27" s="11" t="str">
        <f>IF(tblData[Tests]&gt;0,(tblData[[#This Row],[Tests]]-tblData[[#This Row],[NSW Test Logi]])^2,"")</f>
        <v/>
      </c>
      <c r="CM27" s="106" t="str">
        <f>IF(AND(ISNUMBER(tblData[Tests]),tblData[Date]&gt;StartDt2Tests),(tblData[Tests]-AVERAGE(tblData[Tests]))^2,"")</f>
        <v/>
      </c>
      <c r="CN27" s="11" t="str">
        <f>IF(ISNUMBER(tblData[Tests]),tblData[Tests]/$CN$9/100,"")</f>
        <v/>
      </c>
      <c r="CO27" s="11" t="str">
        <f>IF(AND(tblData[[#This Row],[NSW Test Day Number]]&gt;0,ISNUMBER(tblData[[#This Row],[NSW Test Day Number]])),TestsLogestB*TestsLogestM^tblData[[#This Row],[NSW Test Day Number]],"")</f>
        <v/>
      </c>
      <c r="CP27" s="11" t="str">
        <f>IF(AND(tblData[[#This Row],[NSW Test Day Number]]&gt;0,ISNUMBER(tblData[Tests])),(tblData[Tests]-tblData[[#This Row],[NSW Test Per Capita]])^2,"")</f>
        <v/>
      </c>
      <c r="CQ27" s="39">
        <f ca="1">IF(AND(tblData[Day '# NSW]&gt;0,ISNUMBER(tblData[[#This Row],[Day '# NSW]])),NSWLogestB*NSWLogestM^tblData[[#This Row],[Day '# NSW]]/$CR$9,"")</f>
        <v>3.9904132349407799</v>
      </c>
      <c r="CR27" s="39">
        <f ca="1">IF(AND(ISNUMBER(tblData[NSW]),tblData[Date]&gt;StartDt2NSW),(tblData[NSW]/$CR$9-tblData[[#This Row],[NSW Cases LogEst]])^2,"")</f>
        <v>0.92175709065683031</v>
      </c>
      <c r="CS27" s="11"/>
      <c r="CT27" s="11"/>
      <c r="CU27" s="26"/>
      <c r="CW27" s="25"/>
      <c r="CX27"/>
      <c r="DK27" s="25"/>
      <c r="DL27" s="25"/>
      <c r="DM27" s="25"/>
      <c r="DR27"/>
      <c r="DS27"/>
      <c r="DT27"/>
      <c r="DU27"/>
      <c r="EB27" s="25"/>
      <c r="EC27" s="25"/>
      <c r="ED27" s="25"/>
      <c r="EE27" s="25"/>
      <c r="EK27"/>
      <c r="EL27"/>
      <c r="EM27"/>
      <c r="EN27"/>
      <c r="EO27"/>
      <c r="EP27"/>
      <c r="EQ27"/>
      <c r="ER27"/>
      <c r="ES27"/>
      <c r="ET27"/>
      <c r="EU27" s="26" t="s">
        <v>48</v>
      </c>
      <c r="EV27" s="69">
        <v>43915.901145833333</v>
      </c>
      <c r="EW27" s="26">
        <v>43855</v>
      </c>
      <c r="EX27" s="26">
        <v>43855</v>
      </c>
      <c r="EY27" s="25">
        <v>0</v>
      </c>
      <c r="EZ27" s="25">
        <v>0.23000638427760947</v>
      </c>
      <c r="FA27" s="25">
        <v>1.6751750240899824E-5</v>
      </c>
      <c r="FB27" s="21">
        <v>3.0502463844231313E-3</v>
      </c>
      <c r="FC27" s="82">
        <v>13730.289729131888</v>
      </c>
      <c r="FD27" s="82">
        <v>19.834905605897919</v>
      </c>
      <c r="FE27" s="25">
        <v>75.405821101938017</v>
      </c>
      <c r="FF27" s="84">
        <v>1.6751750240899824E-2</v>
      </c>
      <c r="FG27" s="26">
        <v>43915</v>
      </c>
      <c r="FH27" s="25" t="s">
        <v>1515</v>
      </c>
      <c r="FI27" s="84">
        <v>13730.289729131888</v>
      </c>
      <c r="FJ27" s="84">
        <v>2431</v>
      </c>
      <c r="FK27" s="25" t="s">
        <v>1516</v>
      </c>
      <c r="FL27" s="26">
        <v>43915</v>
      </c>
      <c r="FM27" s="25">
        <v>61</v>
      </c>
      <c r="FN27" s="25" t="s">
        <v>1517</v>
      </c>
      <c r="FO27" s="25"/>
      <c r="FP27" s="25" t="s">
        <v>1518</v>
      </c>
      <c r="FR27" s="72" t="s">
        <v>1519</v>
      </c>
      <c r="FS27" s="19">
        <v>958.44504021447722</v>
      </c>
      <c r="FT27" s="72"/>
      <c r="FU27" s="25"/>
      <c r="FV27" s="25"/>
      <c r="FW27" s="25"/>
      <c r="FX27" s="25" t="s">
        <v>1514</v>
      </c>
      <c r="FY27" s="25"/>
      <c r="FZ27" s="25"/>
      <c r="GA27" s="25"/>
      <c r="GB27" s="25"/>
      <c r="GC27" s="25"/>
    </row>
    <row r="28" spans="2:185" ht="15" customHeight="1" x14ac:dyDescent="0.25">
      <c r="B28" s="1">
        <v>43869</v>
      </c>
      <c r="C28">
        <v>0</v>
      </c>
      <c r="D28" s="25">
        <v>0</v>
      </c>
      <c r="E28">
        <v>4</v>
      </c>
      <c r="F28">
        <v>0</v>
      </c>
      <c r="G28">
        <v>5</v>
      </c>
      <c r="H28">
        <v>2</v>
      </c>
      <c r="I28">
        <v>0</v>
      </c>
      <c r="J28">
        <v>4</v>
      </c>
      <c r="K28">
        <v>0</v>
      </c>
      <c r="L28" s="12">
        <f>IF(ISNUMBER(tblData[[#This Row],[NSW]]),tblData[[#This Row],[New South Wales]]/$L$9,"")</f>
        <v>4.9504950495049505</v>
      </c>
      <c r="M28" s="25">
        <v>3</v>
      </c>
      <c r="N28" s="44">
        <f>IF(ISNUMBER(tblData[Italy]),tblData[Italy]/$N$9,"")</f>
        <v>0.49599074150615857</v>
      </c>
      <c r="O28">
        <v>11</v>
      </c>
      <c r="P28" s="106">
        <f>IF(ISNUMBER(tblData[US]),tblData[US]/$P$9,"")</f>
        <v>0.33411521761595392</v>
      </c>
      <c r="Q28">
        <v>24</v>
      </c>
      <c r="R28" s="19">
        <f>IF(ISNUMBER(tblData[SKorea]),tblData[SKorea]/$R$9,"")</f>
        <v>4.6692607003891053</v>
      </c>
      <c r="S28">
        <v>3</v>
      </c>
      <c r="T28" s="12">
        <f>IF(ISNUMBER(tblData[UK]),tblData[UK]/$T$9,"")</f>
        <v>0.45153521974714028</v>
      </c>
      <c r="U28">
        <v>36814</v>
      </c>
      <c r="V28" s="20">
        <f>IF(ISNUMBER(tblData[China]),tblData[China]/$V$9,"")</f>
        <v>255.77288872632366</v>
      </c>
      <c r="W28">
        <v>33</v>
      </c>
      <c r="X28" s="20">
        <f>IF(ISNUMBER(tblData[Singapore]),tblData[Singapore]/$X$9,"")</f>
        <v>56.410256410256416</v>
      </c>
      <c r="Y28"/>
      <c r="Z28" s="20" t="str">
        <f>IF(AND(LEN(tblData[Generic])&gt;0,ISNUMBER(tblData[Generic])),tblData[Generic]/$Z$9,"")</f>
        <v/>
      </c>
      <c r="AA28" s="25">
        <f ca="1">IF(tblData[[#This Row],[Date]]&lt;StartDt2Italy,"",tblData[[#This Row],[Date]]-ItalyStart)</f>
        <v>9</v>
      </c>
      <c r="AB28" s="25">
        <f ca="1">IF(tblData[[#This Row],[Date]]&lt;=StartDt2US,"",tblData[[#This Row],[Date]]-USStart)</f>
        <v>17</v>
      </c>
      <c r="AC28" s="25">
        <f ca="1">IF(tblData[[#This Row],[Date]]&lt;StartDt2China,"",tblData[[#This Row],[Date]]-ChinaStart)</f>
        <v>17</v>
      </c>
      <c r="AD28" s="25">
        <f>IF(tblData[[#This Row],[Date]]&lt;=SKoreaStart,"",tblData[[#This Row],[Date]]-SKoreaStart)</f>
        <v>17</v>
      </c>
      <c r="AE28" s="25">
        <f ca="1">IF(tblData[[#This Row],[Date]]&lt;=StartDt2UK,"",tblData[[#This Row],[Date]]-UKStart)</f>
        <v>9</v>
      </c>
      <c r="AF28" s="25" t="str">
        <f>IF(tblData[[#This Row],[Date]]&lt;StartDt2Singapore,"",tblData[[#This Row],[Date]]-SingaporeStart)</f>
        <v/>
      </c>
      <c r="AG28" s="25">
        <f ca="1">IF(tblData[[#This Row],[Date]]&lt;StartDt2Generic,"",tblData[[#This Row],[Date]]-GenericStart)</f>
        <v>17</v>
      </c>
      <c r="AH28">
        <f ca="1">IF(tblData[Date]&gt;StartDt2Au,tblData[Date]-AuStart,"")</f>
        <v>14</v>
      </c>
      <c r="AI28" s="25">
        <f>IF(tblData[New South Wales]&gt;=0,SUM(tblData[[#This Row],[Australian Capital Territory]:[Western Australia]]),"")</f>
        <v>15</v>
      </c>
      <c r="AJ28" s="12">
        <f>IF(ISNUMBER(tblData[Au]),tblData[Au]/$AE$9,"")</f>
        <v>5.9138937076170954</v>
      </c>
      <c r="AK28" s="19">
        <f ca="1">IF(ISNUMBER(tblData[[#This Row],[Day'# Aust]]),betaAu/(deltaAu+betaPodeltaAu*EXP(-betaAu*tblData[[#This Row],[Day'# Aust]])),"")</f>
        <v>3.4575069220617601E-2</v>
      </c>
      <c r="AL28" s="62">
        <f ca="1">IF(ISNUMBER(tblData[Day'# Aust]),tblData[Au LogiP(t)]/$AJ$9,"")</f>
        <v>1.3631552286949062E-2</v>
      </c>
      <c r="AM28" s="11">
        <f ca="1">IF(AND(tblData[Date]&gt;StartDt2Au,ISNUMBER(tblData[NSW])),(tblData[[#This Row],[Au LogiP(t)]]-tblData[[#This Row],[Au]])^2,"")</f>
        <v>223.9639433587931</v>
      </c>
      <c r="AN28" s="11">
        <f ca="1">IF(AND(ISNUMBER(tblData[Au]),tblData[Date]&gt;StartDt2Au),(tblData[Au]-AVERAGE(tblData[Au]))^2,"")</f>
        <v>183488.66503328402</v>
      </c>
      <c r="AO28" s="11">
        <f>tblData[[#This Row],[Date]]-Au100dt</f>
        <v>-35</v>
      </c>
      <c r="AP28">
        <f ca="1">IF(tblData[Date]&gt;StartDt2NSW,tblData[Date]-StartDt2NSW,"")</f>
        <v>14</v>
      </c>
      <c r="AQ28" s="25">
        <f>IF(tblData[[#This Row],[New South Wales]]&gt;0,tblData[[#This Row],[New South Wales]],"")</f>
        <v>4</v>
      </c>
      <c r="AR28" s="44">
        <f ca="1">IF(tblData[Date]&gt;StartDt2NSW,betaNSW/(deltaNSW+betaPodeltaNSW*EXP(-betaNSW*tblData[[#This Row],[Day '# NSW]])),"")</f>
        <v>2.7915771161509929E-2</v>
      </c>
      <c r="AS28" s="12">
        <f ca="1">IF(AND(ISNUMBER(tblData[NSW]),tblData[Date]&gt;StartDt2NSW),(tblData[[#This Row],[NSW LogiP(t)]]-tblData[[#This Row],[NSW]])^2,"")</f>
        <v>15.777453120987463</v>
      </c>
      <c r="AT28" s="12">
        <f ca="1">IF(AND(tblData[Date]&gt;StartDt2NSW,ISNUMBER(tblData[Day'# Aust])),tblData[NSW LogiP(t)]/$AR$9,"")</f>
        <v>3.4549221734541988E-2</v>
      </c>
      <c r="AU28" s="11">
        <f>tblData[[#This Row],[Date]]-NSW100dt+1</f>
        <v>-31</v>
      </c>
      <c r="AV28" s="11">
        <f ca="1">IF(AND(ISNUMBER(tblData[NSW]),tblData[Date]&gt;StartDt2NSW),(tblData[NSW]-AVERAGE(tblData[NSW]))^2,"")</f>
        <v>83990.760134425553</v>
      </c>
      <c r="AW28" s="39">
        <f ca="1">IF(AND(tblData[Date]&gt;StartDt2Italy,ISNUMBER(tblData[Days'# Italy])),betaItaly/(deltaItaly+betaPodeltaItaly*EXP(-betaItaly*tblData[Days'# Italy])),"")</f>
        <v>4.4634260243909241</v>
      </c>
      <c r="AX28" s="11">
        <f ca="1">IF(AND(tblData[Date]&gt;StartDt2Italy,ISNUMBER(tblData[Italy])),(tblData[[#This Row],[Italy LogiP(t)]]-tblData[[#This Row],[Italy]])^2,"")</f>
        <v>2.1416157288646254</v>
      </c>
      <c r="AY28" s="39">
        <f ca="1">IF(AND(tblData[Date]&gt;StartDt2Italy,ISNUMBER(tblData[Days'# Italy])),tblData[[#This Row],[Italy LogiP(t)]]/$AW$9,"")</f>
        <v>0.73793932783184657</v>
      </c>
      <c r="AZ28" s="39">
        <f ca="1">IF(AND(ISNUMBER(tblData[Italy]),tblData[Date]&gt;StartDt2Italy),(tblData[Italy]-AVERAGE(tblData[Italy]))^2,"")</f>
        <v>439983253.38271606</v>
      </c>
      <c r="BA28" s="11">
        <f>tblData[[#This Row],[Date]]-Italy100dt+1</f>
        <v>-18</v>
      </c>
      <c r="BB28" s="11">
        <f ca="1">IF(AND(tblData[Date]&gt;StartDt2US,ISNUMBER(tblData[[#This Row],[Days'# US]])),betaUS/(deltaUS+betaPodeltaUS*EXP(-betaUS*tblData[Days'# US])),"")</f>
        <v>0.12447130149240604</v>
      </c>
      <c r="BC28" s="11">
        <f ca="1">IF(AND(tblData[Date]&gt;StartDt2US,ISNUMBER(tblData[US])),(tblData[[#This Row],[US LogiP(t)]]-tblData[US])^2,"")</f>
        <v>118.27712447206228</v>
      </c>
      <c r="BD28" s="137">
        <f ca="1">IF(AND(tblData[Date]&gt;=StartDt2US,ISNUMBER(tblData[[#This Row],[Days'# US]])),tblData[[#This Row],[US LogiP(t)]]/$BB$9,"")</f>
        <v>3.7807050895523869E-3</v>
      </c>
      <c r="BE28" s="137">
        <f ca="1">IF(AND(ISNUMBER(tblData[US]),tblData[Date]&gt;StartDt2US),(tblData[US]-AVERAGE(tblData[US]))^2,"")</f>
        <v>335023525.98313826</v>
      </c>
      <c r="BF28" s="11">
        <f>tblData[[#This Row],[Date]]-US100dt+1</f>
        <v>-34</v>
      </c>
      <c r="BG28" s="11" t="str">
        <f ca="1">IF(tblData[Date]&gt;StartDt2SKorea,betaSKorea/(deltaSKorea+betaPodeltaSKorea*EXP(-betaSKorea*(tblData[Date]-StartDt2SKorea))),"")</f>
        <v/>
      </c>
      <c r="BH28" s="11" t="str">
        <f ca="1">IF(AND(tblData[Date]&gt;StartDt2SKorea,ISNUMBER(tblData[SKorea])),(tblData[[#This Row],[SKorea LogiP(t)]]-tblData[[#This Row],[SKorea]])^2,"")</f>
        <v/>
      </c>
      <c r="BI28" s="11" t="str">
        <f ca="1">IF(tblData[Date]&gt;StartDt2SKorea,tblData[[#This Row],[SKorea LogiP(t)]]/$BG$9,"")</f>
        <v/>
      </c>
      <c r="BJ28" s="137" t="str">
        <f ca="1">IF(AND(ISNUMBER(tblData[SKorea]),tblData[Date]&gt;StartDt2SKorea),(tblData[SKorea]-AVERAGE(tblData[SKorea]))^2,"")</f>
        <v/>
      </c>
      <c r="BK28" s="11">
        <f>tblData[[#This Row],[Date]]-SKorea100dt+1</f>
        <v>-13</v>
      </c>
      <c r="BL28" s="137">
        <f ca="1">IF(AND(tblData[Date]&gt;StartDt2UK,ISNUMBER(tblData[Days'# UK])),betaUK/(deltaUK+betaPodeltaUK*EXP(-betaUK*tblData[Days'# UK])),"")</f>
        <v>0.60188893216573325</v>
      </c>
      <c r="BM28" s="11">
        <f ca="1">IF(AND(tblData[Date]&gt;StartDt2UK,ISNUMBER(tblData[UK])),(tblData[[#This Row],[UK LogiP(t)]]-tblData[[#This Row],[UK]])^2,"")</f>
        <v>5.7509366936692068</v>
      </c>
      <c r="BN28" s="11">
        <f ca="1">IF(ISNUMBER(tblData[Days'# UK]),tblData[[#This Row],[UK LogiP(t)]]/$BL$9,"")</f>
        <v>9.0591350416275321E-2</v>
      </c>
      <c r="BO28" s="137">
        <f ca="1">IF(AND(ISNUMBER(tblData[UK]),tblData[Date]&gt;StartDt2UK),(tblData[UK]-AVERAGE(tblData[UK]))^2,"")</f>
        <v>9621517.7346938755</v>
      </c>
      <c r="BP28" s="11">
        <f>tblData[[#This Row],[Date]]-UK100dt</f>
        <v>-33</v>
      </c>
      <c r="BQ28" s="11">
        <f ca="1">IF(ISNUMBER(tblData[Days'# China]),betaChina/(deltaChina+betaPodeltaChina*EXP(-betaChina*tblData[Days'# China])),"")</f>
        <v>37053.844787036345</v>
      </c>
      <c r="BR28" s="11">
        <f ca="1">IF(ISNUMBER(tblData[China]),(tblData[[#This Row],[China LogiP(t)]]-tblData[[#This Row],[China]])^2,"")</f>
        <v>57525.521868509793</v>
      </c>
      <c r="BS28" s="11">
        <f ca="1">tblData[[#This Row],[China LogiP(t)]]/$BQ$9</f>
        <v>257.43926005316229</v>
      </c>
      <c r="BT28" s="137">
        <f ca="1">IF(AND(ISNUMBER(tblData[China]),tblData[Date]&gt;StartDt2China),(tblData[China]-AVERAGE(tblData[China]))^2,"")</f>
        <v>543587254.72009528</v>
      </c>
      <c r="BU28" s="11">
        <f>tblData[[#This Row],[Date]]-China100dt</f>
        <v>17</v>
      </c>
      <c r="BV28" s="106" t="str">
        <f>IF(ISNUMBER(tblData[Day'# Singapore]),betaSingapore/(deltaSingapore+betaPodeltaSingapore*EXP(-betaSingapore*tblData[Day'# Singapore])),"")</f>
        <v/>
      </c>
      <c r="BW28" s="11" t="str">
        <f>IF(AND(ISNUMBER(tblData[Singapore]),tblData[Date]&gt;=StartDt2Singapore),(tblData[[#This Row],[Singapore LogiP(t)]]-tblData[[#This Row],[Singapore]])^2,"")</f>
        <v/>
      </c>
      <c r="BX28" s="106" t="str">
        <f>IF(ISNUMBER(tblData[Day'# Singapore]),tblData[Singapore LogiP(t)]/$BV$9,"")</f>
        <v/>
      </c>
      <c r="BY28" s="106" t="str">
        <f>IF(AND(ISNUMBER(tblData[Singapore]),tblData[Date]&gt;StartDt2Singapore),(tblData[Singapore]-AVERAGE(tblData[Singapore]))^2,"")</f>
        <v/>
      </c>
      <c r="BZ28" s="11">
        <f>tblData[[#This Row],[Date]]-Singapore100dt+1</f>
        <v>-2</v>
      </c>
      <c r="CA28" s="11">
        <f ca="1">IF(AND(tblData[Date]&gt;StartDt2Generic,ISNUMBER(tblData[Day'# Generic])),betaGeneric/(deltaGeneric+betaPodeltaGeneric*EXP(-betaGeneric*tblData[Day'# Generic])),"")</f>
        <v>2.8414853498735099E-2</v>
      </c>
      <c r="CB28" s="106" t="str">
        <f ca="1">IF(AND(ISNUMBER(tblData[Generic]),tblData[Date]&gt;StartDt2Generic),(tblData[Generic LogiP(t)]-tblData[[#This Row],[Generic]])^2,"")</f>
        <v/>
      </c>
      <c r="CC28" s="11" t="str">
        <f ca="1">IF(AND(ISNUMBER(tblData[Generic]),tblData[Date]&gt;StartDt2Generic),tblData[Generic LogiP(t)]/$CA$9,"")</f>
        <v/>
      </c>
      <c r="CD28" s="106" t="str">
        <f ca="1">IF(AND(ISNUMBER(tblData[Generic]),tblData[Date]&gt;StartDt2Generic),(tblData[Generic]-AVERAGE(tblData[Generic]))^2,"")</f>
        <v/>
      </c>
      <c r="CE28" s="11">
        <f>tblData[[#This Row],[Date]]-Generic100dt+1</f>
        <v>-41</v>
      </c>
      <c r="CG28" s="11"/>
      <c r="CH28" s="11" t="str">
        <f>IF(ISNUMBER(tblData[[#This Row],[Tests]]),tblData[[#This Row],[Tests]]-CH27,"")</f>
        <v/>
      </c>
      <c r="CI28" s="11" t="str">
        <f>IF(ISNUMBER(tblData[[#This Row],[NSW Under Investigation'']]),tblData[[#This Row],[NSW Under Investigation'']]-CG27,"")</f>
        <v/>
      </c>
      <c r="CJ28" s="11"/>
      <c r="CK28" s="11" t="str">
        <f>IF(AND(tblData[[#This Row],[NSW Test Day Number]]&gt;0,ISNUMBER(tblData[[#This Row],[NSW Test Day Number]])),betaTests/(deltaTests+betaPodeltaTests*EXP(-betaTests*tblData[[#This Row],[NSW Test Day Number]])),"")</f>
        <v/>
      </c>
      <c r="CL28" s="11" t="str">
        <f>IF(tblData[Tests]&gt;0,(tblData[[#This Row],[Tests]]-tblData[[#This Row],[NSW Test Logi]])^2,"")</f>
        <v/>
      </c>
      <c r="CM28" s="106" t="str">
        <f>IF(AND(ISNUMBER(tblData[Tests]),tblData[Date]&gt;StartDt2Tests),(tblData[Tests]-AVERAGE(tblData[Tests]))^2,"")</f>
        <v/>
      </c>
      <c r="CN28" s="11" t="str">
        <f>IF(ISNUMBER(tblData[Tests]),tblData[Tests]/$CN$9/100,"")</f>
        <v/>
      </c>
      <c r="CO28" s="11" t="str">
        <f>IF(AND(tblData[[#This Row],[NSW Test Day Number]]&gt;0,ISNUMBER(tblData[[#This Row],[NSW Test Day Number]])),TestsLogestB*TestsLogestM^tblData[[#This Row],[NSW Test Day Number]],"")</f>
        <v/>
      </c>
      <c r="CP28" s="11" t="str">
        <f>IF(AND(tblData[[#This Row],[NSW Test Day Number]]&gt;0,ISNUMBER(tblData[Tests])),(tblData[Tests]-tblData[[#This Row],[NSW Test Per Capita]])^2,"")</f>
        <v/>
      </c>
      <c r="CQ28" s="39">
        <f ca="1">IF(AND(tblData[Day '# NSW]&gt;0,ISNUMBER(tblData[[#This Row],[Day '# NSW]])),NSWLogestB*NSWLogestM^tblData[[#This Row],[Day '# NSW]]/$CR$9,"")</f>
        <v>4.4410860104544376</v>
      </c>
      <c r="CR28" s="39">
        <f ca="1">IF(AND(ISNUMBER(tblData[NSW]),tblData[Date]&gt;StartDt2NSW),(tblData[NSW]/$CR$9-tblData[[#This Row],[NSW Cases LogEst]])^2,"")</f>
        <v>0.2594975690663669</v>
      </c>
      <c r="CS28" s="11"/>
      <c r="CT28" s="11"/>
      <c r="CU28" s="26"/>
      <c r="CW28" s="25"/>
      <c r="CX28"/>
      <c r="DK28" s="25"/>
      <c r="DL28" s="25"/>
      <c r="DM28" s="25"/>
      <c r="DR28"/>
      <c r="DS28"/>
      <c r="DT28"/>
      <c r="DU28"/>
      <c r="EB28" s="25"/>
      <c r="EC28" s="25"/>
      <c r="ED28" s="25"/>
      <c r="EE28" s="25"/>
      <c r="EK28"/>
      <c r="EL28"/>
      <c r="EM28"/>
      <c r="EN28"/>
      <c r="EO28"/>
      <c r="EP28"/>
      <c r="EQ28"/>
      <c r="ER28"/>
      <c r="ES28"/>
      <c r="ET28"/>
      <c r="EU28" s="26" t="s">
        <v>48</v>
      </c>
      <c r="EV28" s="69">
        <v>43916.456574074073</v>
      </c>
      <c r="EW28" s="26">
        <v>43855</v>
      </c>
      <c r="EX28" s="26">
        <v>43855</v>
      </c>
      <c r="EY28" s="25">
        <v>0</v>
      </c>
      <c r="EZ28" s="25">
        <v>0.2525762813266027</v>
      </c>
      <c r="FA28" s="25">
        <v>4.0414292801205234E-5</v>
      </c>
      <c r="FB28" s="21">
        <v>9.999999999999998E-4</v>
      </c>
      <c r="FC28" s="82">
        <v>6249.6771270749632</v>
      </c>
      <c r="FD28" s="82">
        <v>34.603419735329808</v>
      </c>
      <c r="FE28" s="25">
        <v>252.57624091230994</v>
      </c>
      <c r="FF28" s="84">
        <v>4.0414292801205232E-2</v>
      </c>
      <c r="FG28" s="26">
        <v>43916</v>
      </c>
      <c r="FH28" s="25" t="s">
        <v>1539</v>
      </c>
      <c r="FI28" s="84">
        <v>6249.6771270749632</v>
      </c>
      <c r="FJ28" s="84">
        <v>2677</v>
      </c>
      <c r="FK28" s="25" t="s">
        <v>1540</v>
      </c>
      <c r="FL28" s="26">
        <v>43916</v>
      </c>
      <c r="FM28" s="25">
        <v>62</v>
      </c>
      <c r="FN28" s="25" t="s">
        <v>1541</v>
      </c>
      <c r="FO28" s="25"/>
      <c r="FP28" s="25" t="s">
        <v>1542</v>
      </c>
      <c r="FR28" s="72" t="s">
        <v>1543</v>
      </c>
      <c r="FS28" s="19">
        <v>1055.4328970193976</v>
      </c>
      <c r="FT28" s="72"/>
      <c r="FU28" s="25"/>
      <c r="FV28" s="25"/>
      <c r="FW28" s="25"/>
      <c r="FX28" s="25" t="s">
        <v>1538</v>
      </c>
      <c r="FY28" s="25"/>
      <c r="FZ28" s="25"/>
      <c r="GA28" s="25"/>
      <c r="GB28" s="25"/>
    </row>
    <row r="29" spans="2:185" x14ac:dyDescent="0.25">
      <c r="B29" s="1">
        <v>43870</v>
      </c>
      <c r="C29">
        <v>0</v>
      </c>
      <c r="D29" s="25">
        <v>0</v>
      </c>
      <c r="E29">
        <v>4</v>
      </c>
      <c r="F29">
        <v>0</v>
      </c>
      <c r="G29">
        <v>5</v>
      </c>
      <c r="H29">
        <v>2</v>
      </c>
      <c r="I29">
        <v>0</v>
      </c>
      <c r="J29">
        <v>4</v>
      </c>
      <c r="K29">
        <v>0</v>
      </c>
      <c r="L29" s="12">
        <f>IF(ISNUMBER(tblData[[#This Row],[NSW]]),tblData[[#This Row],[New South Wales]]/$L$9,"")</f>
        <v>4.9504950495049505</v>
      </c>
      <c r="M29" s="25">
        <v>3</v>
      </c>
      <c r="N29" s="44">
        <f>IF(ISNUMBER(tblData[Italy]),tblData[Italy]/$N$9,"")</f>
        <v>0.49599074150615857</v>
      </c>
      <c r="O29">
        <v>11</v>
      </c>
      <c r="P29" s="106">
        <f>IF(ISNUMBER(tblData[US]),tblData[US]/$P$9,"")</f>
        <v>0.33411521761595392</v>
      </c>
      <c r="Q29">
        <v>25</v>
      </c>
      <c r="R29" s="19">
        <f>IF(ISNUMBER(tblData[SKorea]),tblData[SKorea]/$R$9,"")</f>
        <v>4.8638132295719849</v>
      </c>
      <c r="S29">
        <v>3</v>
      </c>
      <c r="T29" s="12">
        <f>IF(ISNUMBER(tblData[UK]),tblData[UK]/$T$9,"")</f>
        <v>0.45153521974714028</v>
      </c>
      <c r="U29">
        <v>39829</v>
      </c>
      <c r="V29" s="20">
        <f>IF(ISNUMBER(tblData[China]),tblData[China]/$V$9,"")</f>
        <v>276.72022559571752</v>
      </c>
      <c r="W29">
        <v>40</v>
      </c>
      <c r="X29" s="20">
        <f>IF(ISNUMBER(tblData[Singapore]),tblData[Singapore]/$X$9,"")</f>
        <v>68.376068376068375</v>
      </c>
      <c r="Y29"/>
      <c r="Z29" s="20" t="str">
        <f>IF(AND(LEN(tblData[Generic])&gt;0,ISNUMBER(tblData[Generic])),tblData[Generic]/$Z$9,"")</f>
        <v/>
      </c>
      <c r="AA29" s="25">
        <f ca="1">IF(tblData[[#This Row],[Date]]&lt;StartDt2Italy,"",tblData[[#This Row],[Date]]-ItalyStart)</f>
        <v>10</v>
      </c>
      <c r="AB29" s="25">
        <f ca="1">IF(tblData[[#This Row],[Date]]&lt;=StartDt2US,"",tblData[[#This Row],[Date]]-USStart)</f>
        <v>18</v>
      </c>
      <c r="AC29" s="25">
        <f ca="1">IF(tblData[[#This Row],[Date]]&lt;StartDt2China,"",tblData[[#This Row],[Date]]-ChinaStart)</f>
        <v>18</v>
      </c>
      <c r="AD29" s="25">
        <f>IF(tblData[[#This Row],[Date]]&lt;=SKoreaStart,"",tblData[[#This Row],[Date]]-SKoreaStart)</f>
        <v>18</v>
      </c>
      <c r="AE29" s="25">
        <f ca="1">IF(tblData[[#This Row],[Date]]&lt;=StartDt2UK,"",tblData[[#This Row],[Date]]-UKStart)</f>
        <v>10</v>
      </c>
      <c r="AF29" s="25" t="str">
        <f>IF(tblData[[#This Row],[Date]]&lt;StartDt2Singapore,"",tblData[[#This Row],[Date]]-SingaporeStart)</f>
        <v/>
      </c>
      <c r="AG29" s="25">
        <f ca="1">IF(tblData[[#This Row],[Date]]&lt;StartDt2Generic,"",tblData[[#This Row],[Date]]-GenericStart)</f>
        <v>18</v>
      </c>
      <c r="AH29">
        <f ca="1">IF(tblData[Date]&gt;StartDt2Au,tblData[Date]-AuStart,"")</f>
        <v>15</v>
      </c>
      <c r="AI29" s="25">
        <f>IF(tblData[New South Wales]&gt;=0,SUM(tblData[[#This Row],[Australian Capital Territory]:[Western Australia]]),"")</f>
        <v>15</v>
      </c>
      <c r="AJ29" s="12">
        <f>IF(ISNUMBER(tblData[Au]),tblData[Au]/$AE$9,"")</f>
        <v>5.9138937076170954</v>
      </c>
      <c r="AK29" s="19">
        <f ca="1">IF(ISNUMBER(tblData[[#This Row],[Day'# Aust]]),betaAu/(deltaAu+betaPodeltaAu*EXP(-betaAu*tblData[[#This Row],[Day'# Aust]])),"")</f>
        <v>4.4532202375955843E-2</v>
      </c>
      <c r="AL29" s="62">
        <f ca="1">IF(ISNUMBER(tblData[Day'# Aust]),tblData[Au LogiP(t)]/$AJ$9,"")</f>
        <v>1.7557247427833086E-2</v>
      </c>
      <c r="AM29" s="11">
        <f ca="1">IF(AND(tblData[Date]&gt;StartDt2Au,ISNUMBER(tblData[NSW])),(tblData[[#This Row],[Au LogiP(t)]]-tblData[[#This Row],[Au]])^2,"")</f>
        <v>223.66601704576976</v>
      </c>
      <c r="AN29" s="11">
        <f ca="1">IF(AND(ISNUMBER(tblData[Au]),tblData[Date]&gt;StartDt2Au),(tblData[Au]-AVERAGE(tblData[Au]))^2,"")</f>
        <v>183488.66503328402</v>
      </c>
      <c r="AO29" s="11">
        <f>tblData[[#This Row],[Date]]-Au100dt</f>
        <v>-34</v>
      </c>
      <c r="AP29">
        <f ca="1">IF(tblData[Date]&gt;StartDt2NSW,tblData[Date]-StartDt2NSW,"")</f>
        <v>15</v>
      </c>
      <c r="AQ29" s="25">
        <f>IF(tblData[[#This Row],[New South Wales]]&gt;0,tblData[[#This Row],[New South Wales]],"")</f>
        <v>4</v>
      </c>
      <c r="AR29" s="44">
        <f ca="1">IF(tblData[Date]&gt;StartDt2NSW,betaNSW/(deltaNSW+betaPodeltaNSW*EXP(-betaNSW*tblData[[#This Row],[Day '# NSW]])),"")</f>
        <v>3.5409826318798618E-2</v>
      </c>
      <c r="AS29" s="12">
        <f ca="1">IF(AND(ISNUMBER(tblData[NSW]),tblData[Date]&gt;StartDt2NSW),(tblData[[#This Row],[NSW LogiP(t)]]-tblData[[#This Row],[NSW]])^2,"")</f>
        <v>15.717975245249537</v>
      </c>
      <c r="AT29" s="12">
        <f ca="1">IF(AND(tblData[Date]&gt;StartDt2NSW,ISNUMBER(tblData[Day'# Aust])),tblData[NSW LogiP(t)]/$AR$9,"")</f>
        <v>4.3824042473760663E-2</v>
      </c>
      <c r="AU29" s="11">
        <f>tblData[[#This Row],[Date]]-NSW100dt+1</f>
        <v>-30</v>
      </c>
      <c r="AV29" s="11">
        <f ca="1">IF(AND(ISNUMBER(tblData[NSW]),tblData[Date]&gt;StartDt2NSW),(tblData[NSW]-AVERAGE(tblData[NSW]))^2,"")</f>
        <v>83990.760134425553</v>
      </c>
      <c r="AW29" s="39">
        <f ca="1">IF(AND(tblData[Date]&gt;StartDt2Italy,ISNUMBER(tblData[Days'# Italy])),betaItaly/(deltaItaly+betaPodeltaItaly*EXP(-betaItaly*tblData[Days'# Italy])),"")</f>
        <v>5.7692271919787306</v>
      </c>
      <c r="AX29" s="11">
        <f ca="1">IF(AND(tblData[Date]&gt;StartDt2Italy,ISNUMBER(tblData[Italy])),(tblData[[#This Row],[Italy LogiP(t)]]-tblData[[#This Row],[Italy]])^2,"")</f>
        <v>7.6686192407944054</v>
      </c>
      <c r="AY29" s="39">
        <f ca="1">IF(AND(tblData[Date]&gt;StartDt2Italy,ISNUMBER(tblData[Days'# Italy])),tblData[[#This Row],[Italy LogiP(t)]]/$AW$9,"")</f>
        <v>0.95382775762234118</v>
      </c>
      <c r="AZ29" s="39">
        <f ca="1">IF(AND(ISNUMBER(tblData[Italy]),tblData[Date]&gt;StartDt2Italy),(tblData[Italy]-AVERAGE(tblData[Italy]))^2,"")</f>
        <v>439983253.38271606</v>
      </c>
      <c r="BA29" s="11">
        <f>tblData[[#This Row],[Date]]-Italy100dt+1</f>
        <v>-17</v>
      </c>
      <c r="BB29" s="11">
        <f ca="1">IF(AND(tblData[Date]&gt;StartDt2US,ISNUMBER(tblData[[#This Row],[Days'# US]])),betaUS/(deltaUS+betaPodeltaUS*EXP(-betaUS*tblData[Days'# US])),"")</f>
        <v>0.16531359641176463</v>
      </c>
      <c r="BC29" s="11">
        <f ca="1">IF(AND(tblData[Date]&gt;StartDt2US,ISNUMBER(tblData[US])),(tblData[[#This Row],[US LogiP(t)]]-tblData[US])^2,"")</f>
        <v>117.39042946409978</v>
      </c>
      <c r="BD29" s="137">
        <f ca="1">IF(AND(tblData[Date]&gt;=StartDt2US,ISNUMBER(tblData[[#This Row],[Days'# US]])),tblData[[#This Row],[US LogiP(t)]]/$BB$9,"")</f>
        <v>5.0212534763629749E-3</v>
      </c>
      <c r="BE29" s="137">
        <f ca="1">IF(AND(ISNUMBER(tblData[US]),tblData[Date]&gt;StartDt2US),(tblData[US]-AVERAGE(tblData[US]))^2,"")</f>
        <v>335023525.98313826</v>
      </c>
      <c r="BF29" s="11">
        <f>tblData[[#This Row],[Date]]-US100dt+1</f>
        <v>-33</v>
      </c>
      <c r="BG29" s="11" t="str">
        <f ca="1">IF(tblData[Date]&gt;StartDt2SKorea,betaSKorea/(deltaSKorea+betaPodeltaSKorea*EXP(-betaSKorea*(tblData[Date]-StartDt2SKorea))),"")</f>
        <v/>
      </c>
      <c r="BH29" s="11" t="str">
        <f ca="1">IF(AND(tblData[Date]&gt;StartDt2SKorea,ISNUMBER(tblData[SKorea])),(tblData[[#This Row],[SKorea LogiP(t)]]-tblData[[#This Row],[SKorea]])^2,"")</f>
        <v/>
      </c>
      <c r="BI29" s="11" t="str">
        <f ca="1">IF(tblData[Date]&gt;StartDt2SKorea,tblData[[#This Row],[SKorea LogiP(t)]]/$BG$9,"")</f>
        <v/>
      </c>
      <c r="BJ29" s="137" t="str">
        <f ca="1">IF(AND(ISNUMBER(tblData[SKorea]),tblData[Date]&gt;StartDt2SKorea),(tblData[SKorea]-AVERAGE(tblData[SKorea]))^2,"")</f>
        <v/>
      </c>
      <c r="BK29" s="11">
        <f>tblData[[#This Row],[Date]]-SKorea100dt+1</f>
        <v>-12</v>
      </c>
      <c r="BL29" s="137">
        <f ca="1">IF(AND(tblData[Date]&gt;StartDt2UK,ISNUMBER(tblData[Days'# UK])),betaUK/(deltaUK+betaPodeltaUK*EXP(-betaUK*tblData[Days'# UK])),"")</f>
        <v>0.74527018150346358</v>
      </c>
      <c r="BM29" s="11">
        <f ca="1">IF(AND(tblData[Date]&gt;StartDt2UK,ISNUMBER(tblData[UK])),(tblData[[#This Row],[UK LogiP(t)]]-tblData[[#This Row],[UK]])^2,"")</f>
        <v>5.0838065544174249</v>
      </c>
      <c r="BN29" s="11">
        <f ca="1">IF(ISNUMBER(tblData[Days'# UK]),tblData[[#This Row],[UK LogiP(t)]]/$BL$9,"")</f>
        <v>0.11217191172538585</v>
      </c>
      <c r="BO29" s="137">
        <f ca="1">IF(AND(ISNUMBER(tblData[UK]),tblData[Date]&gt;StartDt2UK),(tblData[UK]-AVERAGE(tblData[UK]))^2,"")</f>
        <v>9621517.7346938755</v>
      </c>
      <c r="BP29" s="11">
        <f>tblData[[#This Row],[Date]]-UK100dt</f>
        <v>-32</v>
      </c>
      <c r="BQ29" s="11">
        <f ca="1">IF(ISNUMBER(tblData[Days'# China]),betaChina/(deltaChina+betaPodeltaChina*EXP(-betaChina*tblData[Days'# China])),"")</f>
        <v>41529.332332029706</v>
      </c>
      <c r="BR29" s="11">
        <f ca="1">IF(ISNUMBER(tblData[China]),(tblData[[#This Row],[China LogiP(t)]]-tblData[[#This Row],[China]])^2,"")</f>
        <v>2891130.0393455778</v>
      </c>
      <c r="BS29" s="11">
        <f ca="1">tblData[[#This Row],[China LogiP(t)]]/$BQ$9</f>
        <v>288.5336365903936</v>
      </c>
      <c r="BT29" s="137">
        <f ca="1">IF(AND(ISNUMBER(tblData[China]),tblData[Date]&gt;StartDt2China),(tblData[China]-AVERAGE(tblData[China]))^2,"")</f>
        <v>412088284.50882769</v>
      </c>
      <c r="BU29" s="11">
        <f>tblData[[#This Row],[Date]]-China100dt</f>
        <v>18</v>
      </c>
      <c r="BV29" s="106" t="str">
        <f>IF(ISNUMBER(tblData[Day'# Singapore]),betaSingapore/(deltaSingapore+betaPodeltaSingapore*EXP(-betaSingapore*tblData[Day'# Singapore])),"")</f>
        <v/>
      </c>
      <c r="BW29" s="11" t="str">
        <f>IF(AND(ISNUMBER(tblData[Singapore]),tblData[Date]&gt;=StartDt2Singapore),(tblData[[#This Row],[Singapore LogiP(t)]]-tblData[[#This Row],[Singapore]])^2,"")</f>
        <v/>
      </c>
      <c r="BX29" s="106" t="str">
        <f>IF(ISNUMBER(tblData[Day'# Singapore]),tblData[Singapore LogiP(t)]/$BV$9,"")</f>
        <v/>
      </c>
      <c r="BY29" s="106" t="str">
        <f>IF(AND(ISNUMBER(tblData[Singapore]),tblData[Date]&gt;StartDt2Singapore),(tblData[Singapore]-AVERAGE(tblData[Singapore]))^2,"")</f>
        <v/>
      </c>
      <c r="BZ29" s="11">
        <f>tblData[[#This Row],[Date]]-Singapore100dt+1</f>
        <v>-1</v>
      </c>
      <c r="CA29" s="11">
        <f ca="1">IF(AND(tblData[Date]&gt;StartDt2Generic,ISNUMBER(tblData[Day'# Generic])),betaGeneric/(deltaGeneric+betaPodeltaGeneric*EXP(-betaGeneric*tblData[Day'# Generic])),"")</f>
        <v>3.4597724300794122E-2</v>
      </c>
      <c r="CB29" s="106" t="str">
        <f ca="1">IF(AND(ISNUMBER(tblData[Generic]),tblData[Date]&gt;StartDt2Generic),(tblData[Generic LogiP(t)]-tblData[[#This Row],[Generic]])^2,"")</f>
        <v/>
      </c>
      <c r="CC29" s="11" t="str">
        <f ca="1">IF(AND(ISNUMBER(tblData[Generic]),tblData[Date]&gt;StartDt2Generic),tblData[Generic LogiP(t)]/$CA$9,"")</f>
        <v/>
      </c>
      <c r="CD29" s="106" t="str">
        <f ca="1">IF(AND(ISNUMBER(tblData[Generic]),tblData[Date]&gt;StartDt2Generic),(tblData[Generic]-AVERAGE(tblData[Generic]))^2,"")</f>
        <v/>
      </c>
      <c r="CE29" s="11">
        <f>tblData[[#This Row],[Date]]-Generic100dt+1</f>
        <v>-40</v>
      </c>
      <c r="CG29" s="11"/>
      <c r="CH29" s="11" t="str">
        <f>IF(ISNUMBER(tblData[[#This Row],[Tests]]),tblData[[#This Row],[Tests]]-CH28,"")</f>
        <v/>
      </c>
      <c r="CI29" s="11" t="str">
        <f>IF(ISNUMBER(tblData[[#This Row],[NSW Under Investigation'']]),tblData[[#This Row],[NSW Under Investigation'']]-CG28,"")</f>
        <v/>
      </c>
      <c r="CJ29" s="11"/>
      <c r="CK29" s="11" t="str">
        <f>IF(AND(tblData[[#This Row],[NSW Test Day Number]]&gt;0,ISNUMBER(tblData[[#This Row],[NSW Test Day Number]])),betaTests/(deltaTests+betaPodeltaTests*EXP(-betaTests*tblData[[#This Row],[NSW Test Day Number]])),"")</f>
        <v/>
      </c>
      <c r="CL29" s="11" t="str">
        <f>IF(tblData[Tests]&gt;0,(tblData[[#This Row],[Tests]]-tblData[[#This Row],[NSW Test Logi]])^2,"")</f>
        <v/>
      </c>
      <c r="CM29" s="106" t="str">
        <f>IF(AND(ISNUMBER(tblData[Tests]),tblData[Date]&gt;StartDt2Tests),(tblData[Tests]-AVERAGE(tblData[Tests]))^2,"")</f>
        <v/>
      </c>
      <c r="CN29" s="11" t="str">
        <f>IF(ISNUMBER(tblData[Tests]),tblData[Tests]/$CN$9/100,"")</f>
        <v/>
      </c>
      <c r="CO29" s="11" t="str">
        <f>IF(AND(tblData[[#This Row],[NSW Test Day Number]]&gt;0,ISNUMBER(tblData[[#This Row],[NSW Test Day Number]])),TestsLogestB*TestsLogestM^tblData[[#This Row],[NSW Test Day Number]],"")</f>
        <v/>
      </c>
      <c r="CP29" s="11" t="str">
        <f>IF(AND(tblData[[#This Row],[NSW Test Day Number]]&gt;0,ISNUMBER(tblData[Tests])),(tblData[Tests]-tblData[[#This Row],[NSW Test Per Capita]])^2,"")</f>
        <v/>
      </c>
      <c r="CQ29" s="39">
        <f ca="1">IF(AND(tblData[Day '# NSW]&gt;0,ISNUMBER(tblData[[#This Row],[Day '# NSW]])),NSWLogestB*NSWLogestM^tblData[[#This Row],[Day '# NSW]]/$CR$9,"")</f>
        <v>4.942657261547204</v>
      </c>
      <c r="CR29" s="39">
        <f ca="1">IF(AND(ISNUMBER(tblData[NSW]),tblData[Date]&gt;StartDt2NSW),(tblData[NSW]/$CR$9-tblData[[#This Row],[NSW Cases LogEst]])^2,"")</f>
        <v>6.1430920070595707E-5</v>
      </c>
      <c r="CS29" s="11"/>
      <c r="CT29" s="11"/>
      <c r="CU29" s="26"/>
      <c r="CW29" s="25"/>
      <c r="CX29"/>
      <c r="DK29" s="25"/>
      <c r="DL29" s="25"/>
      <c r="DM29" s="25"/>
      <c r="DR29"/>
      <c r="DS29"/>
      <c r="DT29"/>
      <c r="DU29"/>
      <c r="EB29" s="25"/>
      <c r="EC29" s="25"/>
      <c r="ED29" s="25"/>
      <c r="EE29" s="25"/>
      <c r="EK29"/>
      <c r="EL29"/>
      <c r="EM29"/>
      <c r="EN29"/>
      <c r="EO29"/>
      <c r="EP29"/>
      <c r="EQ29"/>
      <c r="ER29"/>
      <c r="ES29"/>
      <c r="ET29"/>
      <c r="EU29" s="26" t="s">
        <v>48</v>
      </c>
      <c r="EV29" s="69">
        <v>43916.898969907408</v>
      </c>
      <c r="EW29" s="26">
        <v>43855</v>
      </c>
      <c r="EX29" s="26">
        <v>43855</v>
      </c>
      <c r="EY29" s="25">
        <v>0</v>
      </c>
      <c r="EZ29" s="25">
        <v>0.25198740272460018</v>
      </c>
      <c r="FA29" s="81">
        <v>3.5811924155832426E-5</v>
      </c>
      <c r="FB29" s="21">
        <v>9.999999999999998E-4</v>
      </c>
      <c r="FC29" s="82">
        <v>7036.4105996678436</v>
      </c>
      <c r="FD29" s="82">
        <v>31.506780671612191</v>
      </c>
      <c r="FE29" s="26">
        <v>251.98736691267607</v>
      </c>
      <c r="FF29" s="84">
        <v>3.5811924155832425E-2</v>
      </c>
      <c r="FG29" s="26">
        <v>43916</v>
      </c>
      <c r="FH29" s="84" t="s">
        <v>1555</v>
      </c>
      <c r="FI29" s="84">
        <v>7036.4105996678436</v>
      </c>
      <c r="FJ29" s="84">
        <v>2806</v>
      </c>
      <c r="FK29" s="25" t="s">
        <v>1556</v>
      </c>
      <c r="FL29" s="26">
        <v>43916</v>
      </c>
      <c r="FM29" s="25">
        <v>62</v>
      </c>
      <c r="FN29" s="25" t="s">
        <v>1557</v>
      </c>
      <c r="FO29" s="25"/>
      <c r="FP29" s="72" t="s">
        <v>1558</v>
      </c>
      <c r="FR29" s="72" t="s">
        <v>1559</v>
      </c>
      <c r="FS29" s="19">
        <v>1106.2923829049046</v>
      </c>
      <c r="FT29" s="72"/>
      <c r="FU29" s="25"/>
      <c r="FV29" s="25"/>
      <c r="FW29" s="25"/>
      <c r="FX29" s="25" t="s">
        <v>1554</v>
      </c>
      <c r="FY29" s="25"/>
      <c r="FZ29" s="25"/>
      <c r="GA29" s="25"/>
    </row>
    <row r="30" spans="2:185" ht="15" customHeight="1" x14ac:dyDescent="0.25">
      <c r="B30" s="1">
        <v>43871</v>
      </c>
      <c r="C30">
        <v>0</v>
      </c>
      <c r="D30" s="25">
        <v>0</v>
      </c>
      <c r="E30">
        <v>4</v>
      </c>
      <c r="F30">
        <v>0</v>
      </c>
      <c r="G30">
        <v>5</v>
      </c>
      <c r="H30">
        <v>2</v>
      </c>
      <c r="I30">
        <v>0</v>
      </c>
      <c r="J30">
        <v>4</v>
      </c>
      <c r="K30">
        <v>0</v>
      </c>
      <c r="L30" s="12">
        <f>IF(ISNUMBER(tblData[[#This Row],[NSW]]),tblData[[#This Row],[New South Wales]]/$L$9,"")</f>
        <v>4.9504950495049505</v>
      </c>
      <c r="M30" s="25">
        <v>3</v>
      </c>
      <c r="N30" s="44">
        <f>IF(ISNUMBER(tblData[Italy]),tblData[Italy]/$N$9,"")</f>
        <v>0.49599074150615857</v>
      </c>
      <c r="O30">
        <v>11</v>
      </c>
      <c r="P30" s="106">
        <f>IF(ISNUMBER(tblData[US]),tblData[US]/$P$9,"")</f>
        <v>0.33411521761595392</v>
      </c>
      <c r="Q30">
        <v>27</v>
      </c>
      <c r="R30" s="19">
        <f>IF(ISNUMBER(tblData[SKorea]),tblData[SKorea]/$R$9,"")</f>
        <v>5.2529182879377432</v>
      </c>
      <c r="S30">
        <v>8</v>
      </c>
      <c r="T30" s="12">
        <f>IF(ISNUMBER(tblData[UK]),tblData[UK]/$T$9,"")</f>
        <v>1.2040939193257074</v>
      </c>
      <c r="U30">
        <v>42354</v>
      </c>
      <c r="V30" s="20">
        <f>IF(ISNUMBER(tblData[China]),tblData[China]/$V$9,"")</f>
        <v>294.26318599214193</v>
      </c>
      <c r="W30">
        <v>45</v>
      </c>
      <c r="X30" s="20">
        <f>IF(ISNUMBER(tblData[Singapore]),tblData[Singapore]/$X$9,"")</f>
        <v>76.923076923076934</v>
      </c>
      <c r="Y30"/>
      <c r="Z30" s="20" t="str">
        <f>IF(AND(LEN(tblData[Generic])&gt;0,ISNUMBER(tblData[Generic])),tblData[Generic]/$Z$9,"")</f>
        <v/>
      </c>
      <c r="AA30" s="25">
        <f ca="1">IF(tblData[[#This Row],[Date]]&lt;StartDt2Italy,"",tblData[[#This Row],[Date]]-ItalyStart)</f>
        <v>11</v>
      </c>
      <c r="AB30" s="25">
        <f ca="1">IF(tblData[[#This Row],[Date]]&lt;=StartDt2US,"",tblData[[#This Row],[Date]]-USStart)</f>
        <v>19</v>
      </c>
      <c r="AC30" s="25">
        <f ca="1">IF(tblData[[#This Row],[Date]]&lt;StartDt2China,"",tblData[[#This Row],[Date]]-ChinaStart)</f>
        <v>19</v>
      </c>
      <c r="AD30" s="25">
        <f>IF(tblData[[#This Row],[Date]]&lt;=SKoreaStart,"",tblData[[#This Row],[Date]]-SKoreaStart)</f>
        <v>19</v>
      </c>
      <c r="AE30" s="25">
        <f ca="1">IF(tblData[[#This Row],[Date]]&lt;=StartDt2UK,"",tblData[[#This Row],[Date]]-UKStart)</f>
        <v>11</v>
      </c>
      <c r="AF30" s="25">
        <f>IF(tblData[[#This Row],[Date]]&lt;StartDt2Singapore,"",tblData[[#This Row],[Date]]-SingaporeStart)</f>
        <v>18</v>
      </c>
      <c r="AG30" s="25">
        <f ca="1">IF(tblData[[#This Row],[Date]]&lt;StartDt2Generic,"",tblData[[#This Row],[Date]]-GenericStart)</f>
        <v>19</v>
      </c>
      <c r="AH30">
        <f ca="1">IF(tblData[Date]&gt;StartDt2Au,tblData[Date]-AuStart,"")</f>
        <v>16</v>
      </c>
      <c r="AI30" s="25">
        <f>IF(tblData[New South Wales]&gt;=0,SUM(tblData[[#This Row],[Australian Capital Territory]:[Western Australia]]),"")</f>
        <v>15</v>
      </c>
      <c r="AJ30" s="12">
        <f>IF(ISNUMBER(tblData[Au]),tblData[Au]/$AE$9,"")</f>
        <v>5.9138937076170954</v>
      </c>
      <c r="AK30" s="19">
        <f ca="1">IF(ISNUMBER(tblData[[#This Row],[Day'# Aust]]),betaAu/(deltaAu+betaPodeltaAu*EXP(-betaAu*tblData[[#This Row],[Day'# Aust]])),"")</f>
        <v>5.7356823079108478E-2</v>
      </c>
      <c r="AL30" s="62">
        <f ca="1">IF(ISNUMBER(tblData[Day'# Aust]),tblData[Au LogiP(t)]/$AJ$9,"")</f>
        <v>2.2613477006429773E-2</v>
      </c>
      <c r="AM30" s="11">
        <f ca="1">IF(AND(tblData[Date]&gt;StartDt2Au,ISNUMBER(tblData[NSW])),(tblData[[#This Row],[Au LogiP(t)]]-tblData[[#This Row],[Au]])^2,"")</f>
        <v>223.28258511278045</v>
      </c>
      <c r="AN30" s="11">
        <f ca="1">IF(AND(ISNUMBER(tblData[Au]),tblData[Date]&gt;StartDt2Au),(tblData[Au]-AVERAGE(tblData[Au]))^2,"")</f>
        <v>183488.66503328402</v>
      </c>
      <c r="AO30" s="11">
        <f>tblData[[#This Row],[Date]]-Au100dt</f>
        <v>-33</v>
      </c>
      <c r="AP30">
        <f ca="1">IF(tblData[Date]&gt;StartDt2NSW,tblData[Date]-StartDt2NSW,"")</f>
        <v>16</v>
      </c>
      <c r="AQ30" s="25">
        <f>IF(tblData[[#This Row],[New South Wales]]&gt;0,tblData[[#This Row],[New South Wales]],"")</f>
        <v>4</v>
      </c>
      <c r="AR30" s="44">
        <f ca="1">IF(tblData[Date]&gt;StartDt2NSW,betaNSW/(deltaNSW+betaPodeltaNSW*EXP(-betaNSW*tblData[[#This Row],[Day '# NSW]])),"")</f>
        <v>4.4915648287283248E-2</v>
      </c>
      <c r="AS30" s="12">
        <f ca="1">IF(AND(ISNUMBER(tblData[NSW]),tblData[Date]&gt;StartDt2NSW),(tblData[[#This Row],[NSW LogiP(t)]]-tblData[[#This Row],[NSW]])^2,"")</f>
        <v>15.642692229162799</v>
      </c>
      <c r="AT30" s="12">
        <f ca="1">IF(AND(tblData[Date]&gt;StartDt2NSW,ISNUMBER(tblData[Day'# Aust])),tblData[NSW LogiP(t)]/$AR$9,"")</f>
        <v>5.5588673622875305E-2</v>
      </c>
      <c r="AU30" s="11">
        <f>tblData[[#This Row],[Date]]-NSW100dt+1</f>
        <v>-29</v>
      </c>
      <c r="AV30" s="11">
        <f ca="1">IF(AND(ISNUMBER(tblData[NSW]),tblData[Date]&gt;StartDt2NSW),(tblData[NSW]-AVERAGE(tblData[NSW]))^2,"")</f>
        <v>83990.760134425553</v>
      </c>
      <c r="AW30" s="39">
        <f ca="1">IF(AND(tblData[Date]&gt;StartDt2Italy,ISNUMBER(tblData[Days'# Italy])),betaItaly/(deltaItaly+betaPodeltaItaly*EXP(-betaItaly*tblData[Days'# Italy])),"")</f>
        <v>7.4570187754800941</v>
      </c>
      <c r="AX30" s="11">
        <f ca="1">IF(AND(tblData[Date]&gt;StartDt2Italy,ISNUMBER(tblData[Italy])),(tblData[[#This Row],[Italy LogiP(t)]]-tblData[[#This Row],[Italy]])^2,"")</f>
        <v>19.865016364982075</v>
      </c>
      <c r="AY30" s="39">
        <f ca="1">IF(AND(tblData[Date]&gt;StartDt2Italy,ISNUMBER(tblData[Days'# Italy])),tblData[[#This Row],[Italy LogiP(t)]]/$AW$9,"")</f>
        <v>1.2328707572919062</v>
      </c>
      <c r="AZ30" s="39">
        <f ca="1">IF(AND(ISNUMBER(tblData[Italy]),tblData[Date]&gt;StartDt2Italy),(tblData[Italy]-AVERAGE(tblData[Italy]))^2,"")</f>
        <v>439983253.38271606</v>
      </c>
      <c r="BA30" s="11">
        <f>tblData[[#This Row],[Date]]-Italy100dt+1</f>
        <v>-16</v>
      </c>
      <c r="BB30" s="11">
        <f ca="1">IF(AND(tblData[Date]&gt;StartDt2US,ISNUMBER(tblData[[#This Row],[Days'# US]])),betaUS/(deltaUS+betaPodeltaUS*EXP(-betaUS*tblData[Days'# US])),"")</f>
        <v>0.21955731363376796</v>
      </c>
      <c r="BC30" s="11">
        <f ca="1">IF(AND(tblData[Date]&gt;StartDt2US,ISNUMBER(tblData[US])),(tblData[[#This Row],[US LogiP(t)]]-tblData[US])^2,"")</f>
        <v>116.21794451402718</v>
      </c>
      <c r="BD30" s="137">
        <f ca="1">IF(AND(tblData[Date]&gt;=StartDt2US,ISNUMBER(tblData[[#This Row],[Days'# US]])),tblData[[#This Row],[US LogiP(t)]]/$BB$9,"")</f>
        <v>6.6688581476291482E-3</v>
      </c>
      <c r="BE30" s="137">
        <f ca="1">IF(AND(ISNUMBER(tblData[US]),tblData[Date]&gt;StartDt2US),(tblData[US]-AVERAGE(tblData[US]))^2,"")</f>
        <v>335023525.98313826</v>
      </c>
      <c r="BF30" s="11">
        <f>tblData[[#This Row],[Date]]-US100dt+1</f>
        <v>-32</v>
      </c>
      <c r="BG30" s="20" t="str">
        <f ca="1">IF(tblData[Date]&gt;StartDt2SKorea,betaSKorea/(deltaSKorea+betaPodeltaSKorea*EXP(-betaSKorea*(tblData[Date]-StartDt2SKorea))),"")</f>
        <v/>
      </c>
      <c r="BH30" s="20" t="str">
        <f ca="1">IF(AND(tblData[Date]&gt;StartDt2SKorea,ISNUMBER(tblData[SKorea])),(tblData[[#This Row],[SKorea LogiP(t)]]-tblData[[#This Row],[SKorea]])^2,"")</f>
        <v/>
      </c>
      <c r="BI30" s="20" t="str">
        <f ca="1">IF(tblData[Date]&gt;StartDt2SKorea,tblData[[#This Row],[SKorea LogiP(t)]]/$BG$9,"")</f>
        <v/>
      </c>
      <c r="BJ30" s="137" t="str">
        <f ca="1">IF(AND(ISNUMBER(tblData[SKorea]),tblData[Date]&gt;StartDt2SKorea),(tblData[SKorea]-AVERAGE(tblData[SKorea]))^2,"")</f>
        <v/>
      </c>
      <c r="BK30" s="11">
        <f>tblData[[#This Row],[Date]]-SKorea100dt+1</f>
        <v>-11</v>
      </c>
      <c r="BL30" s="137">
        <f ca="1">IF(AND(tblData[Date]&gt;StartDt2UK,ISNUMBER(tblData[Days'# UK])),betaUK/(deltaUK+betaPodeltaUK*EXP(-betaUK*tblData[Days'# UK])),"")</f>
        <v>0.92280711487283185</v>
      </c>
      <c r="BM30" s="20">
        <f ca="1">IF(AND(tblData[Date]&gt;StartDt2UK,ISNUMBER(tblData[UK])),(tblData[[#This Row],[UK LogiP(t)]]-tblData[[#This Row],[UK]])^2,"")</f>
        <v>50.08665913329461</v>
      </c>
      <c r="BN30" s="20">
        <f ca="1">IF(ISNUMBER(tblData[Days'# UK]),tblData[[#This Row],[UK LogiP(t)]]/$BL$9,"")</f>
        <v>0.13889330446610954</v>
      </c>
      <c r="BO30" s="137">
        <f ca="1">IF(AND(ISNUMBER(tblData[UK]),tblData[Date]&gt;StartDt2UK),(tblData[UK]-AVERAGE(tblData[UK]))^2,"")</f>
        <v>9590524.1632653046</v>
      </c>
      <c r="BP30" s="11">
        <f>tblData[[#This Row],[Date]]-UK100dt</f>
        <v>-31</v>
      </c>
      <c r="BQ30" s="11">
        <f ca="1">IF(ISNUMBER(tblData[Days'# China]),betaChina/(deltaChina+betaPodeltaChina*EXP(-betaChina*tblData[Days'# China])),"")</f>
        <v>45982.637684710578</v>
      </c>
      <c r="BR30" s="11">
        <f ca="1">IF(ISNUMBER(tblData[China]),(tblData[[#This Row],[China LogiP(t)]]-tblData[[#This Row],[China]])^2,"")</f>
        <v>13167011.446901748</v>
      </c>
      <c r="BS30" s="11">
        <f ca="1">tblData[[#This Row],[China LogiP(t)]]/$BQ$9</f>
        <v>319.4738977528749</v>
      </c>
      <c r="BT30" s="137">
        <f ca="1">IF(AND(ISNUMBER(tblData[China]),tblData[Date]&gt;StartDt2China),(tblData[China]-AVERAGE(tblData[China]))^2,"")</f>
        <v>315949122.88910937</v>
      </c>
      <c r="BU30" s="11">
        <f>tblData[[#This Row],[Date]]-China100dt</f>
        <v>19</v>
      </c>
      <c r="BV30" s="106">
        <f>IF(ISNUMBER(tblData[Day'# Singapore]),betaSingapore/(deltaSingapore+betaPodeltaSingapore*EXP(-betaSingapore*tblData[Day'# Singapore])),"")</f>
        <v>17.988867634891292</v>
      </c>
      <c r="BW30" s="11">
        <f>IF(AND(ISNUMBER(tblData[Singapore]),tblData[Date]&gt;=StartDt2Singapore),(tblData[[#This Row],[Singapore LogiP(t)]]-tblData[[#This Row],[Singapore]])^2,"")</f>
        <v>729.60127164542314</v>
      </c>
      <c r="BX30" s="106">
        <f>IF(ISNUMBER(tblData[Day'# Singapore]),tblData[Singapore LogiP(t)]/$BV$9,"")</f>
        <v>30.750201085284264</v>
      </c>
      <c r="BY30" s="106" t="str">
        <f>IF(AND(ISNUMBER(tblData[Singapore]),tblData[Date]&gt;StartDt2Singapore),(tblData[Singapore]-AVERAGE(tblData[Singapore]))^2,"")</f>
        <v/>
      </c>
      <c r="BZ30" s="11">
        <f>tblData[[#This Row],[Date]]-Singapore100dt+1</f>
        <v>0</v>
      </c>
      <c r="CA30" s="11">
        <f ca="1">IF(AND(tblData[Date]&gt;StartDt2Generic,ISNUMBER(tblData[Day'# Generic])),betaGeneric/(deltaGeneric+betaPodeltaGeneric*EXP(-betaGeneric*tblData[Day'# Generic])),"")</f>
        <v>4.2125928007926201E-2</v>
      </c>
      <c r="CB30" s="106" t="str">
        <f ca="1">IF(AND(ISNUMBER(tblData[Generic]),tblData[Date]&gt;StartDt2Generic),(tblData[Generic LogiP(t)]-tblData[[#This Row],[Generic]])^2,"")</f>
        <v/>
      </c>
      <c r="CC30" s="11" t="str">
        <f ca="1">IF(AND(ISNUMBER(tblData[Generic]),tblData[Date]&gt;StartDt2Generic),tblData[Generic LogiP(t)]/$CA$9,"")</f>
        <v/>
      </c>
      <c r="CD30" s="106" t="str">
        <f ca="1">IF(AND(ISNUMBER(tblData[Generic]),tblData[Date]&gt;StartDt2Generic),(tblData[Generic]-AVERAGE(tblData[Generic]))^2,"")</f>
        <v/>
      </c>
      <c r="CE30" s="11">
        <f>tblData[[#This Row],[Date]]-Generic100dt+1</f>
        <v>-39</v>
      </c>
      <c r="CG30" s="11"/>
      <c r="CH30" s="11" t="str">
        <f>IF(ISNUMBER(tblData[[#This Row],[Tests]]),tblData[[#This Row],[Tests]]-CH29,"")</f>
        <v/>
      </c>
      <c r="CI30" s="11" t="str">
        <f>IF(ISNUMBER(tblData[[#This Row],[NSW Under Investigation'']]),tblData[[#This Row],[NSW Under Investigation'']]-CG29,"")</f>
        <v/>
      </c>
      <c r="CJ30" s="11"/>
      <c r="CK30" s="11" t="str">
        <f>IF(AND(tblData[[#This Row],[NSW Test Day Number]]&gt;0,ISNUMBER(tblData[[#This Row],[NSW Test Day Number]])),betaTests/(deltaTests+betaPodeltaTests*EXP(-betaTests*tblData[[#This Row],[NSW Test Day Number]])),"")</f>
        <v/>
      </c>
      <c r="CL30" s="11" t="str">
        <f>IF(tblData[Tests]&gt;0,(tblData[[#This Row],[Tests]]-tblData[[#This Row],[NSW Test Logi]])^2,"")</f>
        <v/>
      </c>
      <c r="CM30" s="106" t="str">
        <f>IF(AND(ISNUMBER(tblData[Tests]),tblData[Date]&gt;StartDt2Tests),(tblData[Tests]-AVERAGE(tblData[Tests]))^2,"")</f>
        <v/>
      </c>
      <c r="CN30" s="11" t="str">
        <f>IF(ISNUMBER(tblData[Tests]),tblData[Tests]/$CN$9/100,"")</f>
        <v/>
      </c>
      <c r="CO30" s="11" t="str">
        <f>IF(AND(tblData[[#This Row],[NSW Test Day Number]]&gt;0,ISNUMBER(tblData[[#This Row],[NSW Test Day Number]])),TestsLogestB*TestsLogestM^tblData[[#This Row],[NSW Test Day Number]],"")</f>
        <v/>
      </c>
      <c r="CP30" s="11" t="str">
        <f>IF(AND(tblData[[#This Row],[NSW Test Day Number]]&gt;0,ISNUMBER(tblData[Tests])),(tblData[Tests]-tblData[[#This Row],[NSW Test Per Capita]])^2,"")</f>
        <v/>
      </c>
      <c r="CQ30" s="39">
        <f ca="1">IF(AND(tblData[Day '# NSW]&gt;0,ISNUMBER(tblData[[#This Row],[Day '# NSW]])),NSWLogestB*NSWLogestM^tblData[[#This Row],[Day '# NSW]]/$CR$9,"")</f>
        <v>5.500875404713339</v>
      </c>
      <c r="CR30" s="39">
        <f ca="1">IF(AND(ISNUMBER(tblData[NSW]),tblData[Date]&gt;StartDt2NSW),(tblData[NSW]/$CR$9-tblData[[#This Row],[NSW Cases LogEst]])^2,"")</f>
        <v>0.30291853539931196</v>
      </c>
      <c r="CS30" s="11"/>
      <c r="CT30" s="11"/>
      <c r="CU30" s="26"/>
      <c r="CW30" s="25"/>
      <c r="CX30"/>
      <c r="DK30" s="25"/>
      <c r="DL30" s="25"/>
      <c r="DM30" s="25"/>
      <c r="DR30"/>
      <c r="DS30"/>
      <c r="DT30"/>
      <c r="DU30"/>
      <c r="EB30" s="25"/>
      <c r="EC30" s="25"/>
      <c r="ED30" s="25"/>
      <c r="EE30" s="25"/>
      <c r="EK30"/>
      <c r="EL30"/>
      <c r="EM30"/>
      <c r="EN30"/>
      <c r="EO30"/>
      <c r="EP30"/>
      <c r="EQ30"/>
      <c r="ER30"/>
      <c r="ES30"/>
      <c r="ET30"/>
      <c r="EU30" s="26" t="s">
        <v>48</v>
      </c>
      <c r="EV30" s="69">
        <v>43918.900543981479</v>
      </c>
      <c r="EW30" s="26">
        <v>43855</v>
      </c>
      <c r="EX30" s="26">
        <v>43855</v>
      </c>
      <c r="EY30" s="25">
        <v>0</v>
      </c>
      <c r="EZ30" s="25">
        <v>0.18983057311377224</v>
      </c>
      <c r="FA30" s="81">
        <v>8.9243957655343425E-6</v>
      </c>
      <c r="FB30" s="21">
        <v>2.9115851153198161E-2</v>
      </c>
      <c r="FC30" s="82">
        <v>21270.972074870355</v>
      </c>
      <c r="FD30" s="82">
        <v>54.77563806079403</v>
      </c>
      <c r="FE30" s="26">
        <v>6.5198270273318819</v>
      </c>
      <c r="FF30" s="84">
        <v>8.9243957655343424E-3</v>
      </c>
      <c r="FG30" s="26">
        <v>43918</v>
      </c>
      <c r="FH30" s="84" t="s">
        <v>1838</v>
      </c>
      <c r="FI30" s="84">
        <v>21270.972074870355</v>
      </c>
      <c r="FJ30" s="84">
        <v>3639</v>
      </c>
      <c r="FK30" s="25" t="s">
        <v>1839</v>
      </c>
      <c r="FL30" s="26">
        <v>43918</v>
      </c>
      <c r="FM30" s="25">
        <v>64</v>
      </c>
      <c r="FN30" s="25" t="s">
        <v>1840</v>
      </c>
      <c r="FO30" s="25"/>
      <c r="FP30" s="72" t="s">
        <v>1841</v>
      </c>
      <c r="FR30" s="72" t="s">
        <v>1842</v>
      </c>
      <c r="FS30" s="19">
        <v>1434.7106134679073</v>
      </c>
      <c r="FT30" s="72"/>
      <c r="FU30" s="25"/>
      <c r="FV30" s="25"/>
      <c r="FW30" s="25"/>
      <c r="FX30" s="25" t="s">
        <v>1837</v>
      </c>
      <c r="FY30" s="25"/>
    </row>
    <row r="31" spans="2:185" ht="15" customHeight="1" x14ac:dyDescent="0.25">
      <c r="B31" s="1">
        <v>43872</v>
      </c>
      <c r="C31">
        <v>0</v>
      </c>
      <c r="D31" s="25">
        <v>0</v>
      </c>
      <c r="E31">
        <v>4</v>
      </c>
      <c r="F31">
        <v>0</v>
      </c>
      <c r="G31">
        <v>5</v>
      </c>
      <c r="H31">
        <v>2</v>
      </c>
      <c r="I31">
        <v>0</v>
      </c>
      <c r="J31">
        <v>4</v>
      </c>
      <c r="K31">
        <v>0</v>
      </c>
      <c r="L31" s="12">
        <f>IF(ISNUMBER(tblData[[#This Row],[NSW]]),tblData[[#This Row],[New South Wales]]/$L$9,"")</f>
        <v>4.9504950495049505</v>
      </c>
      <c r="M31" s="25">
        <v>3</v>
      </c>
      <c r="N31" s="44">
        <f>IF(ISNUMBER(tblData[Italy]),tblData[Italy]/$N$9,"")</f>
        <v>0.49599074150615857</v>
      </c>
      <c r="O31">
        <v>12</v>
      </c>
      <c r="P31" s="106">
        <f>IF(ISNUMBER(tblData[US]),tblData[US]/$P$9,"")</f>
        <v>0.36448932830831338</v>
      </c>
      <c r="Q31">
        <v>28</v>
      </c>
      <c r="R31" s="19">
        <f>IF(ISNUMBER(tblData[SKorea]),tblData[SKorea]/$R$9,"")</f>
        <v>5.4474708171206228</v>
      </c>
      <c r="S31">
        <v>8</v>
      </c>
      <c r="T31" s="12">
        <f>IF(ISNUMBER(tblData[UK]),tblData[UK]/$T$9,"")</f>
        <v>1.2040939193257074</v>
      </c>
      <c r="U31">
        <v>44386</v>
      </c>
      <c r="V31" s="20">
        <f>IF(ISNUMBER(tblData[China]),tblData[China]/$V$9,"")</f>
        <v>308.38092679433373</v>
      </c>
      <c r="W31">
        <v>47</v>
      </c>
      <c r="X31" s="20">
        <f>IF(ISNUMBER(tblData[Singapore]),tblData[Singapore]/$X$9,"")</f>
        <v>80.341880341880341</v>
      </c>
      <c r="Y31"/>
      <c r="Z31" s="20" t="str">
        <f>IF(AND(LEN(tblData[Generic])&gt;0,ISNUMBER(tblData[Generic])),tblData[Generic]/$Z$9,"")</f>
        <v/>
      </c>
      <c r="AA31" s="25">
        <f ca="1">IF(tblData[[#This Row],[Date]]&lt;StartDt2Italy,"",tblData[[#This Row],[Date]]-ItalyStart)</f>
        <v>12</v>
      </c>
      <c r="AB31" s="25">
        <f ca="1">IF(tblData[[#This Row],[Date]]&lt;=StartDt2US,"",tblData[[#This Row],[Date]]-USStart)</f>
        <v>20</v>
      </c>
      <c r="AC31" s="25">
        <f ca="1">IF(tblData[[#This Row],[Date]]&lt;StartDt2China,"",tblData[[#This Row],[Date]]-ChinaStart)</f>
        <v>20</v>
      </c>
      <c r="AD31" s="25">
        <f>IF(tblData[[#This Row],[Date]]&lt;=SKoreaStart,"",tblData[[#This Row],[Date]]-SKoreaStart)</f>
        <v>20</v>
      </c>
      <c r="AE31" s="25">
        <f ca="1">IF(tblData[[#This Row],[Date]]&lt;=StartDt2UK,"",tblData[[#This Row],[Date]]-UKStart)</f>
        <v>12</v>
      </c>
      <c r="AF31" s="25">
        <f>IF(tblData[[#This Row],[Date]]&lt;StartDt2Singapore,"",tblData[[#This Row],[Date]]-SingaporeStart)</f>
        <v>19</v>
      </c>
      <c r="AG31" s="25">
        <f ca="1">IF(tblData[[#This Row],[Date]]&lt;StartDt2Generic,"",tblData[[#This Row],[Date]]-GenericStart)</f>
        <v>20</v>
      </c>
      <c r="AH31">
        <f ca="1">IF(tblData[Date]&gt;StartDt2Au,tblData[Date]-AuStart,"")</f>
        <v>17</v>
      </c>
      <c r="AI31" s="25">
        <f>IF(tblData[New South Wales]&gt;=0,SUM(tblData[[#This Row],[Australian Capital Territory]:[Western Australia]]),"")</f>
        <v>15</v>
      </c>
      <c r="AJ31" s="12">
        <f>IF(ISNUMBER(tblData[Au]),tblData[Au]/$AE$9,"")</f>
        <v>5.9138937076170954</v>
      </c>
      <c r="AK31" s="19">
        <f ca="1">IF(ISNUMBER(tblData[[#This Row],[Day'# Aust]]),betaAu/(deltaAu+betaPodeltaAu*EXP(-betaAu*tblData[[#This Row],[Day'# Aust]])),"")</f>
        <v>7.3874702171196974E-2</v>
      </c>
      <c r="AL31" s="62">
        <f ca="1">IF(ISNUMBER(tblData[Day'# Aust]),tblData[Au LogiP(t)]/$AJ$9,"")</f>
        <v>2.9125809088155249E-2</v>
      </c>
      <c r="AM31" s="11">
        <f ca="1">IF(AND(tblData[Date]&gt;StartDt2Au,ISNUMBER(tblData[NSW])),(tblData[[#This Row],[Au LogiP(t)]]-tblData[[#This Row],[Au]])^2,"")</f>
        <v>222.78921640648497</v>
      </c>
      <c r="AN31" s="11">
        <f ca="1">IF(AND(ISNUMBER(tblData[Au]),tblData[Date]&gt;StartDt2Au),(tblData[Au]-AVERAGE(tblData[Au]))^2,"")</f>
        <v>183488.66503328402</v>
      </c>
      <c r="AO31" s="11">
        <f>tblData[[#This Row],[Date]]-Au100dt</f>
        <v>-32</v>
      </c>
      <c r="AP31">
        <f ca="1">IF(tblData[Date]&gt;StartDt2NSW,tblData[Date]-StartDt2NSW,"")</f>
        <v>17</v>
      </c>
      <c r="AQ31" s="25">
        <f>IF(tblData[[#This Row],[New South Wales]]&gt;0,tblData[[#This Row],[New South Wales]],"")</f>
        <v>4</v>
      </c>
      <c r="AR31" s="44">
        <f ca="1">IF(tblData[Date]&gt;StartDt2NSW,betaNSW/(deltaNSW+betaPodeltaNSW*EXP(-betaNSW*tblData[[#This Row],[Day '# NSW]])),"")</f>
        <v>5.6973274225775181E-2</v>
      </c>
      <c r="AS31" s="12">
        <f ca="1">IF(AND(ISNUMBER(tblData[NSW]),tblData[Date]&gt;StartDt2NSW),(tblData[[#This Row],[NSW LogiP(t)]]-tblData[[#This Row],[NSW]])^2,"")</f>
        <v>15.547459760169804</v>
      </c>
      <c r="AT31" s="12">
        <f ca="1">IF(AND(tblData[Date]&gt;StartDt2NSW,ISNUMBER(tblData[Day'# Aust])),tblData[NSW LogiP(t)]/$AR$9,"")</f>
        <v>7.0511478002196995E-2</v>
      </c>
      <c r="AU31" s="11">
        <f>tblData[[#This Row],[Date]]-NSW100dt+1</f>
        <v>-28</v>
      </c>
      <c r="AV31" s="11">
        <f ca="1">IF(AND(ISNUMBER(tblData[NSW]),tblData[Date]&gt;StartDt2NSW),(tblData[NSW]-AVERAGE(tblData[NSW]))^2,"")</f>
        <v>83990.760134425553</v>
      </c>
      <c r="AW31" s="39">
        <f ca="1">IF(AND(tblData[Date]&gt;StartDt2Italy,ISNUMBER(tblData[Days'# Italy])),betaItaly/(deltaItaly+betaPodeltaItaly*EXP(-betaItaly*tblData[Days'# Italy])),"")</f>
        <v>9.638526075862007</v>
      </c>
      <c r="AX31" s="11">
        <f ca="1">IF(AND(tblData[Date]&gt;StartDt2Italy,ISNUMBER(tblData[Italy])),(tblData[[#This Row],[Italy LogiP(t)]]-tblData[[#This Row],[Italy]])^2,"")</f>
        <v>44.070028459899817</v>
      </c>
      <c r="AY31" s="39">
        <f ca="1">IF(AND(tblData[Date]&gt;StartDt2Italy,ISNUMBER(tblData[Days'# Italy])),tblData[[#This Row],[Italy LogiP(t)]]/$AW$9,"")</f>
        <v>1.5935398984644138</v>
      </c>
      <c r="AZ31" s="39">
        <f ca="1">IF(AND(ISNUMBER(tblData[Italy]),tblData[Date]&gt;StartDt2Italy),(tblData[Italy]-AVERAGE(tblData[Italy]))^2,"")</f>
        <v>439983253.38271606</v>
      </c>
      <c r="BA31" s="11">
        <f>tblData[[#This Row],[Date]]-Italy100dt+1</f>
        <v>-15</v>
      </c>
      <c r="BB31" s="11">
        <f ca="1">IF(AND(tblData[Date]&gt;StartDt2US,ISNUMBER(tblData[[#This Row],[Days'# US]])),betaUS/(deltaUS+betaPodeltaUS*EXP(-betaUS*tblData[Days'# US])),"")</f>
        <v>0.29159980583168071</v>
      </c>
      <c r="BC31" s="11">
        <f ca="1">IF(AND(tblData[Date]&gt;StartDt2US,ISNUMBER(tblData[US])),(tblData[[#This Row],[US LogiP(t)]]-tblData[US])^2,"")</f>
        <v>137.08663510680074</v>
      </c>
      <c r="BD31" s="137">
        <f ca="1">IF(AND(tblData[Date]&gt;=StartDt2US,ISNUMBER(tblData[[#This Row],[Days'# US]])),tblData[[#This Row],[US LogiP(t)]]/$BB$9,"")</f>
        <v>8.8570847802019927E-3</v>
      </c>
      <c r="BE31" s="137">
        <f ca="1">IF(AND(ISNUMBER(tblData[US]),tblData[Date]&gt;StartDt2US),(tblData[US]-AVERAGE(tblData[US]))^2,"")</f>
        <v>334986919.68736356</v>
      </c>
      <c r="BF31" s="11">
        <f>tblData[[#This Row],[Date]]-US100dt+1</f>
        <v>-31</v>
      </c>
      <c r="BG31" s="20" t="str">
        <f ca="1">IF(tblData[Date]&gt;StartDt2SKorea,betaSKorea/(deltaSKorea+betaPodeltaSKorea*EXP(-betaSKorea*(tblData[Date]-StartDt2SKorea))),"")</f>
        <v/>
      </c>
      <c r="BH31" s="20" t="str">
        <f ca="1">IF(AND(tblData[Date]&gt;StartDt2SKorea,ISNUMBER(tblData[SKorea])),(tblData[[#This Row],[SKorea LogiP(t)]]-tblData[[#This Row],[SKorea]])^2,"")</f>
        <v/>
      </c>
      <c r="BI31" s="20" t="str">
        <f ca="1">IF(tblData[Date]&gt;StartDt2SKorea,tblData[[#This Row],[SKorea LogiP(t)]]/$BG$9,"")</f>
        <v/>
      </c>
      <c r="BJ31" s="137" t="str">
        <f ca="1">IF(AND(ISNUMBER(tblData[SKorea]),tblData[Date]&gt;StartDt2SKorea),(tblData[SKorea]-AVERAGE(tblData[SKorea]))^2,"")</f>
        <v/>
      </c>
      <c r="BK31" s="11">
        <f>tblData[[#This Row],[Date]]-SKorea100dt+1</f>
        <v>-10</v>
      </c>
      <c r="BL31" s="137">
        <f ca="1">IF(AND(tblData[Date]&gt;StartDt2UK,ISNUMBER(tblData[Days'# UK])),betaUK/(deltaUK+betaPodeltaUK*EXP(-betaUK*tblData[Days'# UK])),"")</f>
        <v>1.1426359316408283</v>
      </c>
      <c r="BM31" s="20">
        <f ca="1">IF(AND(tblData[Date]&gt;StartDt2UK,ISNUMBER(tblData[UK])),(tblData[[#This Row],[UK LogiP(t)]]-tblData[[#This Row],[UK]])^2,"")</f>
        <v>47.023441966023441</v>
      </c>
      <c r="BN31" s="20">
        <f ca="1">IF(ISNUMBER(tblData[Days'# UK]),tblData[[#This Row],[UK LogiP(t)]]/$BL$9,"")</f>
        <v>0.17198012216147326</v>
      </c>
      <c r="BO31" s="137">
        <f ca="1">IF(AND(ISNUMBER(tblData[UK]),tblData[Date]&gt;StartDt2UK),(tblData[UK]-AVERAGE(tblData[UK]))^2,"")</f>
        <v>9590524.1632653046</v>
      </c>
      <c r="BP31" s="11">
        <f>tblData[[#This Row],[Date]]-UK100dt</f>
        <v>-30</v>
      </c>
      <c r="BQ31" s="11">
        <f ca="1">IF(ISNUMBER(tblData[Days'# China]),betaChina/(deltaChina+betaPodeltaChina*EXP(-betaChina*tblData[Days'# China])),"")</f>
        <v>50308.257224813446</v>
      </c>
      <c r="BR31" s="11">
        <f ca="1">IF(ISNUMBER(tblData[China]),(tblData[[#This Row],[China LogiP(t)]]-tblData[[#This Row],[China]])^2,"")</f>
        <v>35073130.636855058</v>
      </c>
      <c r="BS31" s="11">
        <f ca="1">tblData[[#This Row],[China LogiP(t)]]/$BQ$9</f>
        <v>349.52703529031015</v>
      </c>
      <c r="BT31" s="137">
        <f ca="1">IF(AND(ISNUMBER(tblData[China]),tblData[Date]&gt;StartDt2China),(tblData[China]-AVERAGE(tblData[China]))^2,"")</f>
        <v>247840718.60741919</v>
      </c>
      <c r="BU31" s="11">
        <f>tblData[[#This Row],[Date]]-China100dt</f>
        <v>20</v>
      </c>
      <c r="BV31" s="106">
        <f>IF(ISNUMBER(tblData[Day'# Singapore]),betaSingapore/(deltaSingapore+betaPodeltaSingapore*EXP(-betaSingapore*tblData[Day'# Singapore])),"")</f>
        <v>19.478897303785345</v>
      </c>
      <c r="BW31" s="11">
        <f>IF(AND(ISNUMBER(tblData[Singapore]),tblData[Date]&gt;=StartDt2Singapore),(tblData[[#This Row],[Singapore LogiP(t)]]-tblData[[#This Row],[Singapore]])^2,"")</f>
        <v>757.41109361559359</v>
      </c>
      <c r="BX31" s="106">
        <f>IF(ISNUMBER(tblData[Day'# Singapore]),tblData[Singapore LogiP(t)]/$BV$9,"")</f>
        <v>33.297260348351017</v>
      </c>
      <c r="BY31" s="106">
        <f>IF(AND(ISNUMBER(tblData[Singapore]),tblData[Date]&gt;StartDt2Singapore),(tblData[Singapore]-AVERAGE(tblData[Singapore]))^2,"")</f>
        <v>23082.596508629242</v>
      </c>
      <c r="BZ31" s="11">
        <f>tblData[[#This Row],[Date]]-Singapore100dt+1</f>
        <v>1</v>
      </c>
      <c r="CA31" s="11">
        <f ca="1">IF(AND(tblData[Date]&gt;StartDt2Generic,ISNUMBER(tblData[Day'# Generic])),betaGeneric/(deltaGeneric+betaPodeltaGeneric*EXP(-betaGeneric*tblData[Day'# Generic])),"")</f>
        <v>5.1292188343606611E-2</v>
      </c>
      <c r="CB31" s="106" t="str">
        <f ca="1">IF(AND(ISNUMBER(tblData[Generic]),tblData[Date]&gt;StartDt2Generic),(tblData[Generic LogiP(t)]-tblData[[#This Row],[Generic]])^2,"")</f>
        <v/>
      </c>
      <c r="CC31" s="11" t="str">
        <f ca="1">IF(AND(ISNUMBER(tblData[Generic]),tblData[Date]&gt;StartDt2Generic),tblData[Generic LogiP(t)]/$CA$9,"")</f>
        <v/>
      </c>
      <c r="CD31" s="106" t="str">
        <f ca="1">IF(AND(ISNUMBER(tblData[Generic]),tblData[Date]&gt;StartDt2Generic),(tblData[Generic]-AVERAGE(tblData[Generic]))^2,"")</f>
        <v/>
      </c>
      <c r="CE31" s="11">
        <f>tblData[[#This Row],[Date]]-Generic100dt+1</f>
        <v>-38</v>
      </c>
      <c r="CG31" s="11"/>
      <c r="CH31" s="11" t="str">
        <f>IF(ISNUMBER(tblData[[#This Row],[Tests]]),tblData[[#This Row],[Tests]]-CH30,"")</f>
        <v/>
      </c>
      <c r="CI31" s="11" t="str">
        <f>IF(ISNUMBER(tblData[[#This Row],[NSW Under Investigation'']]),tblData[[#This Row],[NSW Under Investigation'']]-CG30,"")</f>
        <v/>
      </c>
      <c r="CJ31" s="11"/>
      <c r="CK31" s="11" t="str">
        <f>IF(AND(tblData[[#This Row],[NSW Test Day Number]]&gt;0,ISNUMBER(tblData[[#This Row],[NSW Test Day Number]])),betaTests/(deltaTests+betaPodeltaTests*EXP(-betaTests*tblData[[#This Row],[NSW Test Day Number]])),"")</f>
        <v/>
      </c>
      <c r="CL31" s="11" t="str">
        <f>IF(tblData[Tests]&gt;0,(tblData[[#This Row],[Tests]]-tblData[[#This Row],[NSW Test Logi]])^2,"")</f>
        <v/>
      </c>
      <c r="CM31" s="106" t="str">
        <f>IF(AND(ISNUMBER(tblData[Tests]),tblData[Date]&gt;StartDt2Tests),(tblData[Tests]-AVERAGE(tblData[Tests]))^2,"")</f>
        <v/>
      </c>
      <c r="CN31" s="11" t="str">
        <f>IF(ISNUMBER(tblData[Tests]),tblData[Tests]/$CN$9/100,"")</f>
        <v/>
      </c>
      <c r="CO31" s="11" t="str">
        <f>IF(AND(tblData[[#This Row],[NSW Test Day Number]]&gt;0,ISNUMBER(tblData[[#This Row],[NSW Test Day Number]])),TestsLogestB*TestsLogestM^tblData[[#This Row],[NSW Test Day Number]],"")</f>
        <v/>
      </c>
      <c r="CP31" s="11" t="str">
        <f>IF(AND(tblData[[#This Row],[NSW Test Day Number]]&gt;0,ISNUMBER(tblData[Tests])),(tblData[Tests]-tblData[[#This Row],[NSW Test Per Capita]])^2,"")</f>
        <v/>
      </c>
      <c r="CQ31" s="39">
        <f ca="1">IF(AND(tblData[Day '# NSW]&gt;0,ISNUMBER(tblData[[#This Row],[Day '# NSW]])),NSWLogestB*NSWLogestM^tblData[[#This Row],[Day '# NSW]]/$CR$9,"")</f>
        <v>6.1221380761303177</v>
      </c>
      <c r="CR31" s="39">
        <f ca="1">IF(AND(ISNUMBER(tblData[NSW]),tblData[Date]&gt;StartDt2NSW),(tblData[NSW]/$CR$9-tblData[[#This Row],[NSW Cases LogEst]])^2,"")</f>
        <v>1.372747381839851</v>
      </c>
      <c r="CS31" s="11"/>
      <c r="CT31" s="11"/>
      <c r="CU31" s="26"/>
      <c r="CW31" s="25"/>
      <c r="CX31"/>
      <c r="DK31" s="25"/>
      <c r="DL31" s="25"/>
      <c r="DM31" s="25"/>
      <c r="DR31"/>
      <c r="DS31"/>
      <c r="DT31"/>
      <c r="DU31"/>
      <c r="EB31" s="25"/>
      <c r="EC31" s="25"/>
      <c r="ED31" s="25"/>
      <c r="EE31" s="25"/>
      <c r="EK31"/>
      <c r="EL31"/>
      <c r="EM31"/>
      <c r="EN31"/>
      <c r="EO31"/>
      <c r="EP31"/>
      <c r="EQ31"/>
      <c r="ER31"/>
      <c r="ES31"/>
      <c r="ET31"/>
      <c r="EU31" s="69" t="s">
        <v>48</v>
      </c>
      <c r="EV31" s="69">
        <v>43919.682222222225</v>
      </c>
      <c r="EW31" s="26">
        <v>43855</v>
      </c>
      <c r="EX31" s="26">
        <v>43855</v>
      </c>
      <c r="EY31" s="25">
        <v>0</v>
      </c>
      <c r="EZ31" s="25">
        <v>0.18983057295442163</v>
      </c>
      <c r="FA31" s="25">
        <v>1.0450274671784342E-5</v>
      </c>
      <c r="FB31" s="21">
        <v>2.9115851151187429E-2</v>
      </c>
      <c r="FC31" s="82">
        <v>18165.127608268773</v>
      </c>
      <c r="FD31" s="82">
        <v>66.074307979798874</v>
      </c>
      <c r="FE31" s="83">
        <v>6.5198254964302489</v>
      </c>
      <c r="FF31" s="84">
        <v>1.0450274671784342E-2</v>
      </c>
      <c r="FG31" s="26">
        <v>43919</v>
      </c>
      <c r="FH31" s="26" t="s">
        <v>1922</v>
      </c>
      <c r="FI31" s="84">
        <v>18165.127608268773</v>
      </c>
      <c r="FJ31" s="84">
        <v>3968</v>
      </c>
      <c r="FK31" s="26" t="s">
        <v>1923</v>
      </c>
      <c r="FL31" s="26">
        <v>43919</v>
      </c>
      <c r="FM31" s="25">
        <v>65</v>
      </c>
      <c r="FN31" s="25" t="s">
        <v>1924</v>
      </c>
      <c r="FO31"/>
      <c r="FP31" s="25" t="s">
        <v>1925</v>
      </c>
      <c r="FQ31" s="72"/>
      <c r="FR31" s="25" t="s">
        <v>1926</v>
      </c>
      <c r="FS31" s="19">
        <v>1564.4220154549755</v>
      </c>
      <c r="FT31" s="72"/>
      <c r="FU31" s="25"/>
      <c r="FV31" s="25"/>
      <c r="FW31" s="25"/>
      <c r="FX31" t="s">
        <v>1921</v>
      </c>
      <c r="FY31" s="25"/>
    </row>
    <row r="32" spans="2:185" ht="15" customHeight="1" x14ac:dyDescent="0.25">
      <c r="B32" s="1">
        <v>43873</v>
      </c>
      <c r="C32">
        <v>0</v>
      </c>
      <c r="D32" s="25">
        <v>0</v>
      </c>
      <c r="E32">
        <v>4</v>
      </c>
      <c r="F32">
        <v>0</v>
      </c>
      <c r="G32">
        <v>5</v>
      </c>
      <c r="H32">
        <v>2</v>
      </c>
      <c r="I32">
        <v>0</v>
      </c>
      <c r="J32">
        <v>4</v>
      </c>
      <c r="K32">
        <v>0</v>
      </c>
      <c r="L32" s="12">
        <f>IF(ISNUMBER(tblData[[#This Row],[NSW]]),tblData[[#This Row],[New South Wales]]/$L$9,"")</f>
        <v>4.9504950495049505</v>
      </c>
      <c r="M32" s="25">
        <v>3</v>
      </c>
      <c r="N32" s="44">
        <f>IF(ISNUMBER(tblData[Italy]),tblData[Italy]/$N$9,"")</f>
        <v>0.49599074150615857</v>
      </c>
      <c r="O32">
        <v>12</v>
      </c>
      <c r="P32" s="106">
        <f>IF(ISNUMBER(tblData[US]),tblData[US]/$P$9,"")</f>
        <v>0.36448932830831338</v>
      </c>
      <c r="Q32">
        <v>28</v>
      </c>
      <c r="R32" s="19">
        <f>IF(ISNUMBER(tblData[SKorea]),tblData[SKorea]/$R$9,"")</f>
        <v>5.4474708171206228</v>
      </c>
      <c r="S32">
        <v>9</v>
      </c>
      <c r="T32" s="12">
        <f>IF(ISNUMBER(tblData[UK]),tblData[UK]/$T$9,"")</f>
        <v>1.3546056592414208</v>
      </c>
      <c r="U32">
        <v>44759</v>
      </c>
      <c r="V32" s="20">
        <f>IF(ISNUMBER(tblData[China]),tblData[China]/$V$9,"")</f>
        <v>310.97242153804314</v>
      </c>
      <c r="W32">
        <v>50</v>
      </c>
      <c r="X32" s="20">
        <f>IF(ISNUMBER(tblData[Singapore]),tblData[Singapore]/$X$9,"")</f>
        <v>85.470085470085479</v>
      </c>
      <c r="Y32"/>
      <c r="Z32" s="20" t="str">
        <f>IF(AND(LEN(tblData[Generic])&gt;0,ISNUMBER(tblData[Generic])),tblData[Generic]/$Z$9,"")</f>
        <v/>
      </c>
      <c r="AA32" s="25">
        <f ca="1">IF(tblData[[#This Row],[Date]]&lt;StartDt2Italy,"",tblData[[#This Row],[Date]]-ItalyStart)</f>
        <v>13</v>
      </c>
      <c r="AB32" s="25">
        <f ca="1">IF(tblData[[#This Row],[Date]]&lt;=StartDt2US,"",tblData[[#This Row],[Date]]-USStart)</f>
        <v>21</v>
      </c>
      <c r="AC32" s="25">
        <f ca="1">IF(tblData[[#This Row],[Date]]&lt;StartDt2China,"",tblData[[#This Row],[Date]]-ChinaStart)</f>
        <v>21</v>
      </c>
      <c r="AD32" s="25">
        <f>IF(tblData[[#This Row],[Date]]&lt;=SKoreaStart,"",tblData[[#This Row],[Date]]-SKoreaStart)</f>
        <v>21</v>
      </c>
      <c r="AE32" s="25">
        <f ca="1">IF(tblData[[#This Row],[Date]]&lt;=StartDt2UK,"",tblData[[#This Row],[Date]]-UKStart)</f>
        <v>13</v>
      </c>
      <c r="AF32" s="25">
        <f>IF(tblData[[#This Row],[Date]]&lt;StartDt2Singapore,"",tblData[[#This Row],[Date]]-SingaporeStart)</f>
        <v>20</v>
      </c>
      <c r="AG32" s="25">
        <f ca="1">IF(tblData[[#This Row],[Date]]&lt;StartDt2Generic,"",tblData[[#This Row],[Date]]-GenericStart)</f>
        <v>21</v>
      </c>
      <c r="AH32">
        <f ca="1">IF(tblData[Date]&gt;StartDt2Au,tblData[Date]-AuStart,"")</f>
        <v>18</v>
      </c>
      <c r="AI32" s="25">
        <f>IF(tblData[New South Wales]&gt;=0,SUM(tblData[[#This Row],[Australian Capital Territory]:[Western Australia]]),"")</f>
        <v>15</v>
      </c>
      <c r="AJ32" s="12">
        <f>IF(ISNUMBER(tblData[Au]),tblData[Au]/$AE$9,"")</f>
        <v>5.9138937076170954</v>
      </c>
      <c r="AK32" s="19">
        <f ca="1">IF(ISNUMBER(tblData[[#This Row],[Day'# Aust]]),betaAu/(deltaAu+betaPodeltaAu*EXP(-betaAu*tblData[[#This Row],[Day'# Aust]])),"")</f>
        <v>9.5149402057183044E-2</v>
      </c>
      <c r="AL32" s="62">
        <f ca="1">IF(ISNUMBER(tblData[Day'# Aust]),tblData[Au LogiP(t)]/$AJ$9,"")</f>
        <v>3.7513563340633591E-2</v>
      </c>
      <c r="AM32" s="11">
        <f ca="1">IF(AND(tblData[Date]&gt;StartDt2Au,ISNUMBER(tblData[NSW])),(tblData[[#This Row],[Au LogiP(t)]]-tblData[[#This Row],[Au]])^2,"")</f>
        <v>222.15457134699633</v>
      </c>
      <c r="AN32" s="11">
        <f ca="1">IF(AND(ISNUMBER(tblData[Au]),tblData[Date]&gt;StartDt2Au),(tblData[Au]-AVERAGE(tblData[Au]))^2,"")</f>
        <v>183488.66503328402</v>
      </c>
      <c r="AO32" s="11">
        <f>tblData[[#This Row],[Date]]-Au100dt</f>
        <v>-31</v>
      </c>
      <c r="AP32">
        <f ca="1">IF(tblData[Date]&gt;StartDt2NSW,tblData[Date]-StartDt2NSW,"")</f>
        <v>18</v>
      </c>
      <c r="AQ32" s="25">
        <f>IF(tblData[[#This Row],[New South Wales]]&gt;0,tblData[[#This Row],[New South Wales]],"")</f>
        <v>4</v>
      </c>
      <c r="AR32" s="44">
        <f ca="1">IF(tblData[Date]&gt;StartDt2NSW,betaNSW/(deltaNSW+betaPodeltaNSW*EXP(-betaNSW*tblData[[#This Row],[Day '# NSW]])),"")</f>
        <v>7.2267697290033558E-2</v>
      </c>
      <c r="AS32" s="12">
        <f ca="1">IF(AND(ISNUMBER(tblData[NSW]),tblData[Date]&gt;StartDt2NSW),(tblData[[#This Row],[NSW LogiP(t)]]-tblData[[#This Row],[NSW]])^2,"")</f>
        <v>15.427081041751338</v>
      </c>
      <c r="AT32" s="12">
        <f ca="1">IF(AND(tblData[Date]&gt;StartDt2NSW,ISNUMBER(tblData[Day'# Aust])),tblData[NSW LogiP(t)]/$AR$9,"")</f>
        <v>8.9440219418358363E-2</v>
      </c>
      <c r="AU32" s="11">
        <f>tblData[[#This Row],[Date]]-NSW100dt+1</f>
        <v>-27</v>
      </c>
      <c r="AV32" s="11">
        <f ca="1">IF(AND(ISNUMBER(tblData[NSW]),tblData[Date]&gt;StartDt2NSW),(tblData[NSW]-AVERAGE(tblData[NSW]))^2,"")</f>
        <v>83990.760134425553</v>
      </c>
      <c r="AW32" s="39">
        <f ca="1">IF(AND(tblData[Date]&gt;StartDt2Italy,ISNUMBER(tblData[Days'# Italy])),betaItaly/(deltaItaly+betaPodeltaItaly*EXP(-betaItaly*tblData[Days'# Italy])),"")</f>
        <v>12.458138854753987</v>
      </c>
      <c r="AX32" s="11">
        <f ca="1">IF(AND(tblData[Date]&gt;StartDt2Italy,ISNUMBER(tblData[Italy])),(tblData[[#This Row],[Italy LogiP(t)]]-tblData[[#This Row],[Italy]])^2,"")</f>
        <v>89.456390595807051</v>
      </c>
      <c r="AY32" s="39">
        <f ca="1">IF(AND(tblData[Date]&gt;StartDt2Italy,ISNUMBER(tblData[Days'# Italy])),tblData[[#This Row],[Italy LogiP(t)]]/$AW$9,"")</f>
        <v>2.0597071761187049</v>
      </c>
      <c r="AZ32" s="39">
        <f ca="1">IF(AND(ISNUMBER(tblData[Italy]),tblData[Date]&gt;StartDt2Italy),(tblData[Italy]-AVERAGE(tblData[Italy]))^2,"")</f>
        <v>439983253.38271606</v>
      </c>
      <c r="BA32" s="11">
        <f>tblData[[#This Row],[Date]]-Italy100dt+1</f>
        <v>-14</v>
      </c>
      <c r="BB32" s="11">
        <f ca="1">IF(AND(tblData[Date]&gt;StartDt2US,ISNUMBER(tblData[[#This Row],[Days'# US]])),betaUS/(deltaUS+betaPodeltaUS*EXP(-betaUS*tblData[Days'# US])),"")</f>
        <v>0.38728130791570364</v>
      </c>
      <c r="BC32" s="11">
        <f ca="1">IF(AND(tblData[Date]&gt;StartDt2US,ISNUMBER(tblData[US])),(tblData[[#This Row],[US LogiP(t)]]-tblData[US])^2,"")</f>
        <v>134.85523542148402</v>
      </c>
      <c r="BD32" s="137">
        <f ca="1">IF(AND(tblData[Date]&gt;=StartDt2US,ISNUMBER(tblData[[#This Row],[Days'# US]])),tblData[[#This Row],[US LogiP(t)]]/$BB$9,"")</f>
        <v>1.1763325315713327E-2</v>
      </c>
      <c r="BE32" s="137">
        <f ca="1">IF(AND(ISNUMBER(tblData[US]),tblData[Date]&gt;StartDt2US),(tblData[US]-AVERAGE(tblData[US]))^2,"")</f>
        <v>334986919.68736356</v>
      </c>
      <c r="BF32" s="11">
        <f>tblData[[#This Row],[Date]]-US100dt+1</f>
        <v>-30</v>
      </c>
      <c r="BG32" s="20" t="str">
        <f ca="1">IF(tblData[Date]&gt;StartDt2SKorea,betaSKorea/(deltaSKorea+betaPodeltaSKorea*EXP(-betaSKorea*(tblData[Date]-StartDt2SKorea))),"")</f>
        <v/>
      </c>
      <c r="BH32" s="20" t="str">
        <f ca="1">IF(AND(tblData[Date]&gt;StartDt2SKorea,ISNUMBER(tblData[SKorea])),(tblData[[#This Row],[SKorea LogiP(t)]]-tblData[[#This Row],[SKorea]])^2,"")</f>
        <v/>
      </c>
      <c r="BI32" s="20" t="str">
        <f ca="1">IF(tblData[Date]&gt;StartDt2SKorea,tblData[[#This Row],[SKorea LogiP(t)]]/$BG$9,"")</f>
        <v/>
      </c>
      <c r="BJ32" s="137" t="str">
        <f ca="1">IF(AND(ISNUMBER(tblData[SKorea]),tblData[Date]&gt;StartDt2SKorea),(tblData[SKorea]-AVERAGE(tblData[SKorea]))^2,"")</f>
        <v/>
      </c>
      <c r="BK32" s="11">
        <f>tblData[[#This Row],[Date]]-SKorea100dt+1</f>
        <v>-9</v>
      </c>
      <c r="BL32" s="137">
        <f ca="1">IF(AND(tblData[Date]&gt;StartDt2UK,ISNUMBER(tblData[Days'# UK])),betaUK/(deltaUK+betaPodeltaUK*EXP(-betaUK*tblData[Days'# UK])),"")</f>
        <v>1.4148308288109037</v>
      </c>
      <c r="BM32" s="20">
        <f ca="1">IF(AND(tblData[Date]&gt;StartDt2UK,ISNUMBER(tblData[UK])),(tblData[[#This Row],[UK LogiP(t)]]-tblData[[#This Row],[UK]])^2,"")</f>
        <v>57.534791355557481</v>
      </c>
      <c r="BN32" s="20">
        <f ca="1">IF(ISNUMBER(tblData[Days'# UK]),tblData[[#This Row],[UK LogiP(t)]]/$BL$9,"")</f>
        <v>0.21294864973072</v>
      </c>
      <c r="BO32" s="137">
        <f ca="1">IF(AND(ISNUMBER(tblData[UK]),tblData[Date]&gt;StartDt2UK),(tblData[UK]-AVERAGE(tblData[UK]))^2,"")</f>
        <v>9584331.4489795901</v>
      </c>
      <c r="BP32" s="11">
        <f>tblData[[#This Row],[Date]]-UK100dt</f>
        <v>-29</v>
      </c>
      <c r="BQ32" s="11">
        <f ca="1">IF(ISNUMBER(tblData[Days'# China]),betaChina/(deltaChina+betaPodeltaChina*EXP(-betaChina*tblData[Days'# China])),"")</f>
        <v>54412.516315545814</v>
      </c>
      <c r="BR32" s="11">
        <f ca="1">IF(ISNUMBER(tblData[China]),(tblData[[#This Row],[China LogiP(t)]]-tblData[[#This Row],[China]])^2,"")</f>
        <v>93190377.254509225</v>
      </c>
      <c r="BS32" s="11">
        <f ca="1">tblData[[#This Row],[China LogiP(t)]]/$BQ$9</f>
        <v>378.04222526471915</v>
      </c>
      <c r="BT32" s="137">
        <f ca="1">IF(AND(ISNUMBER(tblData[China]),tblData[Date]&gt;StartDt2China),(tblData[China]-AVERAGE(tblData[China]))^2,"")</f>
        <v>236235601.12854597</v>
      </c>
      <c r="BU32" s="11">
        <f>tblData[[#This Row],[Date]]-China100dt</f>
        <v>21</v>
      </c>
      <c r="BV32" s="106">
        <f>IF(ISNUMBER(tblData[Day'# Singapore]),betaSingapore/(deltaSingapore+betaPodeltaSingapore*EXP(-betaSingapore*tblData[Day'# Singapore])),"")</f>
        <v>21.092328602496934</v>
      </c>
      <c r="BW32" s="11">
        <f>IF(AND(ISNUMBER(tblData[Singapore]),tblData[Date]&gt;=StartDt2Singapore),(tblData[[#This Row],[Singapore LogiP(t)]]-tblData[[#This Row],[Singapore]])^2,"")</f>
        <v>835.6534656260169</v>
      </c>
      <c r="BX32" s="106">
        <f>IF(ISNUMBER(tblData[Day'# Singapore]),tblData[Singapore LogiP(t)]/$BV$9,"")</f>
        <v>36.055262568370829</v>
      </c>
      <c r="BY32" s="106">
        <f>IF(AND(ISNUMBER(tblData[Singapore]),tblData[Date]&gt;StartDt2Singapore),(tblData[Singapore]-AVERAGE(tblData[Singapore]))^2,"")</f>
        <v>22180.019043840508</v>
      </c>
      <c r="BZ32" s="11">
        <f>tblData[[#This Row],[Date]]-Singapore100dt+1</f>
        <v>2</v>
      </c>
      <c r="CA32" s="11">
        <f ca="1">IF(AND(tblData[Date]&gt;StartDt2Generic,ISNUMBER(tblData[Day'# Generic])),betaGeneric/(deltaGeneric+betaPodeltaGeneric*EXP(-betaGeneric*tblData[Day'# Generic])),"")</f>
        <v>6.2452917486206509E-2</v>
      </c>
      <c r="CB32" s="106" t="str">
        <f ca="1">IF(AND(ISNUMBER(tblData[Generic]),tblData[Date]&gt;StartDt2Generic),(tblData[Generic LogiP(t)]-tblData[[#This Row],[Generic]])^2,"")</f>
        <v/>
      </c>
      <c r="CC32" s="11" t="str">
        <f ca="1">IF(AND(ISNUMBER(tblData[Generic]),tblData[Date]&gt;StartDt2Generic),tblData[Generic LogiP(t)]/$CA$9,"")</f>
        <v/>
      </c>
      <c r="CD32" s="106" t="str">
        <f ca="1">IF(AND(ISNUMBER(tblData[Generic]),tblData[Date]&gt;StartDt2Generic),(tblData[Generic]-AVERAGE(tblData[Generic]))^2,"")</f>
        <v/>
      </c>
      <c r="CE32" s="11">
        <f>tblData[[#This Row],[Date]]-Generic100dt+1</f>
        <v>-37</v>
      </c>
      <c r="CG32" s="11"/>
      <c r="CH32" s="11" t="str">
        <f>IF(ISNUMBER(tblData[[#This Row],[Tests]]),tblData[[#This Row],[Tests]]-CH31,"")</f>
        <v/>
      </c>
      <c r="CI32" s="11" t="str">
        <f>IF(ISNUMBER(tblData[[#This Row],[NSW Under Investigation'']]),tblData[[#This Row],[NSW Under Investigation'']]-CG31,"")</f>
        <v/>
      </c>
      <c r="CJ32" s="11"/>
      <c r="CK32" s="11" t="str">
        <f>IF(AND(tblData[[#This Row],[NSW Test Day Number]]&gt;0,ISNUMBER(tblData[[#This Row],[NSW Test Day Number]])),betaTests/(deltaTests+betaPodeltaTests*EXP(-betaTests*tblData[[#This Row],[NSW Test Day Number]])),"")</f>
        <v/>
      </c>
      <c r="CL32" s="11" t="str">
        <f>IF(tblData[Tests]&gt;0,(tblData[[#This Row],[Tests]]-tblData[[#This Row],[NSW Test Logi]])^2,"")</f>
        <v/>
      </c>
      <c r="CM32" s="106" t="str">
        <f>IF(AND(ISNUMBER(tblData[Tests]),tblData[Date]&gt;StartDt2Tests),(tblData[Tests]-AVERAGE(tblData[Tests]))^2,"")</f>
        <v/>
      </c>
      <c r="CN32" s="11" t="str">
        <f>IF(ISNUMBER(tblData[Tests]),tblData[Tests]/$CN$9/100,"")</f>
        <v/>
      </c>
      <c r="CO32" s="11" t="str">
        <f>IF(AND(tblData[[#This Row],[NSW Test Day Number]]&gt;0,ISNUMBER(tblData[[#This Row],[NSW Test Day Number]])),TestsLogestB*TestsLogestM^tblData[[#This Row],[NSW Test Day Number]],"")</f>
        <v/>
      </c>
      <c r="CP32" s="11" t="str">
        <f>IF(AND(tblData[[#This Row],[NSW Test Day Number]]&gt;0,ISNUMBER(tblData[Tests])),(tblData[Tests]-tblData[[#This Row],[NSW Test Per Capita]])^2,"")</f>
        <v/>
      </c>
      <c r="CQ32" s="39">
        <f ca="1">IF(AND(tblData[Day '# NSW]&gt;0,ISNUMBER(tblData[[#This Row],[Day '# NSW]])),NSWLogestB*NSWLogestM^tblData[[#This Row],[Day '# NSW]]/$CR$9,"")</f>
        <v>6.8135654537984953</v>
      </c>
      <c r="CR32" s="39">
        <f ca="1">IF(AND(ISNUMBER(tblData[NSW]),tblData[Date]&gt;StartDt2NSW),(tblData[NSW]/$CR$9-tblData[[#This Row],[NSW Cases LogEst]])^2,"")</f>
        <v>3.4710313313545127</v>
      </c>
      <c r="CS32" s="11"/>
      <c r="CT32" s="11"/>
      <c r="CU32" s="26"/>
      <c r="CW32" s="25"/>
      <c r="CX32"/>
      <c r="DK32" s="25"/>
      <c r="DL32" s="25"/>
      <c r="DM32" s="25"/>
      <c r="DR32"/>
      <c r="DS32"/>
      <c r="DT32"/>
      <c r="DU32"/>
      <c r="EB32" s="25"/>
      <c r="EC32" s="25"/>
      <c r="ED32" s="25"/>
      <c r="EE32" s="25"/>
      <c r="EK32"/>
      <c r="EL32"/>
      <c r="EM32"/>
      <c r="EN32"/>
      <c r="EO32"/>
      <c r="EP32"/>
      <c r="EQ32" s="69"/>
      <c r="ER32" s="26"/>
      <c r="ES32" s="69"/>
      <c r="EU32" s="69" t="s">
        <v>48</v>
      </c>
      <c r="EV32" s="69">
        <v>43919.875428240739</v>
      </c>
      <c r="EW32" s="26">
        <v>43855</v>
      </c>
      <c r="EX32" s="26">
        <v>43855</v>
      </c>
      <c r="EY32" s="25">
        <v>0</v>
      </c>
      <c r="EZ32" s="81">
        <v>0.25247038130131466</v>
      </c>
      <c r="FA32" s="25">
        <v>3.869784095168087E-5</v>
      </c>
      <c r="FB32" s="21">
        <v>1E-3</v>
      </c>
      <c r="FC32" s="82">
        <v>6524.1464405354227</v>
      </c>
      <c r="FD32" s="82">
        <v>32.363823525541555</v>
      </c>
      <c r="FE32" s="25">
        <v>252.47034260347371</v>
      </c>
      <c r="FF32" s="84">
        <v>3.869784095168087E-2</v>
      </c>
      <c r="FG32" s="26">
        <v>43919</v>
      </c>
      <c r="FH32" s="25" t="s">
        <v>1973</v>
      </c>
      <c r="FI32" s="84">
        <v>6524.1464405354227</v>
      </c>
      <c r="FJ32" s="84">
        <v>3984</v>
      </c>
      <c r="FK32" s="26" t="s">
        <v>1974</v>
      </c>
      <c r="FL32" s="26">
        <v>43919</v>
      </c>
      <c r="FM32" s="25">
        <v>65</v>
      </c>
      <c r="FN32" s="25" t="s">
        <v>1975</v>
      </c>
      <c r="FO32" s="72"/>
      <c r="FP32" s="25" t="s">
        <v>1976</v>
      </c>
      <c r="FQ32" s="72"/>
      <c r="FR32" s="25" t="s">
        <v>1977</v>
      </c>
      <c r="FS32" s="19">
        <v>1570.7301687431004</v>
      </c>
      <c r="FT32" s="72"/>
      <c r="FU32" s="25"/>
      <c r="FV32" s="25"/>
      <c r="FW32" s="25"/>
      <c r="FX32" t="s">
        <v>1972</v>
      </c>
      <c r="FY32" s="25"/>
    </row>
    <row r="33" spans="2:185" ht="15" customHeight="1" x14ac:dyDescent="0.25">
      <c r="B33" s="1">
        <v>43874</v>
      </c>
      <c r="C33">
        <v>0</v>
      </c>
      <c r="D33" s="25">
        <v>0</v>
      </c>
      <c r="E33">
        <v>4</v>
      </c>
      <c r="F33">
        <v>0</v>
      </c>
      <c r="G33">
        <v>5</v>
      </c>
      <c r="H33">
        <v>2</v>
      </c>
      <c r="I33">
        <v>0</v>
      </c>
      <c r="J33">
        <v>4</v>
      </c>
      <c r="K33">
        <v>0</v>
      </c>
      <c r="L33" s="12">
        <f>IF(ISNUMBER(tblData[[#This Row],[NSW]]),tblData[[#This Row],[New South Wales]]/$L$9,"")</f>
        <v>4.9504950495049505</v>
      </c>
      <c r="M33" s="25">
        <v>3</v>
      </c>
      <c r="N33" s="44">
        <f>IF(ISNUMBER(tblData[Italy]),tblData[Italy]/$N$9,"")</f>
        <v>0.49599074150615857</v>
      </c>
      <c r="O33">
        <v>13</v>
      </c>
      <c r="P33" s="106">
        <f>IF(ISNUMBER(tblData[US]),tblData[US]/$P$9,"")</f>
        <v>0.39486343900067283</v>
      </c>
      <c r="Q33">
        <v>28</v>
      </c>
      <c r="R33" s="19">
        <f>IF(ISNUMBER(tblData[SKorea]),tblData[SKorea]/$R$9,"")</f>
        <v>5.4474708171206228</v>
      </c>
      <c r="S33">
        <v>9</v>
      </c>
      <c r="T33" s="12">
        <f>IF(ISNUMBER(tblData[UK]),tblData[UK]/$T$9,"")</f>
        <v>1.3546056592414208</v>
      </c>
      <c r="U33">
        <v>59895</v>
      </c>
      <c r="V33" s="20">
        <f>IF(ISNUMBER(tblData[China]),tblData[China]/$V$9,"")</f>
        <v>416.13291601736177</v>
      </c>
      <c r="W33">
        <v>58</v>
      </c>
      <c r="X33" s="20">
        <f>IF(ISNUMBER(tblData[Singapore]),tblData[Singapore]/$X$9,"")</f>
        <v>99.145299145299148</v>
      </c>
      <c r="Y33"/>
      <c r="Z33" s="20" t="str">
        <f>IF(AND(LEN(tblData[Generic])&gt;0,ISNUMBER(tblData[Generic])),tblData[Generic]/$Z$9,"")</f>
        <v/>
      </c>
      <c r="AA33" s="25">
        <f ca="1">IF(tblData[[#This Row],[Date]]&lt;StartDt2Italy,"",tblData[[#This Row],[Date]]-ItalyStart)</f>
        <v>14</v>
      </c>
      <c r="AB33" s="25">
        <f ca="1">IF(tblData[[#This Row],[Date]]&lt;=StartDt2US,"",tblData[[#This Row],[Date]]-USStart)</f>
        <v>22</v>
      </c>
      <c r="AC33" s="25">
        <f ca="1">IF(tblData[[#This Row],[Date]]&lt;StartDt2China,"",tblData[[#This Row],[Date]]-ChinaStart)</f>
        <v>22</v>
      </c>
      <c r="AD33" s="25">
        <f>IF(tblData[[#This Row],[Date]]&lt;=SKoreaStart,"",tblData[[#This Row],[Date]]-SKoreaStart)</f>
        <v>22</v>
      </c>
      <c r="AE33" s="25">
        <f ca="1">IF(tblData[[#This Row],[Date]]&lt;=StartDt2UK,"",tblData[[#This Row],[Date]]-UKStart)</f>
        <v>14</v>
      </c>
      <c r="AF33" s="25">
        <f>IF(tblData[[#This Row],[Date]]&lt;StartDt2Singapore,"",tblData[[#This Row],[Date]]-SingaporeStart)</f>
        <v>21</v>
      </c>
      <c r="AG33" s="25">
        <f ca="1">IF(tblData[[#This Row],[Date]]&lt;StartDt2Generic,"",tblData[[#This Row],[Date]]-GenericStart)</f>
        <v>22</v>
      </c>
      <c r="AH33">
        <f ca="1">IF(tblData[Date]&gt;StartDt2Au,tblData[Date]-AuStart,"")</f>
        <v>19</v>
      </c>
      <c r="AI33" s="25">
        <f>IF(tblData[New South Wales]&gt;=0,SUM(tblData[[#This Row],[Australian Capital Territory]:[Western Australia]]),"")</f>
        <v>15</v>
      </c>
      <c r="AJ33" s="12">
        <f>IF(ISNUMBER(tblData[Au]),tblData[Au]/$AE$9,"")</f>
        <v>5.9138937076170954</v>
      </c>
      <c r="AK33" s="19">
        <f ca="1">IF(ISNUMBER(tblData[[#This Row],[Day'# Aust]]),betaAu/(deltaAu+betaPodeltaAu*EXP(-betaAu*tblData[[#This Row],[Day'# Aust]])),"")</f>
        <v>0.12255074429758349</v>
      </c>
      <c r="AL33" s="62">
        <f ca="1">IF(ISNUMBER(tblData[Day'# Aust]),tblData[Au LogiP(t)]/$AJ$9,"")</f>
        <v>4.8316805037684707E-2</v>
      </c>
      <c r="AM33" s="11">
        <f ca="1">IF(AND(tblData[Date]&gt;StartDt2Au,ISNUMBER(tblData[NSW])),(tblData[[#This Row],[Au LogiP(t)]]-tblData[[#This Row],[Au]])^2,"")</f>
        <v>221.33849635600038</v>
      </c>
      <c r="AN33" s="11">
        <f ca="1">IF(AND(ISNUMBER(tblData[Au]),tblData[Date]&gt;StartDt2Au),(tblData[Au]-AVERAGE(tblData[Au]))^2,"")</f>
        <v>183488.66503328402</v>
      </c>
      <c r="AO33" s="11">
        <f>tblData[[#This Row],[Date]]-Au100dt</f>
        <v>-30</v>
      </c>
      <c r="AP33">
        <f ca="1">IF(tblData[Date]&gt;StartDt2NSW,tblData[Date]-StartDt2NSW,"")</f>
        <v>19</v>
      </c>
      <c r="AQ33" s="25">
        <f>IF(tblData[[#This Row],[New South Wales]]&gt;0,tblData[[#This Row],[New South Wales]],"")</f>
        <v>4</v>
      </c>
      <c r="AR33" s="44">
        <f ca="1">IF(tblData[Date]&gt;StartDt2NSW,betaNSW/(deltaNSW+betaPodeltaNSW*EXP(-betaNSW*tblData[[#This Row],[Day '# NSW]])),"")</f>
        <v>9.1667768711497691E-2</v>
      </c>
      <c r="AS33" s="12">
        <f ca="1">IF(AND(ISNUMBER(tblData[NSW]),tblData[Date]&gt;StartDt2NSW),(tblData[[#This Row],[NSW LogiP(t)]]-tblData[[#This Row],[NSW]])^2,"")</f>
        <v>15.275060830128563</v>
      </c>
      <c r="AT33" s="12">
        <f ca="1">IF(AND(tblData[Date]&gt;StartDt2NSW,ISNUMBER(tblData[Day'# Aust])),tblData[NSW LogiP(t)]/$AR$9,"")</f>
        <v>0.11345020880135852</v>
      </c>
      <c r="AU33" s="11">
        <f>tblData[[#This Row],[Date]]-NSW100dt+1</f>
        <v>-26</v>
      </c>
      <c r="AV33" s="11">
        <f ca="1">IF(AND(ISNUMBER(tblData[NSW]),tblData[Date]&gt;StartDt2NSW),(tblData[NSW]-AVERAGE(tblData[NSW]))^2,"")</f>
        <v>83990.760134425553</v>
      </c>
      <c r="AW33" s="39">
        <f ca="1">IF(AND(tblData[Date]&gt;StartDt2Italy,ISNUMBER(tblData[Days'# Italy])),betaItaly/(deltaItaly+betaPodeltaItaly*EXP(-betaItaly*tblData[Days'# Italy])),"")</f>
        <v>16.102452414373456</v>
      </c>
      <c r="AX33" s="11">
        <f ca="1">IF(AND(tblData[Date]&gt;StartDt2Italy,ISNUMBER(tblData[Italy])),(tblData[[#This Row],[Italy LogiP(t)]]-tblData[[#This Row],[Italy]])^2,"")</f>
        <v>171.6742592709208</v>
      </c>
      <c r="AY33" s="39">
        <f ca="1">IF(AND(tblData[Date]&gt;StartDt2Italy,ISNUMBER(tblData[Days'# Italy])),tblData[[#This Row],[Italy LogiP(t)]]/$AW$9,"")</f>
        <v>2.6622224376909078</v>
      </c>
      <c r="AZ33" s="39">
        <f ca="1">IF(AND(ISNUMBER(tblData[Italy]),tblData[Date]&gt;StartDt2Italy),(tblData[Italy]-AVERAGE(tblData[Italy]))^2,"")</f>
        <v>439983253.38271606</v>
      </c>
      <c r="BA33" s="11">
        <f>tblData[[#This Row],[Date]]-Italy100dt+1</f>
        <v>-13</v>
      </c>
      <c r="BB33" s="11">
        <f ca="1">IF(AND(tblData[Date]&gt;StartDt2US,ISNUMBER(tblData[[#This Row],[Days'# US]])),betaUS/(deltaUS+betaPodeltaUS*EXP(-betaUS*tblData[Days'# US])),"")</f>
        <v>0.51435838098768616</v>
      </c>
      <c r="BC33" s="11">
        <f ca="1">IF(AND(tblData[Date]&gt;StartDt2US,ISNUMBER(tblData[US])),(tblData[[#This Row],[US LogiP(t)]]-tblData[US])^2,"")</f>
        <v>155.89124663841244</v>
      </c>
      <c r="BD33" s="137">
        <f ca="1">IF(AND(tblData[Date]&gt;=StartDt2US,ISNUMBER(tblData[[#This Row],[Days'# US]])),tblData[[#This Row],[US LogiP(t)]]/$BB$9,"")</f>
        <v>1.5623178399662773E-2</v>
      </c>
      <c r="BE33" s="137">
        <f ca="1">IF(AND(ISNUMBER(tblData[US]),tblData[Date]&gt;StartDt2US),(tblData[US]-AVERAGE(tblData[US]))^2,"")</f>
        <v>334950315.39158893</v>
      </c>
      <c r="BF33" s="11">
        <f>tblData[[#This Row],[Date]]-US100dt+1</f>
        <v>-29</v>
      </c>
      <c r="BG33" s="20" t="str">
        <f ca="1">IF(tblData[Date]&gt;StartDt2SKorea,betaSKorea/(deltaSKorea+betaPodeltaSKorea*EXP(-betaSKorea*(tblData[Date]-StartDt2SKorea))),"")</f>
        <v/>
      </c>
      <c r="BH33" s="20" t="str">
        <f ca="1">IF(AND(tblData[Date]&gt;StartDt2SKorea,ISNUMBER(tblData[SKorea])),(tblData[[#This Row],[SKorea LogiP(t)]]-tblData[[#This Row],[SKorea]])^2,"")</f>
        <v/>
      </c>
      <c r="BI33" s="20" t="str">
        <f ca="1">IF(tblData[Date]&gt;StartDt2SKorea,tblData[[#This Row],[SKorea LogiP(t)]]/$BG$9,"")</f>
        <v/>
      </c>
      <c r="BJ33" s="137" t="str">
        <f ca="1">IF(AND(ISNUMBER(tblData[SKorea]),tblData[Date]&gt;StartDt2SKorea),(tblData[SKorea]-AVERAGE(tblData[SKorea]))^2,"")</f>
        <v/>
      </c>
      <c r="BK33" s="11">
        <f>tblData[[#This Row],[Date]]-SKorea100dt+1</f>
        <v>-8</v>
      </c>
      <c r="BL33" s="137">
        <f ca="1">IF(AND(tblData[Date]&gt;StartDt2UK,ISNUMBER(tblData[Days'# UK])),betaUK/(deltaUK+betaPodeltaUK*EXP(-betaUK*tblData[Days'# UK])),"")</f>
        <v>1.7518655572455144</v>
      </c>
      <c r="BM33" s="20">
        <f ca="1">IF(AND(tblData[Date]&gt;StartDt2UK,ISNUMBER(tblData[UK])),(tblData[[#This Row],[UK LogiP(t)]]-tblData[[#This Row],[UK]])^2,"")</f>
        <v>52.535452900243882</v>
      </c>
      <c r="BN33" s="20">
        <f ca="1">IF(ISNUMBER(tblData[Days'# UK]),tblData[[#This Row],[UK LogiP(t)]]/$BL$9,"")</f>
        <v>0.26367633311943323</v>
      </c>
      <c r="BO33" s="137">
        <f ca="1">IF(AND(ISNUMBER(tblData[UK]),tblData[Date]&gt;StartDt2UK),(tblData[UK]-AVERAGE(tblData[UK]))^2,"")</f>
        <v>9584331.4489795901</v>
      </c>
      <c r="BP33" s="11">
        <f>tblData[[#This Row],[Date]]-UK100dt</f>
        <v>-28</v>
      </c>
      <c r="BQ33" s="11">
        <f ca="1">IF(ISNUMBER(tblData[Days'# China]),betaChina/(deltaChina+betaPodeltaChina*EXP(-betaChina*tblData[Days'# China])),"")</f>
        <v>58221.042947872556</v>
      </c>
      <c r="BR33" s="11">
        <f ca="1">IF(ISNUMBER(tblData[China]),(tblData[[#This Row],[China LogiP(t)]]-tblData[[#This Row],[China]])^2,"")</f>
        <v>2802132.2123672008</v>
      </c>
      <c r="BS33" s="11">
        <f ca="1">tblData[[#This Row],[China LogiP(t)]]/$BQ$9</f>
        <v>404.50275274180257</v>
      </c>
      <c r="BT33" s="137">
        <f ca="1">IF(AND(ISNUMBER(tblData[China]),tblData[Date]&gt;StartDt2China),(tblData[China]-AVERAGE(tblData[China]))^2,"")</f>
        <v>54736.227137473295</v>
      </c>
      <c r="BU33" s="11">
        <f>tblData[[#This Row],[Date]]-China100dt</f>
        <v>22</v>
      </c>
      <c r="BV33" s="106">
        <f>IF(ISNUMBER(tblData[Day'# Singapore]),betaSingapore/(deltaSingapore+betaPodeltaSingapore*EXP(-betaSingapore*tblData[Day'# Singapore])),"")</f>
        <v>22.839378244508659</v>
      </c>
      <c r="BW33" s="11">
        <f>IF(AND(ISNUMBER(tblData[Singapore]),tblData[Date]&gt;=StartDt2Singapore),(tblData[[#This Row],[Singapore LogiP(t)]]-tblData[[#This Row],[Singapore]])^2,"")</f>
        <v>1236.2693222327309</v>
      </c>
      <c r="BX33" s="106">
        <f>IF(ISNUMBER(tblData[Day'# Singapore]),tblData[Singapore LogiP(t)]/$BV$9,"")</f>
        <v>39.041672212835316</v>
      </c>
      <c r="BY33" s="106">
        <f>IF(AND(ISNUMBER(tblData[Singapore]),tblData[Date]&gt;StartDt2Singapore),(tblData[Singapore]-AVERAGE(tblData[Singapore]))^2,"")</f>
        <v>19861.145804403888</v>
      </c>
      <c r="BZ33" s="11">
        <f>tblData[[#This Row],[Date]]-Singapore100dt+1</f>
        <v>3</v>
      </c>
      <c r="CA33" s="11">
        <f ca="1">IF(AND(tblData[Date]&gt;StartDt2Generic,ISNUMBER(tblData[Day'# Generic])),betaGeneric/(deltaGeneric+betaPodeltaGeneric*EXP(-betaGeneric*tblData[Day'# Generic])),"")</f>
        <v>7.6042071091889776E-2</v>
      </c>
      <c r="CB33" s="106" t="str">
        <f ca="1">IF(AND(ISNUMBER(tblData[Generic]),tblData[Date]&gt;StartDt2Generic),(tblData[Generic LogiP(t)]-tblData[[#This Row],[Generic]])^2,"")</f>
        <v/>
      </c>
      <c r="CC33" s="11" t="str">
        <f ca="1">IF(AND(ISNUMBER(tblData[Generic]),tblData[Date]&gt;StartDt2Generic),tblData[Generic LogiP(t)]/$CA$9,"")</f>
        <v/>
      </c>
      <c r="CD33" s="106" t="str">
        <f ca="1">IF(AND(ISNUMBER(tblData[Generic]),tblData[Date]&gt;StartDt2Generic),(tblData[Generic]-AVERAGE(tblData[Generic]))^2,"")</f>
        <v/>
      </c>
      <c r="CE33" s="11">
        <f>tblData[[#This Row],[Date]]-Generic100dt+1</f>
        <v>-36</v>
      </c>
      <c r="CG33" s="11"/>
      <c r="CH33" s="11" t="str">
        <f>IF(ISNUMBER(tblData[[#This Row],[Tests]]),tblData[[#This Row],[Tests]]-CH32,"")</f>
        <v/>
      </c>
      <c r="CI33" s="11" t="str">
        <f>IF(ISNUMBER(tblData[[#This Row],[NSW Under Investigation'']]),tblData[[#This Row],[NSW Under Investigation'']]-CG32,"")</f>
        <v/>
      </c>
      <c r="CJ33" s="11"/>
      <c r="CK33" s="11" t="str">
        <f>IF(AND(tblData[[#This Row],[NSW Test Day Number]]&gt;0,ISNUMBER(tblData[[#This Row],[NSW Test Day Number]])),betaTests/(deltaTests+betaPodeltaTests*EXP(-betaTests*tblData[[#This Row],[NSW Test Day Number]])),"")</f>
        <v/>
      </c>
      <c r="CL33" s="11" t="str">
        <f>IF(tblData[Tests]&gt;0,(tblData[[#This Row],[Tests]]-tblData[[#This Row],[NSW Test Logi]])^2,"")</f>
        <v/>
      </c>
      <c r="CM33" s="106" t="str">
        <f>IF(AND(ISNUMBER(tblData[Tests]),tblData[Date]&gt;StartDt2Tests),(tblData[Tests]-AVERAGE(tblData[Tests]))^2,"")</f>
        <v/>
      </c>
      <c r="CN33" s="11" t="str">
        <f>IF(ISNUMBER(tblData[Tests]),tblData[Tests]/$CN$9/100,"")</f>
        <v/>
      </c>
      <c r="CO33" s="11" t="str">
        <f>IF(AND(tblData[[#This Row],[NSW Test Day Number]]&gt;0,ISNUMBER(tblData[[#This Row],[NSW Test Day Number]])),TestsLogestB*TestsLogestM^tblData[[#This Row],[NSW Test Day Number]],"")</f>
        <v/>
      </c>
      <c r="CP33" s="11" t="str">
        <f>IF(AND(tblData[[#This Row],[NSW Test Day Number]]&gt;0,ISNUMBER(tblData[Tests])),(tblData[Tests]-tblData[[#This Row],[NSW Test Per Capita]])^2,"")</f>
        <v/>
      </c>
      <c r="CQ33" s="39">
        <f ca="1">IF(AND(tblData[Day '# NSW]&gt;0,ISNUMBER(tblData[[#This Row],[Day '# NSW]])),NSWLogestB*NSWLogestM^tblData[[#This Row],[Day '# NSW]]/$CR$9,"")</f>
        <v>7.5830818606006387</v>
      </c>
      <c r="CR33" s="39">
        <f ca="1">IF(AND(ISNUMBER(tblData[NSW]),tblData[Date]&gt;StartDt2NSW),(tblData[NSW]/$CR$9-tblData[[#This Row],[NSW Cases LogEst]])^2,"")</f>
        <v>6.9305133179549649</v>
      </c>
      <c r="CS33" s="11"/>
      <c r="CT33" s="11"/>
      <c r="CU33" s="26"/>
      <c r="CW33" s="25"/>
      <c r="CX33"/>
      <c r="DK33" s="25"/>
      <c r="DL33" s="25"/>
      <c r="DM33" s="25"/>
      <c r="DR33"/>
      <c r="DS33"/>
      <c r="DT33"/>
      <c r="DU33"/>
      <c r="EB33" s="25"/>
      <c r="EC33" s="25"/>
      <c r="ED33" s="25"/>
      <c r="EE33" s="25"/>
      <c r="EK33"/>
      <c r="EL33"/>
      <c r="EM33"/>
      <c r="EN33"/>
      <c r="EQ33" s="69"/>
      <c r="ER33" s="26"/>
      <c r="ES33" s="69"/>
      <c r="EU33" s="26" t="s">
        <v>48</v>
      </c>
      <c r="EV33" s="69">
        <v>43920.989247685182</v>
      </c>
      <c r="EW33" s="26">
        <v>43855</v>
      </c>
      <c r="EX33" s="26">
        <v>43855</v>
      </c>
      <c r="EY33" s="81">
        <v>0</v>
      </c>
      <c r="EZ33" s="25">
        <v>0.25287550740477743</v>
      </c>
      <c r="FA33" s="25">
        <v>4.0314797647569815E-5</v>
      </c>
      <c r="FB33" s="21">
        <v>1E-3</v>
      </c>
      <c r="FC33" s="82">
        <v>6272.5232956743075</v>
      </c>
      <c r="FD33" s="82">
        <v>35.28822101305029</v>
      </c>
      <c r="FE33" s="26">
        <v>252.87546708997979</v>
      </c>
      <c r="FF33" s="84">
        <v>4.0314797647569817E-2</v>
      </c>
      <c r="FG33" s="26">
        <v>43920</v>
      </c>
      <c r="FH33" s="26" t="s">
        <v>2016</v>
      </c>
      <c r="FI33" s="84">
        <v>6272.5232956743075</v>
      </c>
      <c r="FJ33" s="84">
        <v>4223</v>
      </c>
      <c r="FK33" s="25" t="s">
        <v>2017</v>
      </c>
      <c r="FL33" s="26">
        <v>43920</v>
      </c>
      <c r="FM33" s="25">
        <v>66</v>
      </c>
      <c r="FN33" s="72" t="s">
        <v>2018</v>
      </c>
      <c r="FO33" s="25"/>
      <c r="FP33" s="72" t="s">
        <v>2019</v>
      </c>
      <c r="FR33" t="s">
        <v>2020</v>
      </c>
      <c r="FS33" s="19">
        <v>1664.9582084844662</v>
      </c>
      <c r="FT33" s="72"/>
      <c r="FU33" s="25"/>
      <c r="FV33" s="148"/>
      <c r="FW33" s="25"/>
      <c r="FX33" s="25" t="s">
        <v>2015</v>
      </c>
      <c r="FY33" s="25"/>
      <c r="GA33" s="25"/>
    </row>
    <row r="34" spans="2:185" ht="15" customHeight="1" x14ac:dyDescent="0.25">
      <c r="B34" s="1">
        <v>43875</v>
      </c>
      <c r="C34">
        <v>0</v>
      </c>
      <c r="D34" s="25">
        <v>0</v>
      </c>
      <c r="E34">
        <v>4</v>
      </c>
      <c r="F34">
        <v>0</v>
      </c>
      <c r="G34">
        <v>5</v>
      </c>
      <c r="H34">
        <v>2</v>
      </c>
      <c r="I34">
        <v>0</v>
      </c>
      <c r="J34">
        <v>4</v>
      </c>
      <c r="K34">
        <v>0</v>
      </c>
      <c r="L34" s="12">
        <f>IF(ISNUMBER(tblData[[#This Row],[NSW]]),tblData[[#This Row],[New South Wales]]/$L$9,"")</f>
        <v>4.9504950495049505</v>
      </c>
      <c r="M34" s="25">
        <v>3</v>
      </c>
      <c r="N34" s="44">
        <f>IF(ISNUMBER(tblData[Italy]),tblData[Italy]/$N$9,"")</f>
        <v>0.49599074150615857</v>
      </c>
      <c r="O34">
        <v>13</v>
      </c>
      <c r="P34" s="106">
        <f>IF(ISNUMBER(tblData[US]),tblData[US]/$P$9,"")</f>
        <v>0.39486343900067283</v>
      </c>
      <c r="Q34">
        <v>28</v>
      </c>
      <c r="R34" s="19">
        <f>IF(ISNUMBER(tblData[SKorea]),tblData[SKorea]/$R$9,"")</f>
        <v>5.4474708171206228</v>
      </c>
      <c r="S34">
        <v>9</v>
      </c>
      <c r="T34" s="12">
        <f>IF(ISNUMBER(tblData[UK]),tblData[UK]/$T$9,"")</f>
        <v>1.3546056592414208</v>
      </c>
      <c r="U34">
        <v>66358</v>
      </c>
      <c r="V34" s="20">
        <f>IF(ISNUMBER(tblData[China]),tblData[China]/$V$9,"")</f>
        <v>461.03594692512047</v>
      </c>
      <c r="W34">
        <v>67</v>
      </c>
      <c r="X34" s="106">
        <f>IF(ISNUMBER(tblData[Singapore]),tblData[Singapore]/$X$9,"")</f>
        <v>114.52991452991454</v>
      </c>
      <c r="Y34"/>
      <c r="Z34" s="20" t="str">
        <f>IF(AND(LEN(tblData[Generic])&gt;0,ISNUMBER(tblData[Generic])),tblData[Generic]/$Z$9,"")</f>
        <v/>
      </c>
      <c r="AA34" s="25">
        <f ca="1">IF(tblData[[#This Row],[Date]]&lt;StartDt2Italy,"",tblData[[#This Row],[Date]]-ItalyStart)</f>
        <v>15</v>
      </c>
      <c r="AB34" s="25">
        <f ca="1">IF(tblData[[#This Row],[Date]]&lt;=StartDt2US,"",tblData[[#This Row],[Date]]-USStart)</f>
        <v>23</v>
      </c>
      <c r="AC34" s="25">
        <f ca="1">IF(tblData[[#This Row],[Date]]&lt;StartDt2China,"",tblData[[#This Row],[Date]]-ChinaStart)</f>
        <v>23</v>
      </c>
      <c r="AD34" s="25">
        <f>IF(tblData[[#This Row],[Date]]&lt;=SKoreaStart,"",tblData[[#This Row],[Date]]-SKoreaStart)</f>
        <v>23</v>
      </c>
      <c r="AE34" s="25">
        <f ca="1">IF(tblData[[#This Row],[Date]]&lt;=StartDt2UK,"",tblData[[#This Row],[Date]]-UKStart)</f>
        <v>15</v>
      </c>
      <c r="AF34" s="25">
        <f>IF(tblData[[#This Row],[Date]]&lt;StartDt2Singapore,"",tblData[[#This Row],[Date]]-SingaporeStart)</f>
        <v>22</v>
      </c>
      <c r="AG34" s="25">
        <f ca="1">IF(tblData[[#This Row],[Date]]&lt;StartDt2Generic,"",tblData[[#This Row],[Date]]-GenericStart)</f>
        <v>23</v>
      </c>
      <c r="AH34">
        <f ca="1">IF(tblData[Date]&gt;StartDt2Au,tblData[Date]-AuStart,"")</f>
        <v>20</v>
      </c>
      <c r="AI34" s="25">
        <f>IF(tblData[New South Wales]&gt;=0,SUM(tblData[[#This Row],[Australian Capital Territory]:[Western Australia]]),"")</f>
        <v>15</v>
      </c>
      <c r="AJ34" s="12">
        <f>IF(ISNUMBER(tblData[Au]),tblData[Au]/$AE$9,"")</f>
        <v>5.9138937076170954</v>
      </c>
      <c r="AK34" s="19">
        <f ca="1">IF(ISNUMBER(tblData[[#This Row],[Day'# Aust]]),betaAu/(deltaAu+betaPodeltaAu*EXP(-betaAu*tblData[[#This Row],[Day'# Aust]])),"")</f>
        <v>0.15784298613412748</v>
      </c>
      <c r="AL34" s="62">
        <f ca="1">IF(ISNUMBER(tblData[Day'# Aust]),tblData[Au LogiP(t)]/$AJ$9,"")</f>
        <v>6.2231109499340589E-2</v>
      </c>
      <c r="AM34" s="11">
        <f ca="1">IF(AND(tblData[Date]&gt;StartDt2Au,ISNUMBER(tblData[NSW])),(tblData[[#This Row],[Au LogiP(t)]]-tblData[[#This Row],[Au]])^2,"")</f>
        <v>220.28962482424791</v>
      </c>
      <c r="AN34" s="11">
        <f ca="1">IF(AND(ISNUMBER(tblData[Au]),tblData[Date]&gt;StartDt2Au),(tblData[Au]-AVERAGE(tblData[Au]))^2,"")</f>
        <v>183488.66503328402</v>
      </c>
      <c r="AO34" s="11">
        <f>tblData[[#This Row],[Date]]-Au100dt</f>
        <v>-29</v>
      </c>
      <c r="AP34">
        <f ca="1">IF(tblData[Date]&gt;StartDt2NSW,tblData[Date]-StartDt2NSW,"")</f>
        <v>20</v>
      </c>
      <c r="AQ34" s="25">
        <f>IF(tblData[[#This Row],[New South Wales]]&gt;0,tblData[[#This Row],[New South Wales]],"")</f>
        <v>4</v>
      </c>
      <c r="AR34" s="44">
        <f ca="1">IF(tblData[Date]&gt;StartDt2NSW,betaNSW/(deltaNSW+betaPodeltaNSW*EXP(-betaNSW*tblData[[#This Row],[Day '# NSW]])),"")</f>
        <v>0.11627553594896596</v>
      </c>
      <c r="AS34" s="12">
        <f ca="1">IF(AND(ISNUMBER(tblData[NSW]),tblData[Date]&gt;StartDt2NSW),(tblData[[#This Row],[NSW LogiP(t)]]-tblData[[#This Row],[NSW]])^2,"")</f>
        <v>15.083315712668492</v>
      </c>
      <c r="AT34" s="12">
        <f ca="1">IF(AND(tblData[Date]&gt;StartDt2NSW,ISNUMBER(tblData[Day'# Aust])),tblData[NSW LogiP(t)]/$AR$9,"")</f>
        <v>0.14390536627347272</v>
      </c>
      <c r="AU34" s="11">
        <f>tblData[[#This Row],[Date]]-NSW100dt+1</f>
        <v>-25</v>
      </c>
      <c r="AV34" s="11">
        <f ca="1">IF(AND(ISNUMBER(tblData[NSW]),tblData[Date]&gt;StartDt2NSW),(tblData[NSW]-AVERAGE(tblData[NSW]))^2,"")</f>
        <v>83990.760134425553</v>
      </c>
      <c r="AW34" s="39">
        <f ca="1">IF(AND(tblData[Date]&gt;StartDt2Italy,ISNUMBER(tblData[Days'# Italy])),betaItaly/(deltaItaly+betaPodeltaItaly*EXP(-betaItaly*tblData[Days'# Italy])),"")</f>
        <v>20.812589641721654</v>
      </c>
      <c r="AX34" s="11">
        <f ca="1">IF(AND(tblData[Date]&gt;StartDt2Italy,ISNUMBER(tblData[Italy])),(tblData[[#This Row],[Italy LogiP(t)]]-tblData[[#This Row],[Italy]])^2,"")</f>
        <v>317.28834974436955</v>
      </c>
      <c r="AY34" s="39">
        <f ca="1">IF(AND(tblData[Date]&gt;StartDt2Italy,ISNUMBER(tblData[Days'# Italy])),tblData[[#This Row],[Italy LogiP(t)]]/$AW$9,"")</f>
        <v>3.440950589686973</v>
      </c>
      <c r="AZ34" s="39">
        <f ca="1">IF(AND(ISNUMBER(tblData[Italy]),tblData[Date]&gt;StartDt2Italy),(tblData[Italy]-AVERAGE(tblData[Italy]))^2,"")</f>
        <v>439983253.38271606</v>
      </c>
      <c r="BA34" s="11">
        <f>tblData[[#This Row],[Date]]-Italy100dt+1</f>
        <v>-12</v>
      </c>
      <c r="BB34" s="11">
        <f ca="1">IF(AND(tblData[Date]&gt;StartDt2US,ISNUMBER(tblData[[#This Row],[Days'# US]])),betaUS/(deltaUS+betaPodeltaUS*EXP(-betaUS*tblData[Days'# US])),"")</f>
        <v>0.68313270292708372</v>
      </c>
      <c r="BC34" s="11">
        <f ca="1">IF(AND(tblData[Date]&gt;StartDt2US,ISNUMBER(tblData[US])),(tblData[[#This Row],[US LogiP(t)]]-tblData[US])^2,"")</f>
        <v>151.70522001370426</v>
      </c>
      <c r="BD34" s="137">
        <f ca="1">IF(AND(tblData[Date]&gt;=StartDt2US,ISNUMBER(tblData[[#This Row],[Days'# US]])),tblData[[#This Row],[US LogiP(t)]]/$BB$9,"")</f>
        <v>2.0749548336277946E-2</v>
      </c>
      <c r="BE34" s="137">
        <f ca="1">IF(AND(ISNUMBER(tblData[US]),tblData[Date]&gt;StartDt2US),(tblData[US]-AVERAGE(tblData[US]))^2,"")</f>
        <v>334950315.39158893</v>
      </c>
      <c r="BF34" s="11">
        <f>tblData[[#This Row],[Date]]-US100dt+1</f>
        <v>-28</v>
      </c>
      <c r="BG34" s="20" t="str">
        <f ca="1">IF(tblData[Date]&gt;StartDt2SKorea,betaSKorea/(deltaSKorea+betaPodeltaSKorea*EXP(-betaSKorea*(tblData[Date]-StartDt2SKorea))),"")</f>
        <v/>
      </c>
      <c r="BH34" s="20" t="str">
        <f ca="1">IF(AND(tblData[Date]&gt;StartDt2SKorea,ISNUMBER(tblData[SKorea])),(tblData[[#This Row],[SKorea LogiP(t)]]-tblData[[#This Row],[SKorea]])^2,"")</f>
        <v/>
      </c>
      <c r="BI34" s="20" t="str">
        <f ca="1">IF(tblData[Date]&gt;StartDt2SKorea,tblData[[#This Row],[SKorea LogiP(t)]]/$BG$9,"")</f>
        <v/>
      </c>
      <c r="BJ34" s="137" t="str">
        <f ca="1">IF(AND(ISNUMBER(tblData[SKorea]),tblData[Date]&gt;StartDt2SKorea),(tblData[SKorea]-AVERAGE(tblData[SKorea]))^2,"")</f>
        <v/>
      </c>
      <c r="BK34" s="11">
        <f>tblData[[#This Row],[Date]]-SKorea100dt+1</f>
        <v>-7</v>
      </c>
      <c r="BL34" s="137">
        <f ca="1">IF(AND(tblData[Date]&gt;StartDt2UK,ISNUMBER(tblData[Days'# UK])),betaUK/(deltaUK+betaPodeltaUK*EXP(-betaUK*tblData[Days'# UK])),"")</f>
        <v>2.1691848685950639</v>
      </c>
      <c r="BM34" s="20">
        <f ca="1">IF(AND(tblData[Date]&gt;StartDt2UK,ISNUMBER(tblData[UK])),(tblData[[#This Row],[UK LogiP(t)]]-tblData[[#This Row],[UK]])^2,"")</f>
        <v>46.660035359430637</v>
      </c>
      <c r="BN34" s="20">
        <f ca="1">IF(ISNUMBER(tblData[Days'# UK]),tblData[[#This Row],[UK LogiP(t)]]/$BL$9,"")</f>
        <v>0.32648778877108126</v>
      </c>
      <c r="BO34" s="137">
        <f ca="1">IF(AND(ISNUMBER(tblData[UK]),tblData[Date]&gt;StartDt2UK),(tblData[UK]-AVERAGE(tblData[UK]))^2,"")</f>
        <v>9584331.4489795901</v>
      </c>
      <c r="BP34" s="11">
        <f>tblData[[#This Row],[Date]]-UK100dt</f>
        <v>-27</v>
      </c>
      <c r="BQ34" s="11">
        <f ca="1">IF(ISNUMBER(tblData[Days'# China]),betaChina/(deltaChina+betaPodeltaChina*EXP(-betaChina*tblData[Days'# China])),"")</f>
        <v>61682.860808023674</v>
      </c>
      <c r="BR34" s="11">
        <f ca="1">IF(ISNUMBER(tblData[China]),(tblData[[#This Row],[China LogiP(t)]]-tblData[[#This Row],[China]])^2,"")</f>
        <v>21856926.464353058</v>
      </c>
      <c r="BS34" s="11">
        <f ca="1">tblData[[#This Row],[China LogiP(t)]]/$BQ$9</f>
        <v>428.55444922507604</v>
      </c>
      <c r="BT34" s="137">
        <f ca="1">IF(AND(ISNUMBER(tblData[China]),tblData[Date]&gt;StartDt2China),(tblData[China]-AVERAGE(tblData[China]))^2,"")</f>
        <v>38800967.396151543</v>
      </c>
      <c r="BU34" s="11">
        <f>tblData[[#This Row],[Date]]-China100dt</f>
        <v>23</v>
      </c>
      <c r="BV34" s="106">
        <f>IF(ISNUMBER(tblData[Day'# Singapore]),betaSingapore/(deltaSingapore+betaPodeltaSingapore*EXP(-betaSingapore*tblData[Day'# Singapore])),"")</f>
        <v>24.731108258589256</v>
      </c>
      <c r="BW34" s="11">
        <f>IF(AND(ISNUMBER(tblData[Singapore]),tblData[Date]&gt;=StartDt2Singapore),(tblData[[#This Row],[Singapore LogiP(t)]]-tblData[[#This Row],[Singapore]])^2,"")</f>
        <v>1786.6592090471011</v>
      </c>
      <c r="BX34" s="106">
        <f>IF(ISNUMBER(tblData[Day'# Singapore]),tblData[Singapore LogiP(t)]/$BV$9,"")</f>
        <v>42.27539873263121</v>
      </c>
      <c r="BY34" s="106">
        <f>IF(AND(ISNUMBER(tblData[Singapore]),tblData[Date]&gt;StartDt2Singapore),(tblData[Singapore]-AVERAGE(tblData[Singapore]))^2,"")</f>
        <v>17405.41341003769</v>
      </c>
      <c r="BZ34" s="11">
        <f>tblData[[#This Row],[Date]]-Singapore100dt+1</f>
        <v>4</v>
      </c>
      <c r="CA34" s="11">
        <f ca="1">IF(AND(tblData[Date]&gt;StartDt2Generic,ISNUMBER(tblData[Day'# Generic])),betaGeneric/(deltaGeneric+betaPodeltaGeneric*EXP(-betaGeneric*tblData[Day'# Generic])),"")</f>
        <v>9.2588016524552744E-2</v>
      </c>
      <c r="CB34" s="106" t="str">
        <f ca="1">IF(AND(ISNUMBER(tblData[Generic]),tblData[Date]&gt;StartDt2Generic),(tblData[Generic LogiP(t)]-tblData[[#This Row],[Generic]])^2,"")</f>
        <v/>
      </c>
      <c r="CC34" s="11" t="str">
        <f ca="1">IF(AND(ISNUMBER(tblData[Generic]),tblData[Date]&gt;StartDt2Generic),tblData[Generic LogiP(t)]/$CA$9,"")</f>
        <v/>
      </c>
      <c r="CD34" s="106" t="str">
        <f ca="1">IF(AND(ISNUMBER(tblData[Generic]),tblData[Date]&gt;StartDt2Generic),(tblData[Generic]-AVERAGE(tblData[Generic]))^2,"")</f>
        <v/>
      </c>
      <c r="CE34" s="11">
        <f>tblData[[#This Row],[Date]]-Generic100dt+1</f>
        <v>-35</v>
      </c>
      <c r="CG34" s="11"/>
      <c r="CH34" s="11" t="str">
        <f>IF(ISNUMBER(tblData[[#This Row],[Tests]]),tblData[[#This Row],[Tests]]-CH33,"")</f>
        <v/>
      </c>
      <c r="CI34" s="11" t="str">
        <f>IF(ISNUMBER(tblData[[#This Row],[NSW Under Investigation'']]),tblData[[#This Row],[NSW Under Investigation'']]-CG33,"")</f>
        <v/>
      </c>
      <c r="CJ34" s="11"/>
      <c r="CK34" s="11" t="str">
        <f>IF(AND(tblData[[#This Row],[NSW Test Day Number]]&gt;0,ISNUMBER(tblData[[#This Row],[NSW Test Day Number]])),betaTests/(deltaTests+betaPodeltaTests*EXP(-betaTests*tblData[[#This Row],[NSW Test Day Number]])),"")</f>
        <v/>
      </c>
      <c r="CL34" s="11" t="str">
        <f>IF(tblData[Tests]&gt;0,(tblData[[#This Row],[Tests]]-tblData[[#This Row],[NSW Test Logi]])^2,"")</f>
        <v/>
      </c>
      <c r="CM34" s="106" t="str">
        <f>IF(AND(ISNUMBER(tblData[Tests]),tblData[Date]&gt;StartDt2Tests),(tblData[Tests]-AVERAGE(tblData[Tests]))^2,"")</f>
        <v/>
      </c>
      <c r="CN34" s="11" t="str">
        <f>IF(ISNUMBER(tblData[Tests]),tblData[Tests]/$CN$9/100,"")</f>
        <v/>
      </c>
      <c r="CO34" s="11" t="str">
        <f>IF(AND(tblData[[#This Row],[NSW Test Day Number]]&gt;0,ISNUMBER(tblData[[#This Row],[NSW Test Day Number]])),TestsLogestB*TestsLogestM^tblData[[#This Row],[NSW Test Day Number]],"")</f>
        <v/>
      </c>
      <c r="CP34" s="11" t="str">
        <f>IF(AND(tblData[[#This Row],[NSW Test Day Number]]&gt;0,ISNUMBER(tblData[Tests])),(tblData[Tests]-tblData[[#This Row],[NSW Test Per Capita]])^2,"")</f>
        <v/>
      </c>
      <c r="CQ34" s="39">
        <f ca="1">IF(AND(tblData[Day '# NSW]&gt;0,ISNUMBER(tblData[[#This Row],[Day '# NSW]])),NSWLogestB*NSWLogestM^tblData[[#This Row],[Day '# NSW]]/$CR$9,"")</f>
        <v>8.4395065835190604</v>
      </c>
      <c r="CR34" s="39">
        <f ca="1">IF(AND(ISNUMBER(tblData[NSW]),tblData[Date]&gt;StartDt2NSW),(tblData[NSW]/$CR$9-tblData[[#This Row],[NSW Cases LogEst]])^2,"")</f>
        <v>12.173201484483492</v>
      </c>
      <c r="CS34" s="11"/>
      <c r="CT34" s="11"/>
      <c r="CU34" s="26"/>
      <c r="CW34" s="25"/>
      <c r="CX34"/>
      <c r="DK34" s="25"/>
      <c r="DL34" s="25"/>
      <c r="DM34" s="25"/>
      <c r="DR34"/>
      <c r="DS34"/>
      <c r="DT34"/>
      <c r="DU34"/>
      <c r="EB34" s="25"/>
      <c r="EC34" s="25"/>
      <c r="ED34" s="25"/>
      <c r="EE34" s="25"/>
      <c r="EK34"/>
      <c r="EL34"/>
      <c r="EM34"/>
      <c r="EN34"/>
      <c r="EO34"/>
      <c r="EP34" s="25"/>
      <c r="ER34" s="25"/>
      <c r="ES34" s="25"/>
      <c r="ET34"/>
      <c r="EU34" s="25" t="s">
        <v>48</v>
      </c>
      <c r="EV34" s="69">
        <v>43921.585509259261</v>
      </c>
      <c r="EW34" s="26">
        <v>43855</v>
      </c>
      <c r="EX34" s="26">
        <v>43855</v>
      </c>
      <c r="EY34" s="25">
        <v>0</v>
      </c>
      <c r="EZ34" s="25">
        <v>0.25297009482846505</v>
      </c>
      <c r="FA34" s="83">
        <v>4.0465477890410492E-5</v>
      </c>
      <c r="FB34" s="21">
        <v>1E-3</v>
      </c>
      <c r="FC34" s="82">
        <v>6251.5039489602541</v>
      </c>
      <c r="FD34" s="82">
        <v>37.046112918051044</v>
      </c>
      <c r="FE34" s="84">
        <v>252.97005436298716</v>
      </c>
      <c r="FF34" s="84">
        <v>4.0465477890410495E-2</v>
      </c>
      <c r="FG34" s="26">
        <v>43921</v>
      </c>
      <c r="FH34" s="25" t="s">
        <v>1539</v>
      </c>
      <c r="FI34" s="84">
        <v>6251.5039489602541</v>
      </c>
      <c r="FJ34" s="84">
        <v>4514</v>
      </c>
      <c r="FK34" s="25" t="s">
        <v>1540</v>
      </c>
      <c r="FL34" s="26">
        <v>43921</v>
      </c>
      <c r="FM34" s="25">
        <v>67</v>
      </c>
      <c r="FN34" s="25" t="s">
        <v>2024</v>
      </c>
      <c r="FO34" s="72"/>
      <c r="FP34" s="25" t="s">
        <v>1542</v>
      </c>
      <c r="FR34" s="25" t="s">
        <v>2025</v>
      </c>
      <c r="FS34" s="19">
        <v>1779.6877464122379</v>
      </c>
      <c r="FT34" s="72"/>
      <c r="FU34" s="25"/>
      <c r="FV34" s="25"/>
      <c r="FW34" s="25"/>
      <c r="FX34" s="25" t="s">
        <v>2023</v>
      </c>
      <c r="FY34" s="25"/>
      <c r="FZ34" s="25"/>
      <c r="GA34" s="25"/>
      <c r="GC34" s="25"/>
    </row>
    <row r="35" spans="2:185" ht="15" customHeight="1" x14ac:dyDescent="0.25">
      <c r="B35" s="1">
        <v>43876</v>
      </c>
      <c r="C35">
        <v>0</v>
      </c>
      <c r="D35" s="25">
        <v>0</v>
      </c>
      <c r="E35">
        <v>4</v>
      </c>
      <c r="F35">
        <v>0</v>
      </c>
      <c r="G35">
        <v>5</v>
      </c>
      <c r="H35">
        <v>2</v>
      </c>
      <c r="I35">
        <v>0</v>
      </c>
      <c r="J35">
        <v>4</v>
      </c>
      <c r="K35">
        <v>0</v>
      </c>
      <c r="L35" s="12">
        <f>IF(ISNUMBER(tblData[[#This Row],[NSW]]),tblData[[#This Row],[New South Wales]]/$L$9,"")</f>
        <v>4.9504950495049505</v>
      </c>
      <c r="M35" s="25">
        <v>3</v>
      </c>
      <c r="N35" s="44">
        <f>IF(ISNUMBER(tblData[Italy]),tblData[Italy]/$N$9,"")</f>
        <v>0.49599074150615857</v>
      </c>
      <c r="O35">
        <v>13</v>
      </c>
      <c r="P35" s="106">
        <f>IF(ISNUMBER(tblData[US]),tblData[US]/$P$9,"")</f>
        <v>0.39486343900067283</v>
      </c>
      <c r="Q35">
        <v>28</v>
      </c>
      <c r="R35" s="19">
        <f>IF(ISNUMBER(tblData[SKorea]),tblData[SKorea]/$R$9,"")</f>
        <v>5.4474708171206228</v>
      </c>
      <c r="S35">
        <v>9</v>
      </c>
      <c r="T35" s="12">
        <f>IF(ISNUMBER(tblData[UK]),tblData[UK]/$T$9,"")</f>
        <v>1.3546056592414208</v>
      </c>
      <c r="U35">
        <v>68413</v>
      </c>
      <c r="V35" s="20">
        <f>IF(ISNUMBER(tblData[China]),tblData[China]/$V$9,"")</f>
        <v>475.31348499032924</v>
      </c>
      <c r="W35">
        <v>72</v>
      </c>
      <c r="X35" s="106">
        <f>IF(ISNUMBER(tblData[Singapore]),tblData[Singapore]/$X$9,"")</f>
        <v>123.07692307692308</v>
      </c>
      <c r="Y35"/>
      <c r="Z35" s="20" t="str">
        <f>IF(AND(LEN(tblData[Generic])&gt;0,ISNUMBER(tblData[Generic])),tblData[Generic]/$Z$9,"")</f>
        <v/>
      </c>
      <c r="AA35" s="25">
        <f ca="1">IF(tblData[[#This Row],[Date]]&lt;StartDt2Italy,"",tblData[[#This Row],[Date]]-ItalyStart)</f>
        <v>16</v>
      </c>
      <c r="AB35" s="25">
        <f ca="1">IF(tblData[[#This Row],[Date]]&lt;=StartDt2US,"",tblData[[#This Row],[Date]]-USStart)</f>
        <v>24</v>
      </c>
      <c r="AC35" s="25">
        <f ca="1">IF(tblData[[#This Row],[Date]]&lt;StartDt2China,"",tblData[[#This Row],[Date]]-ChinaStart)</f>
        <v>24</v>
      </c>
      <c r="AD35" s="25">
        <f>IF(tblData[[#This Row],[Date]]&lt;=SKoreaStart,"",tblData[[#This Row],[Date]]-SKoreaStart)</f>
        <v>24</v>
      </c>
      <c r="AE35" s="25">
        <f ca="1">IF(tblData[[#This Row],[Date]]&lt;=StartDt2UK,"",tblData[[#This Row],[Date]]-UKStart)</f>
        <v>16</v>
      </c>
      <c r="AF35" s="25">
        <f>IF(tblData[[#This Row],[Date]]&lt;StartDt2Singapore,"",tblData[[#This Row],[Date]]-SingaporeStart)</f>
        <v>23</v>
      </c>
      <c r="AG35" s="25">
        <f ca="1">IF(tblData[[#This Row],[Date]]&lt;StartDt2Generic,"",tblData[[#This Row],[Date]]-GenericStart)</f>
        <v>24</v>
      </c>
      <c r="AH35">
        <f ca="1">IF(tblData[Date]&gt;StartDt2Au,tblData[Date]-AuStart,"")</f>
        <v>21</v>
      </c>
      <c r="AI35" s="25">
        <f>IF(tblData[New South Wales]&gt;=0,SUM(tblData[[#This Row],[Australian Capital Territory]:[Western Australia]]),"")</f>
        <v>15</v>
      </c>
      <c r="AJ35" s="12">
        <f>IF(ISNUMBER(tblData[Au]),tblData[Au]/$AE$9,"")</f>
        <v>5.9138937076170954</v>
      </c>
      <c r="AK35" s="19">
        <f ca="1">IF(ISNUMBER(tblData[[#This Row],[Day'# Aust]]),betaAu/(deltaAu+betaPodeltaAu*EXP(-betaAu*tblData[[#This Row],[Day'# Aust]])),"")</f>
        <v>0.20329837601526535</v>
      </c>
      <c r="AL35" s="62">
        <f ca="1">IF(ISNUMBER(tblData[Day'# Aust]),tblData[Au LogiP(t)]/$AJ$9,"")</f>
        <v>8.0152332445696792E-2</v>
      </c>
      <c r="AM35" s="11">
        <f ca="1">IF(AND(tblData[Date]&gt;StartDt2Au,ISNUMBER(tblData[NSW])),(tblData[[#This Row],[Au LogiP(t)]]-tblData[[#This Row],[Au]])^2,"")</f>
        <v>218.94237894923248</v>
      </c>
      <c r="AN35" s="11">
        <f ca="1">IF(AND(ISNUMBER(tblData[Au]),tblData[Date]&gt;StartDt2Au),(tblData[Au]-AVERAGE(tblData[Au]))^2,"")</f>
        <v>183488.66503328402</v>
      </c>
      <c r="AO35" s="11">
        <f>tblData[[#This Row],[Date]]-Au100dt</f>
        <v>-28</v>
      </c>
      <c r="AP35">
        <f ca="1">IF(tblData[Date]&gt;StartDt2NSW,tblData[Date]-StartDt2NSW,"")</f>
        <v>21</v>
      </c>
      <c r="AQ35" s="25">
        <f>IF(tblData[[#This Row],[New South Wales]]&gt;0,tblData[[#This Row],[New South Wales]],"")</f>
        <v>4</v>
      </c>
      <c r="AR35" s="44">
        <f ca="1">IF(tblData[Date]&gt;StartDt2NSW,betaNSW/(deltaNSW+betaPodeltaNSW*EXP(-betaNSW*tblData[[#This Row],[Day '# NSW]])),"")</f>
        <v>0.1474888140258559</v>
      </c>
      <c r="AS35" s="12">
        <f ca="1">IF(AND(ISNUMBER(tblData[NSW]),tblData[Date]&gt;StartDt2NSW),(tblData[[#This Row],[NSW LogiP(t)]]-tblData[[#This Row],[NSW]])^2,"")</f>
        <v>14.841842438055908</v>
      </c>
      <c r="AT35" s="12">
        <f ca="1">IF(AND(tblData[Date]&gt;StartDt2NSW,ISNUMBER(tblData[Day'# Aust])),tblData[NSW LogiP(t)]/$AR$9,"")</f>
        <v>0.18253566092308898</v>
      </c>
      <c r="AU35" s="11">
        <f>tblData[[#This Row],[Date]]-NSW100dt+1</f>
        <v>-24</v>
      </c>
      <c r="AV35" s="11">
        <f ca="1">IF(AND(ISNUMBER(tblData[NSW]),tblData[Date]&gt;StartDt2NSW),(tblData[NSW]-AVERAGE(tblData[NSW]))^2,"")</f>
        <v>83990.760134425553</v>
      </c>
      <c r="AW35" s="39">
        <f ca="1">IF(AND(tblData[Date]&gt;StartDt2Italy,ISNUMBER(tblData[Days'# Italy])),betaItaly/(deltaItaly+betaPodeltaItaly*EXP(-betaItaly*tblData[Days'# Italy])),"")</f>
        <v>26.900110618340641</v>
      </c>
      <c r="AX35" s="11">
        <f ca="1">IF(AND(tblData[Date]&gt;StartDt2Italy,ISNUMBER(tblData[Italy])),(tblData[[#This Row],[Italy LogiP(t)]]-tblData[[#This Row],[Italy]])^2,"")</f>
        <v>571.21528756891905</v>
      </c>
      <c r="AY35" s="39">
        <f ca="1">IF(AND(tblData[Date]&gt;StartDt2Italy,ISNUMBER(tblData[Days'# Italy])),tblData[[#This Row],[Italy LogiP(t)]]/$AW$9,"")</f>
        <v>4.4474019373961546</v>
      </c>
      <c r="AZ35" s="39">
        <f ca="1">IF(AND(ISNUMBER(tblData[Italy]),tblData[Date]&gt;StartDt2Italy),(tblData[Italy]-AVERAGE(tblData[Italy]))^2,"")</f>
        <v>439983253.38271606</v>
      </c>
      <c r="BA35" s="11">
        <f>tblData[[#This Row],[Date]]-Italy100dt+1</f>
        <v>-11</v>
      </c>
      <c r="BB35" s="11">
        <f ca="1">IF(AND(tblData[Date]&gt;StartDt2US,ISNUMBER(tblData[[#This Row],[Days'# US]])),betaUS/(deltaUS+betaPodeltaUS*EXP(-betaUS*tblData[Days'# US])),"")</f>
        <v>0.90728617680174606</v>
      </c>
      <c r="BC35" s="11">
        <f ca="1">IF(AND(tblData[Date]&gt;StartDt2US,ISNUMBER(tblData[US])),(tblData[[#This Row],[US LogiP(t)]]-tblData[US])^2,"")</f>
        <v>146.23372760977014</v>
      </c>
      <c r="BD35" s="137">
        <f ca="1">IF(AND(tblData[Date]&gt;=StartDt2US,ISNUMBER(tblData[[#This Row],[Days'# US]])),tblData[[#This Row],[US LogiP(t)]]/$BB$9,"")</f>
        <v>2.7558010763823842E-2</v>
      </c>
      <c r="BE35" s="137">
        <f ca="1">IF(AND(ISNUMBER(tblData[US]),tblData[Date]&gt;StartDt2US),(tblData[US]-AVERAGE(tblData[US]))^2,"")</f>
        <v>334950315.39158893</v>
      </c>
      <c r="BF35" s="11">
        <f>tblData[[#This Row],[Date]]-US100dt+1</f>
        <v>-27</v>
      </c>
      <c r="BG35" s="20" t="str">
        <f ca="1">IF(tblData[Date]&gt;StartDt2SKorea,betaSKorea/(deltaSKorea+betaPodeltaSKorea*EXP(-betaSKorea*(tblData[Date]-StartDt2SKorea))),"")</f>
        <v/>
      </c>
      <c r="BH35" s="20" t="str">
        <f ca="1">IF(AND(tblData[Date]&gt;StartDt2SKorea,ISNUMBER(tblData[SKorea])),(tblData[[#This Row],[SKorea LogiP(t)]]-tblData[[#This Row],[SKorea]])^2,"")</f>
        <v/>
      </c>
      <c r="BI35" s="20" t="str">
        <f ca="1">IF(tblData[Date]&gt;StartDt2SKorea,tblData[[#This Row],[SKorea LogiP(t)]]/$BG$9,"")</f>
        <v/>
      </c>
      <c r="BJ35" s="137" t="str">
        <f ca="1">IF(AND(ISNUMBER(tblData[SKorea]),tblData[Date]&gt;StartDt2SKorea),(tblData[SKorea]-AVERAGE(tblData[SKorea]))^2,"")</f>
        <v/>
      </c>
      <c r="BK35" s="11">
        <f>tblData[[#This Row],[Date]]-SKorea100dt+1</f>
        <v>-6</v>
      </c>
      <c r="BL35" s="137">
        <f ca="1">IF(AND(tblData[Date]&gt;StartDt2UK,ISNUMBER(tblData[Days'# UK])),betaUK/(deltaUK+betaPodeltaUK*EXP(-betaUK*tblData[Days'# UK])),"")</f>
        <v>2.685911998303804</v>
      </c>
      <c r="BM35" s="20">
        <f ca="1">IF(AND(tblData[Date]&gt;StartDt2UK,ISNUMBER(tblData[UK])),(tblData[[#This Row],[UK LogiP(t)]]-tblData[[#This Row],[UK]])^2,"")</f>
        <v>39.867707293163861</v>
      </c>
      <c r="BN35" s="20">
        <f ca="1">IF(ISNUMBER(tblData[Days'# UK]),tblData[[#This Row],[UK LogiP(t)]]/$BL$9,"")</f>
        <v>0.40426128812519624</v>
      </c>
      <c r="BO35" s="137">
        <f ca="1">IF(AND(ISNUMBER(tblData[UK]),tblData[Date]&gt;StartDt2UK),(tblData[UK]-AVERAGE(tblData[UK]))^2,"")</f>
        <v>9584331.4489795901</v>
      </c>
      <c r="BP35" s="11">
        <f>tblData[[#This Row],[Date]]-UK100dt</f>
        <v>-26</v>
      </c>
      <c r="BQ35" s="11">
        <f ca="1">IF(ISNUMBER(tblData[Days'# China]),betaChina/(deltaChina+betaPodeltaChina*EXP(-betaChina*tblData[Days'# China])),"")</f>
        <v>64770.921513039277</v>
      </c>
      <c r="BR35" s="11">
        <f ca="1">IF(ISNUMBER(tblData[China]),(tblData[[#This Row],[China LogiP(t)]]-tblData[[#This Row],[China]])^2,"")</f>
        <v>13264735.705182111</v>
      </c>
      <c r="BS35" s="11">
        <f ca="1">tblData[[#This Row],[China LogiP(t)]]/$BQ$9</f>
        <v>450.00939047253866</v>
      </c>
      <c r="BT35" s="137">
        <f ca="1">IF(AND(ISNUMBER(tblData[China]),tblData[Date]&gt;StartDt2China),(tblData[China]-AVERAGE(tblData[China]))^2,"")</f>
        <v>68625356.058123365</v>
      </c>
      <c r="BU35" s="11">
        <f>tblData[[#This Row],[Date]]-China100dt</f>
        <v>24</v>
      </c>
      <c r="BV35" s="106">
        <f>IF(ISNUMBER(tblData[Day'# Singapore]),betaSingapore/(deltaSingapore+betaPodeltaSingapore*EXP(-betaSingapore*tblData[Day'# Singapore])),"")</f>
        <v>26.779495833894117</v>
      </c>
      <c r="BW35" s="11">
        <f>IF(AND(ISNUMBER(tblData[Singapore]),tblData[Date]&gt;=StartDt2Singapore),(tblData[[#This Row],[Singapore LogiP(t)]]-tblData[[#This Row],[Singapore]])^2,"")</f>
        <v>2044.8939970367994</v>
      </c>
      <c r="BX35" s="106">
        <f>IF(ISNUMBER(tblData[Day'# Singapore]),tblData[Singapore LogiP(t)]/$BV$9,"")</f>
        <v>45.776915955374562</v>
      </c>
      <c r="BY35" s="106">
        <f>IF(AND(ISNUMBER(tblData[Singapore]),tblData[Date]&gt;StartDt2Singapore),(tblData[Singapore]-AVERAGE(tblData[Singapore]))^2,"")</f>
        <v>16111.117635389804</v>
      </c>
      <c r="BZ35" s="11">
        <f>tblData[[#This Row],[Date]]-Singapore100dt+1</f>
        <v>5</v>
      </c>
      <c r="CA35" s="11">
        <f ca="1">IF(AND(tblData[Date]&gt;StartDt2Generic,ISNUMBER(tblData[Day'# Generic])),betaGeneric/(deltaGeneric+betaPodeltaGeneric*EXP(-betaGeneric*tblData[Day'# Generic])),"")</f>
        <v>0.1127340691907732</v>
      </c>
      <c r="CB35" s="106" t="str">
        <f ca="1">IF(AND(ISNUMBER(tblData[Generic]),tblData[Date]&gt;StartDt2Generic),(tblData[Generic LogiP(t)]-tblData[[#This Row],[Generic]])^2,"")</f>
        <v/>
      </c>
      <c r="CC35" s="11" t="str">
        <f ca="1">IF(AND(ISNUMBER(tblData[Generic]),tblData[Date]&gt;StartDt2Generic),tblData[Generic LogiP(t)]/$CA$9,"")</f>
        <v/>
      </c>
      <c r="CD35" s="106" t="str">
        <f ca="1">IF(AND(ISNUMBER(tblData[Generic]),tblData[Date]&gt;StartDt2Generic),(tblData[Generic]-AVERAGE(tblData[Generic]))^2,"")</f>
        <v/>
      </c>
      <c r="CE35" s="11">
        <f>tblData[[#This Row],[Date]]-Generic100dt+1</f>
        <v>-34</v>
      </c>
      <c r="CG35" s="11"/>
      <c r="CH35" s="11" t="str">
        <f>IF(ISNUMBER(tblData[[#This Row],[Tests]]),tblData[[#This Row],[Tests]]-CH34,"")</f>
        <v/>
      </c>
      <c r="CI35" s="11" t="str">
        <f>IF(ISNUMBER(tblData[[#This Row],[NSW Under Investigation'']]),tblData[[#This Row],[NSW Under Investigation'']]-CG34,"")</f>
        <v/>
      </c>
      <c r="CJ35" s="11"/>
      <c r="CK35" s="11" t="str">
        <f>IF(AND(tblData[[#This Row],[NSW Test Day Number]]&gt;0,ISNUMBER(tblData[[#This Row],[NSW Test Day Number]])),betaTests/(deltaTests+betaPodeltaTests*EXP(-betaTests*tblData[[#This Row],[NSW Test Day Number]])),"")</f>
        <v/>
      </c>
      <c r="CL35" s="11" t="str">
        <f>IF(tblData[Tests]&gt;0,(tblData[[#This Row],[Tests]]-tblData[[#This Row],[NSW Test Logi]])^2,"")</f>
        <v/>
      </c>
      <c r="CM35" s="106" t="str">
        <f>IF(AND(ISNUMBER(tblData[Tests]),tblData[Date]&gt;StartDt2Tests),(tblData[Tests]-AVERAGE(tblData[Tests]))^2,"")</f>
        <v/>
      </c>
      <c r="CN35" s="11" t="str">
        <f>IF(ISNUMBER(tblData[Tests]),tblData[Tests]/$CN$9/100,"")</f>
        <v/>
      </c>
      <c r="CO35" s="11" t="str">
        <f>IF(AND(tblData[[#This Row],[NSW Test Day Number]]&gt;0,ISNUMBER(tblData[[#This Row],[NSW Test Day Number]])),TestsLogestB*TestsLogestM^tblData[[#This Row],[NSW Test Day Number]],"")</f>
        <v/>
      </c>
      <c r="CP35" s="11" t="str">
        <f>IF(AND(tblData[[#This Row],[NSW Test Day Number]]&gt;0,ISNUMBER(tblData[Tests])),(tblData[Tests]-tblData[[#This Row],[NSW Test Per Capita]])^2,"")</f>
        <v/>
      </c>
      <c r="CQ35" s="39">
        <f ca="1">IF(AND(tblData[Day '# NSW]&gt;0,ISNUMBER(tblData[[#This Row],[Day '# NSW]])),NSWLogestB*NSWLogestM^tblData[[#This Row],[Day '# NSW]]/$CR$9,"")</f>
        <v>9.3926549498728438</v>
      </c>
      <c r="CR35" s="39">
        <f ca="1">IF(AND(ISNUMBER(tblData[NSW]),tblData[Date]&gt;StartDt2NSW),(tblData[NSW]/$CR$9-tblData[[#This Row],[NSW Cases LogEst]])^2,"")</f>
        <v>19.732784580436491</v>
      </c>
      <c r="CS35" s="11"/>
      <c r="CT35" s="11"/>
      <c r="CU35" s="26"/>
      <c r="CW35" s="25"/>
      <c r="CX35"/>
      <c r="DK35" s="25"/>
      <c r="DL35" s="25"/>
      <c r="DM35" s="25"/>
      <c r="DR35"/>
      <c r="DS35"/>
      <c r="DT35"/>
      <c r="DU35"/>
      <c r="EB35" s="25"/>
      <c r="EC35" s="25"/>
      <c r="ED35" s="25"/>
      <c r="EE35" s="25"/>
      <c r="EK35"/>
      <c r="EL35"/>
      <c r="EM35"/>
      <c r="EN35"/>
      <c r="EO35"/>
      <c r="EP35" s="25"/>
      <c r="ER35" s="25"/>
      <c r="ES35" s="25"/>
      <c r="ET35"/>
      <c r="EU35" s="25" t="s">
        <v>48</v>
      </c>
      <c r="EV35" s="69">
        <v>43921.876192129632</v>
      </c>
      <c r="EW35" s="26">
        <v>43855</v>
      </c>
      <c r="EX35" s="26">
        <v>43855</v>
      </c>
      <c r="EY35" s="25">
        <v>0</v>
      </c>
      <c r="EZ35" s="25">
        <v>0.25281043094063621</v>
      </c>
      <c r="FA35" s="83">
        <v>4.0052257007462515E-5</v>
      </c>
      <c r="FB35" s="21">
        <v>1E-3</v>
      </c>
      <c r="FC35" s="82">
        <v>6312.0145986662556</v>
      </c>
      <c r="FD35" s="82">
        <v>34.359457058532293</v>
      </c>
      <c r="FE35" s="84">
        <v>252.81039088837917</v>
      </c>
      <c r="FF35" s="25">
        <v>4.0052257007462518E-2</v>
      </c>
      <c r="FG35" s="26">
        <v>43921</v>
      </c>
      <c r="FH35" s="25" t="s">
        <v>2066</v>
      </c>
      <c r="FI35" s="84">
        <v>6312.0145986662556</v>
      </c>
      <c r="FJ35" s="84">
        <v>4561</v>
      </c>
      <c r="FK35" s="25" t="s">
        <v>2067</v>
      </c>
      <c r="FL35" s="26">
        <v>43921</v>
      </c>
      <c r="FM35" s="25">
        <v>67</v>
      </c>
      <c r="FN35" s="25" t="s">
        <v>2068</v>
      </c>
      <c r="FO35" s="72"/>
      <c r="FP35" s="25" t="s">
        <v>2069</v>
      </c>
      <c r="FR35" s="25" t="s">
        <v>2070</v>
      </c>
      <c r="FS35" s="19">
        <v>1798.2179466961047</v>
      </c>
      <c r="FT35" s="72"/>
      <c r="FU35" s="25"/>
      <c r="FV35" s="25"/>
      <c r="FW35" s="25"/>
      <c r="FX35" s="25" t="s">
        <v>2065</v>
      </c>
      <c r="FY35" s="25"/>
      <c r="FZ35" s="25"/>
      <c r="GC35" s="25"/>
    </row>
    <row r="36" spans="2:185" ht="15" customHeight="1" x14ac:dyDescent="0.25">
      <c r="B36" s="1">
        <v>43877</v>
      </c>
      <c r="C36">
        <v>0</v>
      </c>
      <c r="D36" s="25">
        <v>0</v>
      </c>
      <c r="E36">
        <v>4</v>
      </c>
      <c r="F36">
        <v>0</v>
      </c>
      <c r="G36">
        <v>5</v>
      </c>
      <c r="H36">
        <v>2</v>
      </c>
      <c r="I36">
        <v>0</v>
      </c>
      <c r="J36">
        <v>4</v>
      </c>
      <c r="K36">
        <v>0</v>
      </c>
      <c r="L36" s="12">
        <f>IF(ISNUMBER(tblData[[#This Row],[NSW]]),tblData[[#This Row],[New South Wales]]/$L$9,"")</f>
        <v>4.9504950495049505</v>
      </c>
      <c r="M36" s="25">
        <v>3</v>
      </c>
      <c r="N36" s="44">
        <f>IF(ISNUMBER(tblData[Italy]),tblData[Italy]/$N$9,"")</f>
        <v>0.49599074150615857</v>
      </c>
      <c r="O36">
        <v>13</v>
      </c>
      <c r="P36" s="106">
        <f>IF(ISNUMBER(tblData[US]),tblData[US]/$P$9,"")</f>
        <v>0.39486343900067283</v>
      </c>
      <c r="Q36">
        <v>29</v>
      </c>
      <c r="R36" s="19">
        <f>IF(ISNUMBER(tblData[SKorea]),tblData[SKorea]/$R$9,"")</f>
        <v>5.6420233463035023</v>
      </c>
      <c r="S36">
        <v>9</v>
      </c>
      <c r="T36" s="12">
        <f>IF(ISNUMBER(tblData[UK]),tblData[UK]/$T$9,"")</f>
        <v>1.3546056592414208</v>
      </c>
      <c r="U36">
        <v>70513</v>
      </c>
      <c r="V36" s="20">
        <f>IF(ISNUMBER(tblData[China]),tblData[China]/$V$9,"")</f>
        <v>489.90366987448419</v>
      </c>
      <c r="W36">
        <v>75</v>
      </c>
      <c r="X36" s="106">
        <f>IF(ISNUMBER(tblData[Singapore]),tblData[Singapore]/$X$9,"")</f>
        <v>128.2051282051282</v>
      </c>
      <c r="Y36"/>
      <c r="Z36" s="20" t="str">
        <f>IF(AND(LEN(tblData[Generic])&gt;0,ISNUMBER(tblData[Generic])),tblData[Generic]/$Z$9,"")</f>
        <v/>
      </c>
      <c r="AA36" s="25">
        <f ca="1">IF(tblData[[#This Row],[Date]]&lt;StartDt2Italy,"",tblData[[#This Row],[Date]]-ItalyStart)</f>
        <v>17</v>
      </c>
      <c r="AB36" s="25">
        <f ca="1">IF(tblData[[#This Row],[Date]]&lt;=StartDt2US,"",tblData[[#This Row],[Date]]-USStart)</f>
        <v>25</v>
      </c>
      <c r="AC36" s="25">
        <f ca="1">IF(tblData[[#This Row],[Date]]&lt;StartDt2China,"",tblData[[#This Row],[Date]]-ChinaStart)</f>
        <v>25</v>
      </c>
      <c r="AD36" s="25">
        <f>IF(tblData[[#This Row],[Date]]&lt;=SKoreaStart,"",tblData[[#This Row],[Date]]-SKoreaStart)</f>
        <v>25</v>
      </c>
      <c r="AE36" s="25">
        <f ca="1">IF(tblData[[#This Row],[Date]]&lt;=StartDt2UK,"",tblData[[#This Row],[Date]]-UKStart)</f>
        <v>17</v>
      </c>
      <c r="AF36" s="25">
        <f>IF(tblData[[#This Row],[Date]]&lt;StartDt2Singapore,"",tblData[[#This Row],[Date]]-SingaporeStart)</f>
        <v>24</v>
      </c>
      <c r="AG36" s="25">
        <f ca="1">IF(tblData[[#This Row],[Date]]&lt;StartDt2Generic,"",tblData[[#This Row],[Date]]-GenericStart)</f>
        <v>25</v>
      </c>
      <c r="AH36">
        <f ca="1">IF(tblData[Date]&gt;StartDt2Au,tblData[Date]-AuStart,"")</f>
        <v>22</v>
      </c>
      <c r="AI36" s="25">
        <f>IF(tblData[New South Wales]&gt;=0,SUM(tblData[[#This Row],[Australian Capital Territory]:[Western Australia]]),"")</f>
        <v>15</v>
      </c>
      <c r="AJ36" s="12">
        <f>IF(ISNUMBER(tblData[Au]),tblData[Au]/$AE$9,"")</f>
        <v>5.9138937076170954</v>
      </c>
      <c r="AK36" s="19">
        <f ca="1">IF(ISNUMBER(tblData[[#This Row],[Day'# Aust]]),betaAu/(deltaAu+betaPodeltaAu*EXP(-betaAu*tblData[[#This Row],[Day'# Aust]])),"")</f>
        <v>0.26184338723116735</v>
      </c>
      <c r="AL36" s="62">
        <f ca="1">IF(ISNUMBER(tblData[Day'# Aust]),tblData[Au LogiP(t)]/$AJ$9,"")</f>
        <v>0.10323426400850313</v>
      </c>
      <c r="AM36" s="11">
        <f ca="1">IF(AND(tblData[Date]&gt;StartDt2Au,ISNUMBER(tblData[NSW])),(tblData[[#This Row],[Au LogiP(t)]]-tblData[[#This Row],[Au]])^2,"")</f>
        <v>217.21326034250168</v>
      </c>
      <c r="AN36" s="11">
        <f ca="1">IF(AND(ISNUMBER(tblData[Au]),tblData[Date]&gt;StartDt2Au),(tblData[Au]-AVERAGE(tblData[Au]))^2,"")</f>
        <v>183488.66503328402</v>
      </c>
      <c r="AO36" s="11">
        <f>tblData[[#This Row],[Date]]-Au100dt</f>
        <v>-27</v>
      </c>
      <c r="AP36">
        <f ca="1">IF(tblData[Date]&gt;StartDt2NSW,tblData[Date]-StartDt2NSW,"")</f>
        <v>22</v>
      </c>
      <c r="AQ36" s="25">
        <f>IF(tblData[[#This Row],[New South Wales]]&gt;0,tblData[[#This Row],[New South Wales]],"")</f>
        <v>4</v>
      </c>
      <c r="AR36" s="44">
        <f ca="1">IF(tblData[Date]&gt;StartDt2NSW,betaNSW/(deltaNSW+betaPodeltaNSW*EXP(-betaNSW*tblData[[#This Row],[Day '# NSW]])),"")</f>
        <v>0.18708053532119728</v>
      </c>
      <c r="AS36" s="12">
        <f ca="1">IF(AND(ISNUMBER(tblData[NSW]),tblData[Date]&gt;StartDt2NSW),(tblData[[#This Row],[NSW LogiP(t)]]-tblData[[#This Row],[NSW]])^2,"")</f>
        <v>14.53835484412649</v>
      </c>
      <c r="AT36" s="12">
        <f ca="1">IF(AND(tblData[Date]&gt;StartDt2NSW,ISNUMBER(tblData[Day'# Aust])),tblData[NSW LogiP(t)]/$AR$9,"")</f>
        <v>0.23153531599158078</v>
      </c>
      <c r="AU36" s="11">
        <f>tblData[[#This Row],[Date]]-NSW100dt+1</f>
        <v>-23</v>
      </c>
      <c r="AV36" s="11">
        <f ca="1">IF(AND(ISNUMBER(tblData[NSW]),tblData[Date]&gt;StartDt2NSW),(tblData[NSW]-AVERAGE(tblData[NSW]))^2,"")</f>
        <v>83990.760134425553</v>
      </c>
      <c r="AW36" s="39">
        <f ca="1">IF(AND(tblData[Date]&gt;StartDt2Italy,ISNUMBER(tblData[Days'# Italy])),betaItaly/(deltaItaly+betaPodeltaItaly*EXP(-betaItaly*tblData[Days'# Italy])),"")</f>
        <v>34.767547678311338</v>
      </c>
      <c r="AX36" s="11">
        <f ca="1">IF(AND(tblData[Date]&gt;StartDt2Italy,ISNUMBER(tblData[Italy])),(tblData[[#This Row],[Italy LogiP(t)]]-tblData[[#This Row],[Italy]])^2,"")</f>
        <v>1009.1770854937841</v>
      </c>
      <c r="AY36" s="39">
        <f ca="1">IF(AND(tblData[Date]&gt;StartDt2Italy,ISNUMBER(tblData[Days'# Italy])),tblData[[#This Row],[Italy LogiP(t)]]/$AW$9,"")</f>
        <v>5.748127251105454</v>
      </c>
      <c r="AZ36" s="39">
        <f ca="1">IF(AND(ISNUMBER(tblData[Italy]),tblData[Date]&gt;StartDt2Italy),(tblData[Italy]-AVERAGE(tblData[Italy]))^2,"")</f>
        <v>439983253.38271606</v>
      </c>
      <c r="BA36" s="11">
        <f>tblData[[#This Row],[Date]]-Italy100dt+1</f>
        <v>-10</v>
      </c>
      <c r="BB36" s="11">
        <f ca="1">IF(AND(tblData[Date]&gt;StartDt2US,ISNUMBER(tblData[[#This Row],[Days'# US]])),betaUS/(deltaUS+betaPodeltaUS*EXP(-betaUS*tblData[Days'# US])),"")</f>
        <v>1.2049900516665504</v>
      </c>
      <c r="BC36" s="11">
        <f ca="1">IF(AND(tblData[Date]&gt;StartDt2US,ISNUMBER(tblData[US])),(tblData[[#This Row],[US LogiP(t)]]-tblData[US])^2,"")</f>
        <v>139.12225968128504</v>
      </c>
      <c r="BD36" s="137">
        <f ca="1">IF(AND(tblData[Date]&gt;=StartDt2US,ISNUMBER(tblData[[#This Row],[Days'# US]])),tblData[[#This Row],[US LogiP(t)]]/$BB$9,"")</f>
        <v>3.6600501212511731E-2</v>
      </c>
      <c r="BE36" s="137">
        <f ca="1">IF(AND(ISNUMBER(tblData[US]),tblData[Date]&gt;StartDt2US),(tblData[US]-AVERAGE(tblData[US]))^2,"")</f>
        <v>334950315.39158893</v>
      </c>
      <c r="BF36" s="11">
        <f>tblData[[#This Row],[Date]]-US100dt+1</f>
        <v>-26</v>
      </c>
      <c r="BG36" s="20" t="str">
        <f ca="1">IF(tblData[Date]&gt;StartDt2SKorea,betaSKorea/(deltaSKorea+betaPodeltaSKorea*EXP(-betaSKorea*(tblData[Date]-StartDt2SKorea))),"")</f>
        <v/>
      </c>
      <c r="BH36" s="20" t="str">
        <f ca="1">IF(AND(tblData[Date]&gt;StartDt2SKorea,ISNUMBER(tblData[SKorea])),(tblData[[#This Row],[SKorea LogiP(t)]]-tblData[[#This Row],[SKorea]])^2,"")</f>
        <v/>
      </c>
      <c r="BI36" s="20" t="str">
        <f ca="1">IF(tblData[Date]&gt;StartDt2SKorea,tblData[[#This Row],[SKorea LogiP(t)]]/$BG$9,"")</f>
        <v/>
      </c>
      <c r="BJ36" s="137" t="str">
        <f ca="1">IF(AND(ISNUMBER(tblData[SKorea]),tblData[Date]&gt;StartDt2SKorea),(tblData[SKorea]-AVERAGE(tblData[SKorea]))^2,"")</f>
        <v/>
      </c>
      <c r="BK36" s="11">
        <f>tblData[[#This Row],[Date]]-SKorea100dt+1</f>
        <v>-5</v>
      </c>
      <c r="BL36" s="137">
        <f ca="1">IF(AND(tblData[Date]&gt;StartDt2UK,ISNUMBER(tblData[Days'# UK])),betaUK/(deltaUK+betaPodeltaUK*EXP(-betaUK*tblData[Days'# UK])),"")</f>
        <v>3.3257245408953535</v>
      </c>
      <c r="BM36" s="20">
        <f ca="1">IF(AND(tblData[Date]&gt;StartDt2UK,ISNUMBER(tblData[UK])),(tblData[[#This Row],[UK LogiP(t)]]-tblData[[#This Row],[UK]])^2,"")</f>
        <v>32.197401985797249</v>
      </c>
      <c r="BN36" s="20">
        <f ca="1">IF(ISNUMBER(tblData[Days'# UK]),tblData[[#This Row],[UK LogiP(t)]]/$BL$9,"")</f>
        <v>0.50056058713054685</v>
      </c>
      <c r="BO36" s="137">
        <f ca="1">IF(AND(ISNUMBER(tblData[UK]),tblData[Date]&gt;StartDt2UK),(tblData[UK]-AVERAGE(tblData[UK]))^2,"")</f>
        <v>9584331.4489795901</v>
      </c>
      <c r="BP36" s="11">
        <f>tblData[[#This Row],[Date]]-UK100dt</f>
        <v>-25</v>
      </c>
      <c r="BQ36" s="11">
        <f ca="1">IF(ISNUMBER(tblData[Days'# China]),betaChina/(deltaChina+betaPodeltaChina*EXP(-betaChina*tblData[Days'# China])),"")</f>
        <v>67479.716198052367</v>
      </c>
      <c r="BR36" s="11">
        <f ca="1">IF(ISNUMBER(tblData[China]),(tblData[[#This Row],[China LogiP(t)]]-tblData[[#This Row],[China]])^2,"")</f>
        <v>9200810.6231578868</v>
      </c>
      <c r="BS36" s="11">
        <f ca="1">tblData[[#This Row],[China LogiP(t)]]/$BQ$9</f>
        <v>468.82930250470878</v>
      </c>
      <c r="BT36" s="137">
        <f ca="1">IF(AND(ISNUMBER(tblData[China]),tblData[Date]&gt;StartDt2China),(tblData[China]-AVERAGE(tblData[China]))^2,"")</f>
        <v>107828333.5229121</v>
      </c>
      <c r="BU36" s="11">
        <f>tblData[[#This Row],[Date]]-China100dt</f>
        <v>25</v>
      </c>
      <c r="BV36" s="106">
        <f>IF(ISNUMBER(tblData[Day'# Singapore]),betaSingapore/(deltaSingapore+betaPodeltaSingapore*EXP(-betaSingapore*tblData[Day'# Singapore])),"")</f>
        <v>28.997508919701215</v>
      </c>
      <c r="BW36" s="11">
        <f>IF(AND(ISNUMBER(tblData[Singapore]),tblData[Date]&gt;=StartDt2Singapore),(tblData[[#This Row],[Singapore LogiP(t)]]-tblData[[#This Row],[Singapore]])^2,"")</f>
        <v>2116.2291855929689</v>
      </c>
      <c r="BX36" s="106">
        <f>IF(ISNUMBER(tblData[Day'# Singapore]),tblData[Singapore LogiP(t)]/$BV$9,"")</f>
        <v>49.568391315728576</v>
      </c>
      <c r="BY36" s="106">
        <f>IF(AND(ISNUMBER(tblData[Singapore]),tblData[Date]&gt;StartDt2Singapore),(tblData[Singapore]-AVERAGE(tblData[Singapore]))^2,"")</f>
        <v>15358.540170601073</v>
      </c>
      <c r="BZ36" s="11">
        <f>tblData[[#This Row],[Date]]-Singapore100dt+1</f>
        <v>6</v>
      </c>
      <c r="CA36" s="11">
        <f ca="1">IF(AND(tblData[Date]&gt;StartDt2Generic,ISNUMBER(tblData[Day'# Generic])),betaGeneric/(deltaGeneric+betaPodeltaGeneric*EXP(-betaGeneric*tblData[Day'# Generic])),"")</f>
        <v>0.13726349401319915</v>
      </c>
      <c r="CB36" s="106" t="str">
        <f ca="1">IF(AND(ISNUMBER(tblData[Generic]),tblData[Date]&gt;StartDt2Generic),(tblData[Generic LogiP(t)]-tblData[[#This Row],[Generic]])^2,"")</f>
        <v/>
      </c>
      <c r="CC36" s="11" t="str">
        <f ca="1">IF(AND(ISNUMBER(tblData[Generic]),tblData[Date]&gt;StartDt2Generic),tblData[Generic LogiP(t)]/$CA$9,"")</f>
        <v/>
      </c>
      <c r="CD36" s="106" t="str">
        <f ca="1">IF(AND(ISNUMBER(tblData[Generic]),tblData[Date]&gt;StartDt2Generic),(tblData[Generic]-AVERAGE(tblData[Generic]))^2,"")</f>
        <v/>
      </c>
      <c r="CE36" s="11">
        <f>tblData[[#This Row],[Date]]-Generic100dt+1</f>
        <v>-33</v>
      </c>
      <c r="CG36" s="11"/>
      <c r="CH36" s="11" t="str">
        <f>IF(ISNUMBER(tblData[[#This Row],[Tests]]),tblData[[#This Row],[Tests]]-CH35,"")</f>
        <v/>
      </c>
      <c r="CI36" s="11" t="str">
        <f>IF(ISNUMBER(tblData[[#This Row],[NSW Under Investigation'']]),tblData[[#This Row],[NSW Under Investigation'']]-CG35,"")</f>
        <v/>
      </c>
      <c r="CJ36" s="11"/>
      <c r="CK36" s="11" t="str">
        <f>IF(AND(tblData[[#This Row],[NSW Test Day Number]]&gt;0,ISNUMBER(tblData[[#This Row],[NSW Test Day Number]])),betaTests/(deltaTests+betaPodeltaTests*EXP(-betaTests*tblData[[#This Row],[NSW Test Day Number]])),"")</f>
        <v/>
      </c>
      <c r="CL36" s="11" t="str">
        <f>IF(tblData[Tests]&gt;0,(tblData[[#This Row],[Tests]]-tblData[[#This Row],[NSW Test Logi]])^2,"")</f>
        <v/>
      </c>
      <c r="CM36" s="106" t="str">
        <f>IF(AND(ISNUMBER(tblData[Tests]),tblData[Date]&gt;StartDt2Tests),(tblData[Tests]-AVERAGE(tblData[Tests]))^2,"")</f>
        <v/>
      </c>
      <c r="CN36" s="11" t="str">
        <f>IF(ISNUMBER(tblData[Tests]),tblData[Tests]/$CN$9/100,"")</f>
        <v/>
      </c>
      <c r="CO36" s="11" t="str">
        <f>IF(AND(tblData[[#This Row],[NSW Test Day Number]]&gt;0,ISNUMBER(tblData[[#This Row],[NSW Test Day Number]])),TestsLogestB*TestsLogestM^tblData[[#This Row],[NSW Test Day Number]],"")</f>
        <v/>
      </c>
      <c r="CP36" s="11" t="str">
        <f>IF(AND(tblData[[#This Row],[NSW Test Day Number]]&gt;0,ISNUMBER(tblData[Tests])),(tblData[Tests]-tblData[[#This Row],[NSW Test Per Capita]])^2,"")</f>
        <v/>
      </c>
      <c r="CQ36" s="39">
        <f ca="1">IF(AND(tblData[Day '# NSW]&gt;0,ISNUMBER(tblData[[#This Row],[Day '# NSW]])),NSWLogestB*NSWLogestM^tblData[[#This Row],[Day '# NSW]]/$CR$9,"")</f>
        <v>10.453450818991426</v>
      </c>
      <c r="CR36" s="39">
        <f ca="1">IF(AND(ISNUMBER(tblData[NSW]),tblData[Date]&gt;StartDt2NSW),(tblData[NSW]/$CR$9-tblData[[#This Row],[NSW Cases LogEst]])^2,"")</f>
        <v>30.282522200924486</v>
      </c>
      <c r="CS36" s="11"/>
      <c r="CT36" s="11"/>
      <c r="CU36" s="26"/>
      <c r="CW36" s="25"/>
      <c r="CX36"/>
      <c r="DK36" s="25"/>
      <c r="DL36" s="25"/>
      <c r="DM36" s="25"/>
      <c r="DR36"/>
      <c r="DS36"/>
      <c r="DT36"/>
      <c r="DU36"/>
      <c r="EB36" s="25"/>
      <c r="EC36" s="25"/>
      <c r="ED36" s="25"/>
      <c r="EE36" s="25"/>
      <c r="EK36"/>
      <c r="EL36"/>
      <c r="EM36"/>
      <c r="EN36"/>
      <c r="EO36"/>
      <c r="EP36" s="25"/>
      <c r="ER36" s="25"/>
      <c r="ES36" s="25"/>
      <c r="ET36"/>
      <c r="EU36" s="25" t="s">
        <v>48</v>
      </c>
      <c r="EV36" s="69">
        <v>43922.849270833336</v>
      </c>
      <c r="EW36" s="26">
        <v>43855</v>
      </c>
      <c r="EX36" s="26">
        <v>43855</v>
      </c>
      <c r="EY36" s="82">
        <v>0</v>
      </c>
      <c r="EZ36" s="82">
        <v>0.25305494997021388</v>
      </c>
      <c r="FA36" s="84">
        <v>4.0881004750798046E-5</v>
      </c>
      <c r="FB36" s="26">
        <v>1E-3</v>
      </c>
      <c r="FC36" s="81">
        <v>6190.0374394607788</v>
      </c>
      <c r="FD36" s="81">
        <v>34.836711976012829</v>
      </c>
      <c r="FE36" s="84">
        <v>253.0549090892091</v>
      </c>
      <c r="FF36" s="84">
        <v>4.0881004750798047E-2</v>
      </c>
      <c r="FG36" s="26">
        <v>44156</v>
      </c>
      <c r="FH36" s="26" t="s">
        <v>2086</v>
      </c>
      <c r="FI36" s="83">
        <v>6190.0374394607788</v>
      </c>
      <c r="FJ36" s="83">
        <v>4864</v>
      </c>
      <c r="FK36" s="72" t="s">
        <v>2087</v>
      </c>
      <c r="FL36" s="26">
        <v>44156</v>
      </c>
      <c r="FM36" s="25">
        <v>104</v>
      </c>
      <c r="FN36" s="25" t="s">
        <v>2088</v>
      </c>
      <c r="FO36" s="72"/>
      <c r="FP36" s="72" t="s">
        <v>2089</v>
      </c>
      <c r="FR36" s="25" t="s">
        <v>2090</v>
      </c>
      <c r="FS36" s="19">
        <v>1917.67859958997</v>
      </c>
      <c r="FT36" s="72"/>
      <c r="FU36" s="25"/>
      <c r="FV36" s="25"/>
      <c r="FX36" s="25"/>
      <c r="FY36" s="25"/>
      <c r="FZ36" s="25"/>
      <c r="GC36" s="25"/>
    </row>
    <row r="37" spans="2:185" ht="15" customHeight="1" x14ac:dyDescent="0.3">
      <c r="B37" s="1">
        <v>43878</v>
      </c>
      <c r="C37">
        <v>0</v>
      </c>
      <c r="D37" s="25">
        <v>0</v>
      </c>
      <c r="E37">
        <v>4</v>
      </c>
      <c r="F37">
        <v>0</v>
      </c>
      <c r="G37">
        <v>5</v>
      </c>
      <c r="H37">
        <v>2</v>
      </c>
      <c r="I37">
        <v>0</v>
      </c>
      <c r="J37">
        <v>4</v>
      </c>
      <c r="K37">
        <v>0</v>
      </c>
      <c r="L37" s="12">
        <f>IF(ISNUMBER(tblData[[#This Row],[NSW]]),tblData[[#This Row],[New South Wales]]/$L$9,"")</f>
        <v>4.9504950495049505</v>
      </c>
      <c r="M37" s="25">
        <v>3</v>
      </c>
      <c r="N37" s="44">
        <f>IF(ISNUMBER(tblData[Italy]),tblData[Italy]/$N$9,"")</f>
        <v>0.49599074150615857</v>
      </c>
      <c r="O37">
        <v>13</v>
      </c>
      <c r="P37" s="106">
        <f>IF(ISNUMBER(tblData[US]),tblData[US]/$P$9,"")</f>
        <v>0.39486343900067283</v>
      </c>
      <c r="Q37">
        <v>30</v>
      </c>
      <c r="R37" s="19">
        <f>IF(ISNUMBER(tblData[SKorea]),tblData[SKorea]/$R$9,"")</f>
        <v>5.8365758754863819</v>
      </c>
      <c r="S37">
        <v>9</v>
      </c>
      <c r="T37" s="12">
        <f>IF(ISNUMBER(tblData[UK]),tblData[UK]/$T$9,"")</f>
        <v>1.3546056592414208</v>
      </c>
      <c r="U37">
        <v>72434</v>
      </c>
      <c r="V37" s="20">
        <f>IF(ISNUMBER(tblData[China]),tblData[China]/$V$9,"")</f>
        <v>503.25021518994208</v>
      </c>
      <c r="W37">
        <v>77</v>
      </c>
      <c r="X37" s="106">
        <f>IF(ISNUMBER(tblData[Singapore]),tblData[Singapore]/$X$9,"")</f>
        <v>131.62393162393164</v>
      </c>
      <c r="Y37"/>
      <c r="Z37" s="20" t="str">
        <f>IF(AND(LEN(tblData[Generic])&gt;0,ISNUMBER(tblData[Generic])),tblData[Generic]/$Z$9,"")</f>
        <v/>
      </c>
      <c r="AA37" s="25">
        <f ca="1">IF(tblData[[#This Row],[Date]]&lt;StartDt2Italy,"",tblData[[#This Row],[Date]]-ItalyStart)</f>
        <v>18</v>
      </c>
      <c r="AB37" s="25">
        <f ca="1">IF(tblData[[#This Row],[Date]]&lt;=StartDt2US,"",tblData[[#This Row],[Date]]-USStart)</f>
        <v>26</v>
      </c>
      <c r="AC37" s="25">
        <f ca="1">IF(tblData[[#This Row],[Date]]&lt;StartDt2China,"",tblData[[#This Row],[Date]]-ChinaStart)</f>
        <v>26</v>
      </c>
      <c r="AD37" s="25">
        <f>IF(tblData[[#This Row],[Date]]&lt;=SKoreaStart,"",tblData[[#This Row],[Date]]-SKoreaStart)</f>
        <v>26</v>
      </c>
      <c r="AE37" s="25">
        <f ca="1">IF(tblData[[#This Row],[Date]]&lt;=StartDt2UK,"",tblData[[#This Row],[Date]]-UKStart)</f>
        <v>18</v>
      </c>
      <c r="AF37" s="25">
        <f>IF(tblData[[#This Row],[Date]]&lt;StartDt2Singapore,"",tblData[[#This Row],[Date]]-SingaporeStart)</f>
        <v>25</v>
      </c>
      <c r="AG37" s="25">
        <f ca="1">IF(tblData[[#This Row],[Date]]&lt;StartDt2Generic,"",tblData[[#This Row],[Date]]-GenericStart)</f>
        <v>26</v>
      </c>
      <c r="AH37">
        <f ca="1">IF(tblData[Date]&gt;StartDt2Au,tblData[Date]-AuStart,"")</f>
        <v>23</v>
      </c>
      <c r="AI37" s="25">
        <f>IF(tblData[New South Wales]&gt;=0,SUM(tblData[[#This Row],[Australian Capital Territory]:[Western Australia]]),"")</f>
        <v>15</v>
      </c>
      <c r="AJ37" s="12">
        <f>IF(ISNUMBER(tblData[Au]),tblData[Au]/$AE$9,"")</f>
        <v>5.9138937076170954</v>
      </c>
      <c r="AK37" s="19">
        <f ca="1">IF(ISNUMBER(tblData[[#This Row],[Day'# Aust]]),betaAu/(deltaAu+betaPodeltaAu*EXP(-betaAu*tblData[[#This Row],[Day'# Aust]])),"")</f>
        <v>0.33724702440954152</v>
      </c>
      <c r="AL37" s="62">
        <f ca="1">IF(ISNUMBER(tblData[Day'# Aust]),tblData[Au LogiP(t)]/$AJ$9,"")</f>
        <v>0.13296287037121177</v>
      </c>
      <c r="AM37" s="11">
        <f ca="1">IF(AND(tblData[Date]&gt;StartDt2Au,ISNUMBER(tblData[NSW])),(tblData[[#This Row],[Au LogiP(t)]]-tblData[[#This Row],[Au]])^2,"")</f>
        <v>214.99632482318688</v>
      </c>
      <c r="AN37" s="11">
        <f ca="1">IF(AND(ISNUMBER(tblData[Au]),tblData[Date]&gt;StartDt2Au),(tblData[Au]-AVERAGE(tblData[Au]))^2,"")</f>
        <v>183488.66503328402</v>
      </c>
      <c r="AO37" s="11">
        <f>tblData[[#This Row],[Date]]-Au100dt</f>
        <v>-26</v>
      </c>
      <c r="AP37">
        <f ca="1">IF(tblData[Date]&gt;StartDt2NSW,tblData[Date]-StartDt2NSW,"")</f>
        <v>23</v>
      </c>
      <c r="AQ37" s="25">
        <f>IF(tblData[[#This Row],[New South Wales]]&gt;0,tblData[[#This Row],[New South Wales]],"")</f>
        <v>4</v>
      </c>
      <c r="AR37" s="44">
        <f ca="1">IF(tblData[Date]&gt;StartDt2NSW,betaNSW/(deltaNSW+betaPodeltaNSW*EXP(-betaNSW*tblData[[#This Row],[Day '# NSW]])),"")</f>
        <v>0.237299370414017</v>
      </c>
      <c r="AS37" s="12">
        <f ca="1">IF(AND(ISNUMBER(tblData[NSW]),tblData[Date]&gt;StartDt2NSW),(tblData[[#This Row],[NSW LogiP(t)]]-tblData[[#This Row],[NSW]])^2,"")</f>
        <v>14.157916027886753</v>
      </c>
      <c r="AT37" s="12">
        <f ca="1">IF(AND(tblData[Date]&gt;StartDt2NSW,ISNUMBER(tblData[Day'# Aust])),tblData[NSW LogiP(t)]/$AR$9,"")</f>
        <v>0.29368733962130816</v>
      </c>
      <c r="AU37" s="11">
        <f>tblData[[#This Row],[Date]]-NSW100dt+1</f>
        <v>-22</v>
      </c>
      <c r="AV37" s="11">
        <f ca="1">IF(AND(ISNUMBER(tblData[NSW]),tblData[Date]&gt;StartDt2NSW),(tblData[NSW]-AVERAGE(tblData[NSW]))^2,"")</f>
        <v>83990.760134425553</v>
      </c>
      <c r="AW37" s="39">
        <f ca="1">IF(AND(tblData[Date]&gt;StartDt2Italy,ISNUMBER(tblData[Days'# Italy])),betaItaly/(deltaItaly+betaPodeltaItaly*EXP(-betaItaly*tblData[Days'# Italy])),"")</f>
        <v>44.93489959827432</v>
      </c>
      <c r="AX37" s="11">
        <f ca="1">IF(AND(tblData[Date]&gt;StartDt2Italy,ISNUMBER(tblData[Italy])),(tblData[[#This Row],[Italy LogiP(t)]]-tblData[[#This Row],[Italy]])^2,"")</f>
        <v>1758.5358043173478</v>
      </c>
      <c r="AY37" s="39">
        <f ca="1">IF(AND(tblData[Date]&gt;StartDt2Italy,ISNUMBER(tblData[Days'# Italy])),tblData[[#This Row],[Italy LogiP(t)]]/$AW$9,"")</f>
        <v>7.4290980570842891</v>
      </c>
      <c r="AZ37" s="39">
        <f ca="1">IF(AND(ISNUMBER(tblData[Italy]),tblData[Date]&gt;StartDt2Italy),(tblData[Italy]-AVERAGE(tblData[Italy]))^2,"")</f>
        <v>439983253.38271606</v>
      </c>
      <c r="BA37" s="11">
        <f>tblData[[#This Row],[Date]]-Italy100dt+1</f>
        <v>-9</v>
      </c>
      <c r="BB37" s="11">
        <f ca="1">IF(AND(tblData[Date]&gt;StartDt2US,ISNUMBER(tblData[[#This Row],[Days'# US]])),betaUS/(deltaUS+betaPodeltaUS*EXP(-betaUS*tblData[Days'# US])),"")</f>
        <v>1.6003779598227257</v>
      </c>
      <c r="BC37" s="11">
        <f ca="1">IF(AND(tblData[Date]&gt;StartDt2US,ISNUMBER(tblData[US])),(tblData[[#This Row],[US LogiP(t)]]-tblData[US])^2,"")</f>
        <v>129.95138265889548</v>
      </c>
      <c r="BD37" s="137">
        <f ca="1">IF(AND(tblData[Date]&gt;=StartDt2US,ISNUMBER(tblData[[#This Row],[Days'# US]])),tblData[[#This Row],[US LogiP(t)]]/$BB$9,"")</f>
        <v>4.8610057301267856E-2</v>
      </c>
      <c r="BE37" s="137">
        <f ca="1">IF(AND(ISNUMBER(tblData[US]),tblData[Date]&gt;StartDt2US),(tblData[US]-AVERAGE(tblData[US]))^2,"")</f>
        <v>334950315.39158893</v>
      </c>
      <c r="BF37" s="11">
        <f>tblData[[#This Row],[Date]]-US100dt+1</f>
        <v>-25</v>
      </c>
      <c r="BG37" s="20" t="str">
        <f ca="1">IF(tblData[Date]&gt;StartDt2SKorea,betaSKorea/(deltaSKorea+betaPodeltaSKorea*EXP(-betaSKorea*(tblData[Date]-StartDt2SKorea))),"")</f>
        <v/>
      </c>
      <c r="BH37" s="20" t="str">
        <f ca="1">IF(AND(tblData[Date]&gt;StartDt2SKorea,ISNUMBER(tblData[SKorea])),(tblData[[#This Row],[SKorea LogiP(t)]]-tblData[[#This Row],[SKorea]])^2,"")</f>
        <v/>
      </c>
      <c r="BI37" s="20" t="str">
        <f ca="1">IF(tblData[Date]&gt;StartDt2SKorea,tblData[[#This Row],[SKorea LogiP(t)]]/$BG$9,"")</f>
        <v/>
      </c>
      <c r="BJ37" s="137" t="str">
        <f ca="1">IF(AND(ISNUMBER(tblData[SKorea]),tblData[Date]&gt;StartDt2SKorea),(tblData[SKorea]-AVERAGE(tblData[SKorea]))^2,"")</f>
        <v/>
      </c>
      <c r="BK37" s="11">
        <f>tblData[[#This Row],[Date]]-SKorea100dt+1</f>
        <v>-4</v>
      </c>
      <c r="BL37" s="137">
        <f ca="1">IF(AND(tblData[Date]&gt;StartDt2UK,ISNUMBER(tblData[Days'# UK])),betaUK/(deltaUK+betaPodeltaUK*EXP(-betaUK*tblData[Days'# UK])),"")</f>
        <v>4.1179387547720259</v>
      </c>
      <c r="BM37" s="20">
        <f ca="1">IF(AND(tblData[Date]&gt;StartDt2UK,ISNUMBER(tblData[UK])),(tblData[[#This Row],[UK LogiP(t)]]-tblData[[#This Row],[UK]])^2,"")</f>
        <v>23.834522002156916</v>
      </c>
      <c r="BN37" s="20">
        <f ca="1">IF(ISNUMBER(tblData[Days'# UK]),tblData[[#This Row],[UK LogiP(t)]]/$BL$9,"")</f>
        <v>0.61979812684708391</v>
      </c>
      <c r="BO37" s="137">
        <f ca="1">IF(AND(ISNUMBER(tblData[UK]),tblData[Date]&gt;StartDt2UK),(tblData[UK]-AVERAGE(tblData[UK]))^2,"")</f>
        <v>9584331.4489795901</v>
      </c>
      <c r="BP37" s="11">
        <f>tblData[[#This Row],[Date]]-UK100dt</f>
        <v>-24</v>
      </c>
      <c r="BQ37" s="11">
        <f ca="1">IF(ISNUMBER(tblData[Days'# China]),betaChina/(deltaChina+betaPodeltaChina*EXP(-betaChina*tblData[Days'# China])),"")</f>
        <v>69821.053197231202</v>
      </c>
      <c r="BR37" s="11">
        <f ca="1">IF(ISNUMBER(tblData[China]),(tblData[[#This Row],[China LogiP(t)]]-tblData[[#This Row],[China]])^2,"")</f>
        <v>6827490.9940996841</v>
      </c>
      <c r="BS37" s="11">
        <f ca="1">tblData[[#This Row],[China LogiP(t)]]/$BQ$9</f>
        <v>485.09622616858104</v>
      </c>
      <c r="BT37" s="137">
        <f ca="1">IF(AND(ISNUMBER(tblData[China]),tblData[Date]&gt;StartDt2China),(tblData[China]-AVERAGE(tblData[China]))^2,"")</f>
        <v>151414064.86094025</v>
      </c>
      <c r="BU37" s="11">
        <f>tblData[[#This Row],[Date]]-China100dt</f>
        <v>26</v>
      </c>
      <c r="BV37" s="106">
        <f>IF(ISNUMBER(tblData[Day'# Singapore]),betaSingapore/(deltaSingapore+betaPodeltaSingapore*EXP(-betaSingapore*tblData[Day'# Singapore])),"")</f>
        <v>31.399188051084479</v>
      </c>
      <c r="BW37" s="11">
        <f>IF(AND(ISNUMBER(tblData[Singapore]),tblData[Date]&gt;=StartDt2Singapore),(tblData[[#This Row],[Singapore LogiP(t)]]-tblData[[#This Row],[Singapore]])^2,"")</f>
        <v>2079.4340504003567</v>
      </c>
      <c r="BX37" s="106">
        <f>IF(ISNUMBER(tblData[Day'# Singapore]),tblData[Singapore LogiP(t)]/$BV$9,"")</f>
        <v>53.673825728349541</v>
      </c>
      <c r="BY37" s="106">
        <f>IF(AND(ISNUMBER(tblData[Singapore]),tblData[Date]&gt;StartDt2Singapore),(tblData[Singapore]-AVERAGE(tblData[Singapore]))^2,"")</f>
        <v>14866.821860741917</v>
      </c>
      <c r="BZ37" s="11">
        <f>tblData[[#This Row],[Date]]-Singapore100dt+1</f>
        <v>7</v>
      </c>
      <c r="CA37" s="11">
        <f ca="1">IF(AND(tblData[Date]&gt;StartDt2Generic,ISNUMBER(tblData[Day'# Generic])),betaGeneric/(deltaGeneric+betaPodeltaGeneric*EXP(-betaGeneric*tblData[Day'# Generic])),"")</f>
        <v>0.16712994196218625</v>
      </c>
      <c r="CB37" s="106" t="str">
        <f ca="1">IF(AND(ISNUMBER(tblData[Generic]),tblData[Date]&gt;StartDt2Generic),(tblData[Generic LogiP(t)]-tblData[[#This Row],[Generic]])^2,"")</f>
        <v/>
      </c>
      <c r="CC37" s="11" t="str">
        <f ca="1">IF(AND(ISNUMBER(tblData[Generic]),tblData[Date]&gt;StartDt2Generic),tblData[Generic LogiP(t)]/$CA$9,"")</f>
        <v/>
      </c>
      <c r="CD37" s="106" t="str">
        <f ca="1">IF(AND(ISNUMBER(tblData[Generic]),tblData[Date]&gt;StartDt2Generic),(tblData[Generic]-AVERAGE(tblData[Generic]))^2,"")</f>
        <v/>
      </c>
      <c r="CE37" s="11">
        <f>tblData[[#This Row],[Date]]-Generic100dt+1</f>
        <v>-32</v>
      </c>
      <c r="CG37" s="11"/>
      <c r="CH37" s="11" t="str">
        <f>IF(ISNUMBER(tblData[[#This Row],[Tests]]),tblData[[#This Row],[Tests]]-CH36,"")</f>
        <v/>
      </c>
      <c r="CI37" s="11" t="str">
        <f>IF(ISNUMBER(tblData[[#This Row],[NSW Under Investigation'']]),tblData[[#This Row],[NSW Under Investigation'']]-CG36,"")</f>
        <v/>
      </c>
      <c r="CJ37" s="11"/>
      <c r="CK37" s="11" t="str">
        <f>IF(AND(tblData[[#This Row],[NSW Test Day Number]]&gt;0,ISNUMBER(tblData[[#This Row],[NSW Test Day Number]])),betaTests/(deltaTests+betaPodeltaTests*EXP(-betaTests*tblData[[#This Row],[NSW Test Day Number]])),"")</f>
        <v/>
      </c>
      <c r="CL37" s="11" t="str">
        <f>IF(tblData[Tests]&gt;0,(tblData[[#This Row],[Tests]]-tblData[[#This Row],[NSW Test Logi]])^2,"")</f>
        <v/>
      </c>
      <c r="CM37" s="106" t="str">
        <f>IF(AND(ISNUMBER(tblData[Tests]),tblData[Date]&gt;StartDt2Tests),(tblData[Tests]-AVERAGE(tblData[Tests]))^2,"")</f>
        <v/>
      </c>
      <c r="CN37" s="11" t="str">
        <f>IF(ISNUMBER(tblData[Tests]),tblData[Tests]/$CN$9/100,"")</f>
        <v/>
      </c>
      <c r="CO37" s="11" t="str">
        <f>IF(AND(tblData[[#This Row],[NSW Test Day Number]]&gt;0,ISNUMBER(tblData[[#This Row],[NSW Test Day Number]])),TestsLogestB*TestsLogestM^tblData[[#This Row],[NSW Test Day Number]],"")</f>
        <v/>
      </c>
      <c r="CP37" s="11" t="str">
        <f>IF(AND(tblData[[#This Row],[NSW Test Day Number]]&gt;0,ISNUMBER(tblData[Tests])),(tblData[Tests]-tblData[[#This Row],[NSW Test Per Capita]])^2,"")</f>
        <v/>
      </c>
      <c r="CQ37" s="39">
        <f ca="1">IF(AND(tblData[Day '# NSW]&gt;0,ISNUMBER(tblData[[#This Row],[Day '# NSW]])),NSWLogestB*NSWLogestM^tblData[[#This Row],[Day '# NSW]]/$CR$9,"")</f>
        <v>11.634051778571067</v>
      </c>
      <c r="CR37" s="39">
        <f ca="1">IF(AND(ISNUMBER(tblData[NSW]),tblData[Date]&gt;StartDt2NSW),(tblData[NSW]/$CR$9-tblData[[#This Row],[NSW Cases LogEst]])^2,"")</f>
        <v>44.669930550644963</v>
      </c>
      <c r="CS37" s="11"/>
      <c r="CT37" s="11"/>
      <c r="CU37" s="26"/>
      <c r="CW37" s="25"/>
      <c r="CX37"/>
      <c r="DK37" s="25"/>
      <c r="DL37" s="25"/>
      <c r="DM37" s="25"/>
      <c r="DR37"/>
      <c r="DS37"/>
      <c r="DT37"/>
      <c r="DU37"/>
      <c r="EB37" s="25"/>
      <c r="EC37" s="25"/>
      <c r="ED37" s="25"/>
      <c r="EE37" s="25"/>
      <c r="EK37"/>
      <c r="EL37"/>
      <c r="EM37"/>
      <c r="EN37"/>
      <c r="EO37"/>
      <c r="EP37" s="25"/>
      <c r="ER37" s="25"/>
      <c r="ES37" s="25"/>
      <c r="ET37"/>
      <c r="EU37" s="25" t="s">
        <v>153</v>
      </c>
      <c r="EV37" s="69"/>
      <c r="EW37" s="26">
        <v>43855</v>
      </c>
      <c r="EY37" s="25">
        <v>1</v>
      </c>
      <c r="EZ37" s="22">
        <v>0.19302410780606497</v>
      </c>
      <c r="FA37" s="24">
        <v>2.763601010404924E-4</v>
      </c>
      <c r="FB37" s="21">
        <v>9.6455935044007356E-3</v>
      </c>
      <c r="FC37" s="82">
        <v>698.45143014252619</v>
      </c>
      <c r="FD37" s="82">
        <v>3.2654567368634559</v>
      </c>
      <c r="FE37" s="34">
        <v>20.011359804951844</v>
      </c>
      <c r="FF37" s="84">
        <v>0.27636010104049241</v>
      </c>
      <c r="FG37" s="26">
        <v>43903</v>
      </c>
      <c r="FH37" s="26" t="s">
        <v>484</v>
      </c>
      <c r="FI37" s="84"/>
      <c r="FJ37" s="84"/>
      <c r="FK37" s="19"/>
      <c r="FL37" s="26"/>
      <c r="FM37" s="25"/>
      <c r="FN37" s="26"/>
      <c r="FO37" s="25"/>
      <c r="FP37" s="17"/>
      <c r="FR37" s="25"/>
      <c r="FS37" s="19"/>
      <c r="FT37" s="72"/>
      <c r="FU37" s="25"/>
      <c r="FV37" s="148"/>
      <c r="FW37" s="25"/>
      <c r="FX37" s="25"/>
      <c r="FY37" s="25"/>
      <c r="FZ37" s="25"/>
      <c r="GA37" s="25"/>
      <c r="GC37" s="25"/>
    </row>
    <row r="38" spans="2:185" x14ac:dyDescent="0.25">
      <c r="B38" s="1">
        <v>43879</v>
      </c>
      <c r="C38">
        <v>0</v>
      </c>
      <c r="D38" s="25">
        <v>0</v>
      </c>
      <c r="E38">
        <v>4</v>
      </c>
      <c r="F38">
        <v>0</v>
      </c>
      <c r="G38">
        <v>5</v>
      </c>
      <c r="H38">
        <v>2</v>
      </c>
      <c r="I38">
        <v>0</v>
      </c>
      <c r="J38">
        <v>4</v>
      </c>
      <c r="K38">
        <v>0</v>
      </c>
      <c r="L38" s="12">
        <f>IF(ISNUMBER(tblData[[#This Row],[NSW]]),tblData[[#This Row],[New South Wales]]/$L$9,"")</f>
        <v>4.9504950495049505</v>
      </c>
      <c r="M38" s="25">
        <v>3</v>
      </c>
      <c r="N38" s="44">
        <f>IF(ISNUMBER(tblData[Italy]),tblData[Italy]/$N$9,"")</f>
        <v>0.49599074150615857</v>
      </c>
      <c r="O38">
        <v>13</v>
      </c>
      <c r="P38" s="106">
        <f>IF(ISNUMBER(tblData[US]),tblData[US]/$P$9,"")</f>
        <v>0.39486343900067283</v>
      </c>
      <c r="Q38">
        <v>31</v>
      </c>
      <c r="R38" s="19">
        <f>IF(ISNUMBER(tblData[SKorea]),tblData[SKorea]/$R$9,"")</f>
        <v>6.0311284046692615</v>
      </c>
      <c r="S38">
        <v>9</v>
      </c>
      <c r="T38" s="12">
        <f>IF(ISNUMBER(tblData[UK]),tblData[UK]/$T$9,"")</f>
        <v>1.3546056592414208</v>
      </c>
      <c r="U38">
        <v>74211</v>
      </c>
      <c r="V38" s="20">
        <f>IF(ISNUMBER(tblData[China]),tblData[China]/$V$9,"")</f>
        <v>515.59629068477227</v>
      </c>
      <c r="W38">
        <v>81</v>
      </c>
      <c r="X38" s="106">
        <f>IF(ISNUMBER(tblData[Singapore]),tblData[Singapore]/$X$9,"")</f>
        <v>138.46153846153848</v>
      </c>
      <c r="Y38"/>
      <c r="Z38" s="20" t="str">
        <f>IF(AND(LEN(tblData[Generic])&gt;0,ISNUMBER(tblData[Generic])),tblData[Generic]/$Z$9,"")</f>
        <v/>
      </c>
      <c r="AA38" s="25">
        <f ca="1">IF(tblData[[#This Row],[Date]]&lt;StartDt2Italy,"",tblData[[#This Row],[Date]]-ItalyStart)</f>
        <v>19</v>
      </c>
      <c r="AB38" s="25">
        <f ca="1">IF(tblData[[#This Row],[Date]]&lt;=StartDt2US,"",tblData[[#This Row],[Date]]-USStart)</f>
        <v>27</v>
      </c>
      <c r="AC38" s="25">
        <f ca="1">IF(tblData[[#This Row],[Date]]&lt;StartDt2China,"",tblData[[#This Row],[Date]]-ChinaStart)</f>
        <v>27</v>
      </c>
      <c r="AD38" s="25">
        <f>IF(tblData[[#This Row],[Date]]&lt;=SKoreaStart,"",tblData[[#This Row],[Date]]-SKoreaStart)</f>
        <v>27</v>
      </c>
      <c r="AE38" s="25">
        <f ca="1">IF(tblData[[#This Row],[Date]]&lt;=StartDt2UK,"",tblData[[#This Row],[Date]]-UKStart)</f>
        <v>19</v>
      </c>
      <c r="AF38" s="25">
        <f>IF(tblData[[#This Row],[Date]]&lt;StartDt2Singapore,"",tblData[[#This Row],[Date]]-SingaporeStart)</f>
        <v>26</v>
      </c>
      <c r="AG38" s="25">
        <f ca="1">IF(tblData[[#This Row],[Date]]&lt;StartDt2Generic,"",tblData[[#This Row],[Date]]-GenericStart)</f>
        <v>27</v>
      </c>
      <c r="AH38">
        <f ca="1">IF(tblData[Date]&gt;StartDt2Au,tblData[Date]-AuStart,"")</f>
        <v>24</v>
      </c>
      <c r="AI38" s="25">
        <f>IF(tblData[New South Wales]&gt;=0,SUM(tblData[[#This Row],[Australian Capital Territory]:[Western Australia]]),"")</f>
        <v>15</v>
      </c>
      <c r="AJ38" s="12">
        <f>IF(ISNUMBER(tblData[Au]),tblData[Au]/$AE$9,"")</f>
        <v>5.9138937076170954</v>
      </c>
      <c r="AK38" s="19">
        <f ca="1">IF(ISNUMBER(tblData[[#This Row],[Day'# Aust]]),betaAu/(deltaAu+betaPodeltaAu*EXP(-betaAu*tblData[[#This Row],[Day'# Aust]])),"")</f>
        <v>0.43436329256081013</v>
      </c>
      <c r="AL38" s="62">
        <f ca="1">IF(ISNUMBER(tblData[Day'# Aust]),tblData[Au LogiP(t)]/$AJ$9,"")</f>
        <v>0.17125188951301457</v>
      </c>
      <c r="AM38" s="11">
        <f ca="1">IF(AND(tblData[Date]&gt;StartDt2Au,ISNUMBER(tblData[NSW])),(tblData[[#This Row],[Au LogiP(t)]]-tblData[[#This Row],[Au]])^2,"")</f>
        <v>212.15777269309996</v>
      </c>
      <c r="AN38" s="11">
        <f ca="1">IF(AND(ISNUMBER(tblData[Au]),tblData[Date]&gt;StartDt2Au),(tblData[Au]-AVERAGE(tblData[Au]))^2,"")</f>
        <v>183488.66503328402</v>
      </c>
      <c r="AO38" s="11">
        <f>tblData[[#This Row],[Date]]-Au100dt</f>
        <v>-25</v>
      </c>
      <c r="AP38">
        <f ca="1">IF(tblData[Date]&gt;StartDt2NSW,tblData[Date]-StartDt2NSW,"")</f>
        <v>24</v>
      </c>
      <c r="AQ38" s="25">
        <f>IF(tblData[[#This Row],[New South Wales]]&gt;0,tblData[[#This Row],[New South Wales]],"")</f>
        <v>4</v>
      </c>
      <c r="AR38" s="44">
        <f ca="1">IF(tblData[Date]&gt;StartDt2NSW,betaNSW/(deltaNSW+betaPodeltaNSW*EXP(-betaNSW*tblData[[#This Row],[Day '# NSW]])),"")</f>
        <v>0.30099731154196946</v>
      </c>
      <c r="AS38" s="12">
        <f ca="1">IF(AND(ISNUMBER(tblData[NSW]),tblData[Date]&gt;StartDt2NSW),(tblData[[#This Row],[NSW LogiP(t)]]-tblData[[#This Row],[NSW]])^2,"")</f>
        <v>13.68262088921974</v>
      </c>
      <c r="AT38" s="12">
        <f ca="1">IF(AND(tblData[Date]&gt;StartDt2NSW,ISNUMBER(tblData[Day'# Aust])),tblData[NSW LogiP(t)]/$AR$9,"")</f>
        <v>0.37252142517570475</v>
      </c>
      <c r="AU38" s="11">
        <f>tblData[[#This Row],[Date]]-NSW100dt+1</f>
        <v>-21</v>
      </c>
      <c r="AV38" s="11">
        <f ca="1">IF(AND(ISNUMBER(tblData[NSW]),tblData[Date]&gt;StartDt2NSW),(tblData[NSW]-AVERAGE(tblData[NSW]))^2,"")</f>
        <v>83990.760134425553</v>
      </c>
      <c r="AW38" s="39">
        <f ca="1">IF(AND(tblData[Date]&gt;StartDt2Italy,ISNUMBER(tblData[Days'# Italy])),betaItaly/(deltaItaly+betaPodeltaItaly*EXP(-betaItaly*tblData[Days'# Italy])),"")</f>
        <v>58.073795702901393</v>
      </c>
      <c r="AX38" s="11">
        <f ca="1">IF(AND(tblData[Date]&gt;StartDt2Italy,ISNUMBER(tblData[Italy])),(tblData[[#This Row],[Italy LogiP(t)]]-tblData[[#This Row],[Italy]])^2,"")</f>
        <v>3033.12297312492</v>
      </c>
      <c r="AY38" s="39">
        <f ca="1">IF(AND(tblData[Date]&gt;StartDt2Italy,ISNUMBER(tblData[Days'# Italy])),tblData[[#This Row],[Italy LogiP(t)]]/$AW$9,"")</f>
        <v>9.6013549975864088</v>
      </c>
      <c r="AZ38" s="39">
        <f ca="1">IF(AND(ISNUMBER(tblData[Italy]),tblData[Date]&gt;StartDt2Italy),(tblData[Italy]-AVERAGE(tblData[Italy]))^2,"")</f>
        <v>439983253.38271606</v>
      </c>
      <c r="BA38" s="11">
        <f>tblData[[#This Row],[Date]]-Italy100dt+1</f>
        <v>-8</v>
      </c>
      <c r="BB38" s="11">
        <f ca="1">IF(AND(tblData[Date]&gt;StartDt2US,ISNUMBER(tblData[[#This Row],[Days'# US]])),betaUS/(deltaUS+betaPodeltaUS*EXP(-betaUS*tblData[Days'# US])),"")</f>
        <v>2.1255022694630807</v>
      </c>
      <c r="BC38" s="11">
        <f ca="1">IF(AND(tblData[Date]&gt;StartDt2US,ISNUMBER(tblData[US])),(tblData[[#This Row],[US LogiP(t)]]-tblData[US])^2,"")</f>
        <v>118.25470089145261</v>
      </c>
      <c r="BD38" s="137">
        <f ca="1">IF(AND(tblData[Date]&gt;=StartDt2US,ISNUMBER(tblData[[#This Row],[Days'# US]])),tblData[[#This Row],[US LogiP(t)]]/$BB$9,"")</f>
        <v>6.456024120953284E-2</v>
      </c>
      <c r="BE38" s="137">
        <f ca="1">IF(AND(ISNUMBER(tblData[US]),tblData[Date]&gt;StartDt2US),(tblData[US]-AVERAGE(tblData[US]))^2,"")</f>
        <v>334950315.39158893</v>
      </c>
      <c r="BF38" s="11">
        <f>tblData[[#This Row],[Date]]-US100dt+1</f>
        <v>-24</v>
      </c>
      <c r="BG38" s="20" t="str">
        <f ca="1">IF(tblData[Date]&gt;StartDt2SKorea,betaSKorea/(deltaSKorea+betaPodeltaSKorea*EXP(-betaSKorea*(tblData[Date]-StartDt2SKorea))),"")</f>
        <v/>
      </c>
      <c r="BH38" s="20" t="str">
        <f ca="1">IF(AND(tblData[Date]&gt;StartDt2SKorea,ISNUMBER(tblData[SKorea])),(tblData[[#This Row],[SKorea LogiP(t)]]-tblData[[#This Row],[SKorea]])^2,"")</f>
        <v/>
      </c>
      <c r="BI38" s="20" t="str">
        <f ca="1">IF(tblData[Date]&gt;StartDt2SKorea,tblData[[#This Row],[SKorea LogiP(t)]]/$BG$9,"")</f>
        <v/>
      </c>
      <c r="BJ38" s="137" t="str">
        <f ca="1">IF(AND(ISNUMBER(tblData[SKorea]),tblData[Date]&gt;StartDt2SKorea),(tblData[SKorea]-AVERAGE(tblData[SKorea]))^2,"")</f>
        <v/>
      </c>
      <c r="BK38" s="11">
        <f>tblData[[#This Row],[Date]]-SKorea100dt+1</f>
        <v>-3</v>
      </c>
      <c r="BL38" s="137">
        <f ca="1">IF(AND(tblData[Date]&gt;StartDt2UK,ISNUMBER(tblData[Days'# UK])),betaUK/(deltaUK+betaPodeltaUK*EXP(-betaUK*tblData[Days'# UK])),"")</f>
        <v>5.0988518302431478</v>
      </c>
      <c r="BM38" s="20">
        <f ca="1">IF(AND(tblData[Date]&gt;StartDt2UK,ISNUMBER(tblData[UK])),(tblData[[#This Row],[UK LogiP(t)]]-tblData[[#This Row],[UK]])^2,"")</f>
        <v>15.218957042397237</v>
      </c>
      <c r="BN38" s="20">
        <f ca="1">IF(ISNUMBER(tblData[Days'# UK]),tblData[[#This Row],[UK LogiP(t)]]/$BL$9,"")</f>
        <v>0.76743706054231609</v>
      </c>
      <c r="BO38" s="137">
        <f ca="1">IF(AND(ISNUMBER(tblData[UK]),tblData[Date]&gt;StartDt2UK),(tblData[UK]-AVERAGE(tblData[UK]))^2,"")</f>
        <v>9584331.4489795901</v>
      </c>
      <c r="BP38" s="11">
        <f>tblData[[#This Row],[Date]]-UK100dt</f>
        <v>-23</v>
      </c>
      <c r="BQ38" s="11">
        <f ca="1">IF(ISNUMBER(tblData[Days'# China]),betaChina/(deltaChina+betaPodeltaChina*EXP(-betaChina*tblData[Days'# China])),"")</f>
        <v>71819.130770408447</v>
      </c>
      <c r="BR38" s="11">
        <f ca="1">IF(ISNUMBER(tblData[China]),(tblData[[#This Row],[China LogiP(t)]]-tblData[[#This Row],[China]])^2,"")</f>
        <v>5721038.4114668919</v>
      </c>
      <c r="BS38" s="11">
        <f ca="1">tblData[[#This Row],[China LogiP(t)]]/$BQ$9</f>
        <v>498.97828388550465</v>
      </c>
      <c r="BT38" s="137">
        <f ca="1">IF(AND(ISNUMBER(tblData[China]),tblData[Date]&gt;StartDt2China),(tblData[China]-AVERAGE(tblData[China]))^2,"")</f>
        <v>198303914.02995434</v>
      </c>
      <c r="BU38" s="11">
        <f>tblData[[#This Row],[Date]]-China100dt</f>
        <v>27</v>
      </c>
      <c r="BV38" s="106">
        <f>IF(ISNUMBER(tblData[Day'# Singapore]),betaSingapore/(deltaSingapore+betaPodeltaSingapore*EXP(-betaSingapore*tblData[Day'# Singapore])),"")</f>
        <v>33.999734909936095</v>
      </c>
      <c r="BW38" s="11">
        <f>IF(AND(ISNUMBER(tblData[Singapore]),tblData[Date]&gt;=StartDt2Singapore),(tblData[[#This Row],[Singapore LogiP(t)]]-tblData[[#This Row],[Singapore]])^2,"")</f>
        <v>2209.02491853628</v>
      </c>
      <c r="BX38" s="106">
        <f>IF(ISNUMBER(tblData[Day'# Singapore]),tblData[Singapore LogiP(t)]/$BV$9,"")</f>
        <v>58.11920497424974</v>
      </c>
      <c r="BY38" s="106">
        <f>IF(AND(ISNUMBER(tblData[Singapore]),tblData[Date]&gt;StartDt2Singapore),(tblData[Singapore]-AVERAGE(tblData[Singapore]))^2,"")</f>
        <v>13907.385241023607</v>
      </c>
      <c r="BZ38" s="11">
        <f>tblData[[#This Row],[Date]]-Singapore100dt+1</f>
        <v>8</v>
      </c>
      <c r="CA38" s="11">
        <f ca="1">IF(AND(tblData[Date]&gt;StartDt2Generic,ISNUMBER(tblData[Day'# Generic])),betaGeneric/(deltaGeneric+betaPodeltaGeneric*EXP(-betaGeneric*tblData[Day'# Generic])),"")</f>
        <v>0.20349450180865858</v>
      </c>
      <c r="CB38" s="106" t="str">
        <f ca="1">IF(AND(ISNUMBER(tblData[Generic]),tblData[Date]&gt;StartDt2Generic),(tblData[Generic LogiP(t)]-tblData[[#This Row],[Generic]])^2,"")</f>
        <v/>
      </c>
      <c r="CC38" s="11" t="str">
        <f ca="1">IF(AND(ISNUMBER(tblData[Generic]),tblData[Date]&gt;StartDt2Generic),tblData[Generic LogiP(t)]/$CA$9,"")</f>
        <v/>
      </c>
      <c r="CD38" s="106" t="str">
        <f ca="1">IF(AND(ISNUMBER(tblData[Generic]),tblData[Date]&gt;StartDt2Generic),(tblData[Generic]-AVERAGE(tblData[Generic]))^2,"")</f>
        <v/>
      </c>
      <c r="CE38" s="11">
        <f>tblData[[#This Row],[Date]]-Generic100dt+1</f>
        <v>-31</v>
      </c>
      <c r="CG38" s="11"/>
      <c r="CH38" s="11" t="str">
        <f>IF(ISNUMBER(tblData[[#This Row],[Tests]]),tblData[[#This Row],[Tests]]-CH37,"")</f>
        <v/>
      </c>
      <c r="CI38" s="11" t="str">
        <f>IF(ISNUMBER(tblData[[#This Row],[NSW Under Investigation'']]),tblData[[#This Row],[NSW Under Investigation'']]-CG37,"")</f>
        <v/>
      </c>
      <c r="CJ38" s="11"/>
      <c r="CK38" s="11" t="str">
        <f>IF(AND(tblData[[#This Row],[NSW Test Day Number]]&gt;0,ISNUMBER(tblData[[#This Row],[NSW Test Day Number]])),betaTests/(deltaTests+betaPodeltaTests*EXP(-betaTests*tblData[[#This Row],[NSW Test Day Number]])),"")</f>
        <v/>
      </c>
      <c r="CL38" s="11" t="str">
        <f>IF(tblData[Tests]&gt;0,(tblData[[#This Row],[Tests]]-tblData[[#This Row],[NSW Test Logi]])^2,"")</f>
        <v/>
      </c>
      <c r="CM38" s="106" t="str">
        <f>IF(AND(ISNUMBER(tblData[Tests]),tblData[Date]&gt;StartDt2Tests),(tblData[Tests]-AVERAGE(tblData[Tests]))^2,"")</f>
        <v/>
      </c>
      <c r="CN38" s="11" t="str">
        <f>IF(ISNUMBER(tblData[Tests]),tblData[Tests]/$CN$9/100,"")</f>
        <v/>
      </c>
      <c r="CO38" s="11" t="str">
        <f>IF(AND(tblData[[#This Row],[NSW Test Day Number]]&gt;0,ISNUMBER(tblData[[#This Row],[NSW Test Day Number]])),TestsLogestB*TestsLogestM^tblData[[#This Row],[NSW Test Day Number]],"")</f>
        <v/>
      </c>
      <c r="CP38" s="11" t="str">
        <f>IF(AND(tblData[[#This Row],[NSW Test Day Number]]&gt;0,ISNUMBER(tblData[Tests])),(tblData[Tests]-tblData[[#This Row],[NSW Test Per Capita]])^2,"")</f>
        <v/>
      </c>
      <c r="CQ38" s="39">
        <f ca="1">IF(AND(tblData[Day '# NSW]&gt;0,ISNUMBER(tblData[[#This Row],[Day '# NSW]])),NSWLogestB*NSWLogestM^tblData[[#This Row],[Day '# NSW]]/$CR$9,"")</f>
        <v>12.947988480566805</v>
      </c>
      <c r="CR38" s="39">
        <f ca="1">IF(AND(ISNUMBER(tblData[NSW]),tblData[Date]&gt;StartDt2NSW),(tblData[NSW]/$CR$9-tblData[[#This Row],[NSW Cases LogEst]])^2,"")</f>
        <v>63.959901179877505</v>
      </c>
      <c r="CS38" s="11"/>
      <c r="CT38" s="11"/>
      <c r="CW38" s="25"/>
      <c r="CX38"/>
      <c r="DK38" s="25"/>
      <c r="DL38" s="25"/>
      <c r="DM38" s="25"/>
      <c r="DR38"/>
      <c r="DS38"/>
      <c r="DT38"/>
      <c r="DU38"/>
      <c r="EB38" s="25"/>
      <c r="EC38" s="25"/>
      <c r="ED38" s="25"/>
      <c r="EE38" s="25"/>
      <c r="EK38"/>
      <c r="EL38"/>
      <c r="EM38"/>
      <c r="EN38"/>
      <c r="EO38"/>
      <c r="EP38" s="25"/>
      <c r="ER38" s="25"/>
      <c r="ES38" s="25"/>
      <c r="ET38"/>
      <c r="EU38" s="25" t="s">
        <v>153</v>
      </c>
      <c r="EV38" s="69"/>
      <c r="EW38" s="26">
        <v>43855</v>
      </c>
      <c r="EY38" s="25">
        <v>1</v>
      </c>
      <c r="EZ38" s="22">
        <v>0.20197976034974141</v>
      </c>
      <c r="FA38" s="24">
        <v>3.7238456472139586E-4</v>
      </c>
      <c r="FB38" s="21">
        <v>6.7779266478176703E-3</v>
      </c>
      <c r="FC38" s="82">
        <v>542.39562937001722</v>
      </c>
      <c r="FD38" s="82">
        <v>3.1776191206100863</v>
      </c>
      <c r="FE38" s="34">
        <v>29.799265593927426</v>
      </c>
      <c r="FF38" s="84">
        <v>0.37238456472139586</v>
      </c>
      <c r="FG38" s="26">
        <v>43904</v>
      </c>
      <c r="FH38" s="26" t="s">
        <v>485</v>
      </c>
      <c r="FI38" s="84"/>
      <c r="FJ38" s="84"/>
      <c r="FK38" s="19"/>
      <c r="FL38" s="26"/>
      <c r="FM38" s="25"/>
      <c r="FN38" s="18"/>
      <c r="FO38" s="25"/>
      <c r="FP38" s="25"/>
      <c r="FR38" s="25"/>
      <c r="FS38" s="19"/>
      <c r="FT38" s="72"/>
      <c r="FU38" s="25"/>
      <c r="FV38" s="148"/>
      <c r="FW38" s="25"/>
      <c r="FX38" s="25"/>
      <c r="FY38" s="25"/>
      <c r="FZ38" s="25"/>
      <c r="GA38" s="25"/>
      <c r="GC38" s="25"/>
    </row>
    <row r="39" spans="2:185" x14ac:dyDescent="0.25">
      <c r="B39" s="1">
        <v>43880</v>
      </c>
      <c r="C39">
        <v>0</v>
      </c>
      <c r="D39" s="25">
        <v>0</v>
      </c>
      <c r="E39">
        <v>4</v>
      </c>
      <c r="F39">
        <v>0</v>
      </c>
      <c r="G39">
        <v>5</v>
      </c>
      <c r="H39">
        <v>2</v>
      </c>
      <c r="I39">
        <v>0</v>
      </c>
      <c r="J39">
        <v>4</v>
      </c>
      <c r="K39">
        <v>0</v>
      </c>
      <c r="L39" s="12">
        <f>IF(ISNUMBER(tblData[[#This Row],[NSW]]),tblData[[#This Row],[New South Wales]]/$L$9,"")</f>
        <v>4.9504950495049505</v>
      </c>
      <c r="M39" s="25">
        <v>3</v>
      </c>
      <c r="N39" s="44">
        <f>IF(ISNUMBER(tblData[Italy]),tblData[Italy]/$N$9,"")</f>
        <v>0.49599074150615857</v>
      </c>
      <c r="O39">
        <v>13</v>
      </c>
      <c r="P39" s="106">
        <f>IF(ISNUMBER(tblData[US]),tblData[US]/$P$9,"")</f>
        <v>0.39486343900067283</v>
      </c>
      <c r="Q39">
        <v>31</v>
      </c>
      <c r="R39" s="19">
        <f>IF(ISNUMBER(tblData[SKorea]),tblData[SKorea]/$R$9,"")</f>
        <v>6.0311284046692615</v>
      </c>
      <c r="S39">
        <v>9</v>
      </c>
      <c r="T39" s="12">
        <f>IF(ISNUMBER(tblData[UK]),tblData[UK]/$T$9,"")</f>
        <v>1.3546056592414208</v>
      </c>
      <c r="U39">
        <v>74619</v>
      </c>
      <c r="V39" s="20">
        <f>IF(ISNUMBER(tblData[China]),tblData[China]/$V$9,"")</f>
        <v>518.43095517655092</v>
      </c>
      <c r="W39">
        <v>84</v>
      </c>
      <c r="X39" s="106">
        <f>IF(ISNUMBER(tblData[Singapore]),tblData[Singapore]/$X$9,"")</f>
        <v>143.58974358974359</v>
      </c>
      <c r="Y39"/>
      <c r="Z39" s="20" t="str">
        <f>IF(AND(LEN(tblData[Generic])&gt;0,ISNUMBER(tblData[Generic])),tblData[Generic]/$Z$9,"")</f>
        <v/>
      </c>
      <c r="AA39" s="25">
        <f ca="1">IF(tblData[[#This Row],[Date]]&lt;StartDt2Italy,"",tblData[[#This Row],[Date]]-ItalyStart)</f>
        <v>20</v>
      </c>
      <c r="AB39" s="25">
        <f ca="1">IF(tblData[[#This Row],[Date]]&lt;=StartDt2US,"",tblData[[#This Row],[Date]]-USStart)</f>
        <v>28</v>
      </c>
      <c r="AC39" s="25">
        <f ca="1">IF(tblData[[#This Row],[Date]]&lt;StartDt2China,"",tblData[[#This Row],[Date]]-ChinaStart)</f>
        <v>28</v>
      </c>
      <c r="AD39" s="25">
        <f>IF(tblData[[#This Row],[Date]]&lt;=SKoreaStart,"",tblData[[#This Row],[Date]]-SKoreaStart)</f>
        <v>28</v>
      </c>
      <c r="AE39" s="25">
        <f ca="1">IF(tblData[[#This Row],[Date]]&lt;=StartDt2UK,"",tblData[[#This Row],[Date]]-UKStart)</f>
        <v>20</v>
      </c>
      <c r="AF39" s="25">
        <f>IF(tblData[[#This Row],[Date]]&lt;StartDt2Singapore,"",tblData[[#This Row],[Date]]-SingaporeStart)</f>
        <v>27</v>
      </c>
      <c r="AG39" s="25">
        <f ca="1">IF(tblData[[#This Row],[Date]]&lt;StartDt2Generic,"",tblData[[#This Row],[Date]]-GenericStart)</f>
        <v>28</v>
      </c>
      <c r="AH39">
        <f ca="1">IF(tblData[Date]&gt;StartDt2Au,tblData[Date]-AuStart,"")</f>
        <v>25</v>
      </c>
      <c r="AI39" s="25">
        <f>IF(tblData[New South Wales]&gt;=0,SUM(tblData[[#This Row],[Australian Capital Territory]:[Western Australia]]),"")</f>
        <v>15</v>
      </c>
      <c r="AJ39" s="12">
        <f>IF(ISNUMBER(tblData[Au]),tblData[Au]/$AE$9,"")</f>
        <v>5.9138937076170954</v>
      </c>
      <c r="AK39" s="19">
        <f ca="1">IF(ISNUMBER(tblData[[#This Row],[Day'# Aust]]),betaAu/(deltaAu+betaPodeltaAu*EXP(-betaAu*tblData[[#This Row],[Day'# Aust]])),"")</f>
        <v>0.55944338240306701</v>
      </c>
      <c r="AL39" s="62">
        <f ca="1">IF(ISNUMBER(tblData[Day'# Aust]),tblData[Au LogiP(t)]/$AJ$9,"")</f>
        <v>0.22056591326410149</v>
      </c>
      <c r="AM39" s="11">
        <f ca="1">IF(AND(tblData[Date]&gt;StartDt2Au,ISNUMBER(tblData[NSW])),(tblData[[#This Row],[Au LogiP(t)]]-tblData[[#This Row],[Au]])^2,"")</f>
        <v>208.52967542602258</v>
      </c>
      <c r="AN39" s="11">
        <f ca="1">IF(AND(ISNUMBER(tblData[Au]),tblData[Date]&gt;StartDt2Au),(tblData[Au]-AVERAGE(tblData[Au]))^2,"")</f>
        <v>183488.66503328402</v>
      </c>
      <c r="AO39" s="11">
        <f>tblData[[#This Row],[Date]]-Au100dt</f>
        <v>-24</v>
      </c>
      <c r="AP39">
        <f ca="1">IF(tblData[Date]&gt;StartDt2NSW,tblData[Date]-StartDt2NSW,"")</f>
        <v>25</v>
      </c>
      <c r="AQ39" s="25">
        <f>IF(tblData[[#This Row],[New South Wales]]&gt;0,tblData[[#This Row],[New South Wales]],"")</f>
        <v>4</v>
      </c>
      <c r="AR39" s="44">
        <f ca="1">IF(tblData[Date]&gt;StartDt2NSW,betaNSW/(deltaNSW+betaPodeltaNSW*EXP(-betaNSW*tblData[[#This Row],[Day '# NSW]])),"")</f>
        <v>0.38179142674345551</v>
      </c>
      <c r="AS39" s="12">
        <f ca="1">IF(AND(ISNUMBER(tblData[NSW]),tblData[Date]&gt;StartDt2NSW),(tblData[[#This Row],[NSW LogiP(t)]]-tblData[[#This Row],[NSW]])^2,"")</f>
        <v>13.091433279587159</v>
      </c>
      <c r="AT39" s="12">
        <f ca="1">IF(AND(tblData[Date]&gt;StartDt2NSW,ISNUMBER(tblData[Day'# Aust])),tblData[NSW LogiP(t)]/$AR$9,"")</f>
        <v>0.47251414200922709</v>
      </c>
      <c r="AU39" s="11">
        <f>tblData[[#This Row],[Date]]-NSW100dt+1</f>
        <v>-20</v>
      </c>
      <c r="AV39" s="11">
        <f ca="1">IF(AND(ISNUMBER(tblData[NSW]),tblData[Date]&gt;StartDt2NSW),(tblData[NSW]-AVERAGE(tblData[NSW]))^2,"")</f>
        <v>83990.760134425553</v>
      </c>
      <c r="AW39" s="39">
        <f ca="1">IF(AND(tblData[Date]&gt;StartDt2Italy,ISNUMBER(tblData[Days'# Italy])),betaItaly/(deltaItaly+betaPodeltaItaly*EXP(-betaItaly*tblData[Days'# Italy])),"")</f>
        <v>75.051519363112632</v>
      </c>
      <c r="AX39" s="11">
        <f ca="1">IF(AND(tblData[Date]&gt;StartDt2Italy,ISNUMBER(tblData[Italy])),(tblData[[#This Row],[Italy LogiP(t)]]-tblData[[#This Row],[Italy]])^2,"")</f>
        <v>5191.4214425329947</v>
      </c>
      <c r="AY39" s="39">
        <f ca="1">IF(AND(tblData[Date]&gt;StartDt2Italy,ISNUMBER(tblData[Days'# Italy])),tblData[[#This Row],[Italy LogiP(t)]]/$AW$9,"")</f>
        <v>12.40828624669135</v>
      </c>
      <c r="AZ39" s="39">
        <f ca="1">IF(AND(ISNUMBER(tblData[Italy]),tblData[Date]&gt;StartDt2Italy),(tblData[Italy]-AVERAGE(tblData[Italy]))^2,"")</f>
        <v>439983253.38271606</v>
      </c>
      <c r="BA39" s="11">
        <f>tblData[[#This Row],[Date]]-Italy100dt+1</f>
        <v>-7</v>
      </c>
      <c r="BB39" s="11">
        <f ca="1">IF(AND(tblData[Date]&gt;StartDt2US,ISNUMBER(tblData[[#This Row],[Days'# US]])),betaUS/(deltaUS+betaPodeltaUS*EXP(-betaUS*tblData[Days'# US])),"")</f>
        <v>2.8229323206693135</v>
      </c>
      <c r="BC39" s="11">
        <f ca="1">IF(AND(tblData[Date]&gt;StartDt2US,ISNUMBER(tblData[US])),(tblData[[#This Row],[US LogiP(t)]]-tblData[US])^2,"")</f>
        <v>103.57270654967729</v>
      </c>
      <c r="BD39" s="137">
        <f ca="1">IF(AND(tblData[Date]&gt;=StartDt2US,ISNUMBER(tblData[[#This Row],[Days'# US]])),tblData[[#This Row],[US LogiP(t)]]/$BB$9,"")</f>
        <v>8.5744058785048871E-2</v>
      </c>
      <c r="BE39" s="137">
        <f ca="1">IF(AND(ISNUMBER(tblData[US]),tblData[Date]&gt;StartDt2US),(tblData[US]-AVERAGE(tblData[US]))^2,"")</f>
        <v>334950315.39158893</v>
      </c>
      <c r="BF39" s="11">
        <f>tblData[[#This Row],[Date]]-US100dt+1</f>
        <v>-23</v>
      </c>
      <c r="BG39" s="20" t="str">
        <f ca="1">IF(tblData[Date]&gt;StartDt2SKorea,betaSKorea/(deltaSKorea+betaPodeltaSKorea*EXP(-betaSKorea*(tblData[Date]-StartDt2SKorea))),"")</f>
        <v/>
      </c>
      <c r="BH39" s="20" t="str">
        <f ca="1">IF(AND(tblData[Date]&gt;StartDt2SKorea,ISNUMBER(tblData[SKorea])),(tblData[[#This Row],[SKorea LogiP(t)]]-tblData[[#This Row],[SKorea]])^2,"")</f>
        <v/>
      </c>
      <c r="BI39" s="20" t="str">
        <f ca="1">IF(tblData[Date]&gt;StartDt2SKorea,tblData[[#This Row],[SKorea LogiP(t)]]/$BG$9,"")</f>
        <v/>
      </c>
      <c r="BJ39" s="137" t="str">
        <f ca="1">IF(AND(ISNUMBER(tblData[SKorea]),tblData[Date]&gt;StartDt2SKorea),(tblData[SKorea]-AVERAGE(tblData[SKorea]))^2,"")</f>
        <v/>
      </c>
      <c r="BK39" s="11">
        <f>tblData[[#This Row],[Date]]-SKorea100dt+1</f>
        <v>-2</v>
      </c>
      <c r="BL39" s="137">
        <f ca="1">IF(AND(tblData[Date]&gt;StartDt2UK,ISNUMBER(tblData[Days'# UK])),betaUK/(deltaUK+betaPodeltaUK*EXP(-betaUK*tblData[Days'# UK])),"")</f>
        <v>6.3134033912709171</v>
      </c>
      <c r="BM39" s="20">
        <f ca="1">IF(AND(tblData[Date]&gt;StartDt2UK,ISNUMBER(tblData[UK])),(tblData[[#This Row],[UK LogiP(t)]]-tblData[[#This Row],[UK]])^2,"")</f>
        <v>7.2178013380346089</v>
      </c>
      <c r="BN39" s="20">
        <f ca="1">IF(ISNUMBER(tblData[Days'# UK]),tblData[[#This Row],[UK LogiP(t)]]/$BL$9,"")</f>
        <v>0.95024132920995141</v>
      </c>
      <c r="BO39" s="137">
        <f ca="1">IF(AND(ISNUMBER(tblData[UK]),tblData[Date]&gt;StartDt2UK),(tblData[UK]-AVERAGE(tblData[UK]))^2,"")</f>
        <v>9584331.4489795901</v>
      </c>
      <c r="BP39" s="11">
        <f>tblData[[#This Row],[Date]]-UK100dt</f>
        <v>-22</v>
      </c>
      <c r="BQ39" s="11">
        <f ca="1">IF(ISNUMBER(tblData[Days'# China]),betaChina/(deltaChina+betaPodeltaChina*EXP(-betaChina*tblData[Days'# China])),"")</f>
        <v>73505.796645856579</v>
      </c>
      <c r="BR39" s="11">
        <f ca="1">IF(ISNUMBER(tblData[China]),(tblData[[#This Row],[China LogiP(t)]]-tblData[[#This Row],[China]])^2,"")</f>
        <v>1239221.7076761632</v>
      </c>
      <c r="BS39" s="11">
        <f ca="1">tblData[[#This Row],[China LogiP(t)]]/$BQ$9</f>
        <v>510.69674434292523</v>
      </c>
      <c r="BT39" s="137">
        <f ca="1">IF(AND(ISNUMBER(tblData[China]),tblData[Date]&gt;StartDt2China),(tblData[China]-AVERAGE(tblData[China]))^2,"")</f>
        <v>209961324.50882757</v>
      </c>
      <c r="BU39" s="11">
        <f>tblData[[#This Row],[Date]]-China100dt</f>
        <v>28</v>
      </c>
      <c r="BV39" s="106">
        <f>IF(ISNUMBER(tblData[Day'# Singapore]),betaSingapore/(deltaSingapore+betaPodeltaSingapore*EXP(-betaSingapore*tblData[Day'# Singapore])),"")</f>
        <v>36.815608171855764</v>
      </c>
      <c r="BW39" s="11">
        <f>IF(AND(ISNUMBER(tblData[Singapore]),tblData[Date]&gt;=StartDt2Singapore),(tblData[[#This Row],[Singapore LogiP(t)]]-tblData[[#This Row],[Singapore]])^2,"")</f>
        <v>2226.3668321918444</v>
      </c>
      <c r="BX39" s="106">
        <f>IF(ISNUMBER(tblData[Day'# Singapore]),tblData[Singapore LogiP(t)]/$BV$9,"")</f>
        <v>62.932663541633787</v>
      </c>
      <c r="BY39" s="106">
        <f>IF(AND(ISNUMBER(tblData[Singapore]),tblData[Date]&gt;StartDt2Singapore),(tblData[Singapore]-AVERAGE(tblData[Singapore]))^2,"")</f>
        <v>13208.807776234875</v>
      </c>
      <c r="BZ39" s="11">
        <f>tblData[[#This Row],[Date]]-Singapore100dt+1</f>
        <v>9</v>
      </c>
      <c r="CA39" s="11">
        <f ca="1">IF(AND(tblData[Date]&gt;StartDt2Generic,ISNUMBER(tblData[Day'# Generic])),betaGeneric/(deltaGeneric+betaPodeltaGeneric*EXP(-betaGeneric*tblData[Day'# Generic])),"")</f>
        <v>0.24777080286324604</v>
      </c>
      <c r="CB39" s="106" t="str">
        <f ca="1">IF(AND(ISNUMBER(tblData[Generic]),tblData[Date]&gt;StartDt2Generic),(tblData[Generic LogiP(t)]-tblData[[#This Row],[Generic]])^2,"")</f>
        <v/>
      </c>
      <c r="CC39" s="11" t="str">
        <f ca="1">IF(AND(ISNUMBER(tblData[Generic]),tblData[Date]&gt;StartDt2Generic),tblData[Generic LogiP(t)]/$CA$9,"")</f>
        <v/>
      </c>
      <c r="CD39" s="106" t="str">
        <f ca="1">IF(AND(ISNUMBER(tblData[Generic]),tblData[Date]&gt;StartDt2Generic),(tblData[Generic]-AVERAGE(tblData[Generic]))^2,"")</f>
        <v/>
      </c>
      <c r="CE39" s="11">
        <f>tblData[[#This Row],[Date]]-Generic100dt+1</f>
        <v>-30</v>
      </c>
      <c r="CG39" s="11"/>
      <c r="CH39" s="11" t="str">
        <f>IF(ISNUMBER(tblData[[#This Row],[Tests]]),tblData[[#This Row],[Tests]]-CH38,"")</f>
        <v/>
      </c>
      <c r="CI39" s="11" t="str">
        <f>IF(ISNUMBER(tblData[[#This Row],[NSW Under Investigation'']]),tblData[[#This Row],[NSW Under Investigation'']]-CG38,"")</f>
        <v/>
      </c>
      <c r="CJ39" s="11"/>
      <c r="CK39" s="11" t="str">
        <f>IF(AND(tblData[[#This Row],[NSW Test Day Number]]&gt;0,ISNUMBER(tblData[[#This Row],[NSW Test Day Number]])),betaTests/(deltaTests+betaPodeltaTests*EXP(-betaTests*tblData[[#This Row],[NSW Test Day Number]])),"")</f>
        <v/>
      </c>
      <c r="CL39" s="11" t="str">
        <f>IF(tblData[Tests]&gt;0,(tblData[[#This Row],[Tests]]-tblData[[#This Row],[NSW Test Logi]])^2,"")</f>
        <v/>
      </c>
      <c r="CM39" s="106" t="str">
        <f>IF(AND(ISNUMBER(tblData[Tests]),tblData[Date]&gt;StartDt2Tests),(tblData[Tests]-AVERAGE(tblData[Tests]))^2,"")</f>
        <v/>
      </c>
      <c r="CN39" s="11" t="str">
        <f>IF(ISNUMBER(tblData[Tests]),tblData[Tests]/$CN$9/100,"")</f>
        <v/>
      </c>
      <c r="CO39" s="11" t="str">
        <f>IF(AND(tblData[[#This Row],[NSW Test Day Number]]&gt;0,ISNUMBER(tblData[[#This Row],[NSW Test Day Number]])),TestsLogestB*TestsLogestM^tblData[[#This Row],[NSW Test Day Number]],"")</f>
        <v/>
      </c>
      <c r="CP39" s="11" t="str">
        <f>IF(AND(tblData[[#This Row],[NSW Test Day Number]]&gt;0,ISNUMBER(tblData[Tests])),(tblData[Tests]-tblData[[#This Row],[NSW Test Per Capita]])^2,"")</f>
        <v/>
      </c>
      <c r="CQ39" s="39">
        <f ca="1">IF(AND(tblData[Day '# NSW]&gt;0,ISNUMBER(tblData[[#This Row],[Day '# NSW]])),NSWLogestB*NSWLogestM^tblData[[#This Row],[Day '# NSW]]/$CR$9,"")</f>
        <v>14.410319713523061</v>
      </c>
      <c r="CR39" s="39">
        <f ca="1">IF(AND(ISNUMBER(tblData[NSW]),tblData[Date]&gt;StartDt2NSW),(tblData[NSW]/$CR$9-tblData[[#This Row],[NSW Cases LogEst]])^2,"")</f>
        <v>89.488282673965372</v>
      </c>
      <c r="CS39" s="11"/>
      <c r="CT39" s="11"/>
      <c r="CW39" s="25"/>
      <c r="CX39"/>
      <c r="DK39" s="25"/>
      <c r="DL39" s="25"/>
      <c r="DM39" s="25"/>
      <c r="DR39"/>
      <c r="DS39"/>
      <c r="DT39"/>
      <c r="DU39"/>
      <c r="EB39" s="25"/>
      <c r="EC39" s="25"/>
      <c r="ED39" s="25"/>
      <c r="EE39" s="25"/>
      <c r="EK39"/>
      <c r="EL39"/>
      <c r="EM39"/>
      <c r="EN39"/>
      <c r="EO39"/>
      <c r="EP39" s="25"/>
      <c r="ER39" s="25"/>
      <c r="ES39" s="25"/>
      <c r="ET39"/>
      <c r="EU39" s="25" t="s">
        <v>153</v>
      </c>
      <c r="EV39" s="69"/>
      <c r="EW39" s="26">
        <v>43855</v>
      </c>
      <c r="EY39" s="25">
        <v>1</v>
      </c>
      <c r="EZ39" s="25">
        <v>0.18458384557537055</v>
      </c>
      <c r="FA39" s="24">
        <v>1.2349487374940706E-6</v>
      </c>
      <c r="FB39" s="21">
        <v>1.3171361296767334E-2</v>
      </c>
      <c r="FC39" s="82">
        <v>149466.80778825187</v>
      </c>
      <c r="FD39" s="82">
        <v>3.1071550624512132</v>
      </c>
      <c r="FE39" s="12">
        <v>14.014028250422166</v>
      </c>
      <c r="FF39" s="84">
        <v>1.2349487374940706E-3</v>
      </c>
      <c r="FG39" s="26">
        <v>43905</v>
      </c>
      <c r="FH39" s="26" t="s">
        <v>486</v>
      </c>
      <c r="FI39" s="84"/>
      <c r="FJ39" s="84"/>
      <c r="FK39" s="19"/>
      <c r="FL39" s="26"/>
      <c r="FM39" s="25"/>
      <c r="FN39" s="18"/>
      <c r="FO39" s="25"/>
      <c r="FP39" s="25"/>
      <c r="FR39" s="25"/>
      <c r="FS39" s="19"/>
      <c r="FT39" s="72"/>
      <c r="FU39" s="25"/>
      <c r="FV39" s="148"/>
      <c r="FW39" s="25"/>
      <c r="FX39" s="25"/>
      <c r="FY39" s="25"/>
      <c r="FZ39" s="25"/>
      <c r="GC39" s="25"/>
    </row>
    <row r="40" spans="2:185" x14ac:dyDescent="0.25">
      <c r="B40" s="1">
        <v>43881</v>
      </c>
      <c r="C40">
        <v>0</v>
      </c>
      <c r="D40" s="25">
        <v>0</v>
      </c>
      <c r="E40">
        <v>4</v>
      </c>
      <c r="F40">
        <v>0</v>
      </c>
      <c r="G40">
        <v>5</v>
      </c>
      <c r="H40">
        <v>2</v>
      </c>
      <c r="I40">
        <v>0</v>
      </c>
      <c r="J40">
        <v>4</v>
      </c>
      <c r="K40">
        <v>0</v>
      </c>
      <c r="L40" s="12">
        <f>IF(ISNUMBER(tblData[[#This Row],[NSW]]),tblData[[#This Row],[New South Wales]]/$L$9,"")</f>
        <v>4.9504950495049505</v>
      </c>
      <c r="M40" s="25">
        <v>3</v>
      </c>
      <c r="N40" s="44">
        <f>IF(ISNUMBER(tblData[Italy]),tblData[Italy]/$N$9,"")</f>
        <v>0.49599074150615857</v>
      </c>
      <c r="O40">
        <v>13</v>
      </c>
      <c r="P40" s="106">
        <f>IF(ISNUMBER(tblData[US]),tblData[US]/$P$9,"")</f>
        <v>0.39486343900067283</v>
      </c>
      <c r="Q40">
        <v>104</v>
      </c>
      <c r="R40" s="19">
        <f>IF(ISNUMBER(tblData[SKorea]),tblData[SKorea]/$R$9,"")</f>
        <v>20.233463035019458</v>
      </c>
      <c r="S40">
        <v>9</v>
      </c>
      <c r="T40" s="12">
        <f>IF(ISNUMBER(tblData[UK]),tblData[UK]/$T$9,"")</f>
        <v>1.3546056592414208</v>
      </c>
      <c r="U40">
        <v>75077</v>
      </c>
      <c r="V40" s="20">
        <f>IF(ISNUMBER(tblData[China]),tblData[China]/$V$9,"")</f>
        <v>521.61300502271422</v>
      </c>
      <c r="W40">
        <v>84</v>
      </c>
      <c r="X40" s="106">
        <f>IF(ISNUMBER(tblData[Singapore]),tblData[Singapore]/$X$9,"")</f>
        <v>143.58974358974359</v>
      </c>
      <c r="Y40"/>
      <c r="Z40" s="20" t="str">
        <f>IF(AND(LEN(tblData[Generic])&gt;0,ISNUMBER(tblData[Generic])),tblData[Generic]/$Z$9,"")</f>
        <v/>
      </c>
      <c r="AA40" s="25">
        <f ca="1">IF(tblData[[#This Row],[Date]]&lt;StartDt2Italy,"",tblData[[#This Row],[Date]]-ItalyStart)</f>
        <v>21</v>
      </c>
      <c r="AB40" s="25">
        <f ca="1">IF(tblData[[#This Row],[Date]]&lt;=StartDt2US,"",tblData[[#This Row],[Date]]-USStart)</f>
        <v>29</v>
      </c>
      <c r="AC40" s="25">
        <f ca="1">IF(tblData[[#This Row],[Date]]&lt;StartDt2China,"",tblData[[#This Row],[Date]]-ChinaStart)</f>
        <v>29</v>
      </c>
      <c r="AD40" s="25">
        <f>IF(tblData[[#This Row],[Date]]&lt;=SKoreaStart,"",tblData[[#This Row],[Date]]-SKoreaStart)</f>
        <v>29</v>
      </c>
      <c r="AE40" s="25">
        <f ca="1">IF(tblData[[#This Row],[Date]]&lt;=StartDt2UK,"",tblData[[#This Row],[Date]]-UKStart)</f>
        <v>21</v>
      </c>
      <c r="AF40" s="25">
        <f>IF(tblData[[#This Row],[Date]]&lt;StartDt2Singapore,"",tblData[[#This Row],[Date]]-SingaporeStart)</f>
        <v>28</v>
      </c>
      <c r="AG40" s="25">
        <f ca="1">IF(tblData[[#This Row],[Date]]&lt;StartDt2Generic,"",tblData[[#This Row],[Date]]-GenericStart)</f>
        <v>29</v>
      </c>
      <c r="AH40">
        <f ca="1">IF(tblData[Date]&gt;StartDt2Au,tblData[Date]-AuStart,"")</f>
        <v>26</v>
      </c>
      <c r="AI40" s="25">
        <f>IF(tblData[New South Wales]&gt;=0,SUM(tblData[[#This Row],[Australian Capital Territory]:[Western Australia]]),"")</f>
        <v>15</v>
      </c>
      <c r="AJ40" s="12">
        <f>IF(ISNUMBER(tblData[Au]),tblData[Au]/$AE$9,"")</f>
        <v>5.9138937076170954</v>
      </c>
      <c r="AK40" s="19">
        <f ca="1">IF(ISNUMBER(tblData[[#This Row],[Day'# Aust]]),betaAu/(deltaAu+betaPodeltaAu*EXP(-betaAu*tblData[[#This Row],[Day'# Aust]])),"")</f>
        <v>0.72053757572670785</v>
      </c>
      <c r="AL40" s="62">
        <f ca="1">IF(ISNUMBER(tblData[Day'# Aust]),tblData[Au LogiP(t)]/$AJ$9,"")</f>
        <v>0.28407884234612357</v>
      </c>
      <c r="AM40" s="11">
        <f ca="1">IF(AND(tblData[Date]&gt;StartDt2Au,ISNUMBER(tblData[NSW])),(tblData[[#This Row],[Au LogiP(t)]]-tblData[[#This Row],[Au]])^2,"")</f>
        <v>203.90304712623291</v>
      </c>
      <c r="AN40" s="11">
        <f ca="1">IF(AND(ISNUMBER(tblData[Au]),tblData[Date]&gt;StartDt2Au),(tblData[Au]-AVERAGE(tblData[Au]))^2,"")</f>
        <v>183488.66503328402</v>
      </c>
      <c r="AO40" s="11">
        <f>tblData[[#This Row],[Date]]-Au100dt</f>
        <v>-23</v>
      </c>
      <c r="AP40">
        <f ca="1">IF(tblData[Date]&gt;StartDt2NSW,tblData[Date]-StartDt2NSW,"")</f>
        <v>26</v>
      </c>
      <c r="AQ40" s="25">
        <f>IF(tblData[[#This Row],[New South Wales]]&gt;0,tblData[[#This Row],[New South Wales]],"")</f>
        <v>4</v>
      </c>
      <c r="AR40" s="44">
        <f ca="1">IF(tblData[Date]&gt;StartDt2NSW,betaNSW/(deltaNSW+betaPodeltaNSW*EXP(-betaNSW*tblData[[#This Row],[Day '# NSW]])),"")</f>
        <v>0.48426890942883188</v>
      </c>
      <c r="AS40" s="12">
        <f ca="1">IF(AND(ISNUMBER(tblData[NSW]),tblData[Date]&gt;StartDt2NSW),(tblData[[#This Row],[NSW LogiP(t)]]-tblData[[#This Row],[NSW]])^2,"")</f>
        <v>12.360365101208735</v>
      </c>
      <c r="AT40" s="12">
        <f ca="1">IF(AND(tblData[Date]&gt;StartDt2NSW,ISNUMBER(tblData[Day'# Aust])),tblData[NSW LogiP(t)]/$AR$9,"")</f>
        <v>0.59934270968914838</v>
      </c>
      <c r="AU40" s="11">
        <f>tblData[[#This Row],[Date]]-NSW100dt+1</f>
        <v>-19</v>
      </c>
      <c r="AV40" s="11">
        <f ca="1">IF(AND(ISNUMBER(tblData[NSW]),tblData[Date]&gt;StartDt2NSW),(tblData[NSW]-AVERAGE(tblData[NSW]))^2,"")</f>
        <v>83990.760134425553</v>
      </c>
      <c r="AW40" s="39">
        <f ca="1">IF(AND(tblData[Date]&gt;StartDt2Italy,ISNUMBER(tblData[Days'# Italy])),betaItaly/(deltaItaly+betaPodeltaItaly*EXP(-betaItaly*tblData[Days'# Italy])),"")</f>
        <v>96.987684577313019</v>
      </c>
      <c r="AX40" s="11">
        <f ca="1">IF(AND(tblData[Date]&gt;StartDt2Italy,ISNUMBER(tblData[Italy])),(tblData[[#This Row],[Italy LogiP(t)]]-tblData[[#This Row],[Italy]])^2,"")</f>
        <v>8833.6848522044838</v>
      </c>
      <c r="AY40" s="39">
        <f ca="1">IF(AND(tblData[Date]&gt;StartDt2Italy,ISNUMBER(tblData[Days'# Italy])),tblData[[#This Row],[Italy LogiP(t)]]/$AW$9,"")</f>
        <v>16.034997863488968</v>
      </c>
      <c r="AZ40" s="39">
        <f ca="1">IF(AND(ISNUMBER(tblData[Italy]),tblData[Date]&gt;StartDt2Italy),(tblData[Italy]-AVERAGE(tblData[Italy]))^2,"")</f>
        <v>439983253.38271606</v>
      </c>
      <c r="BA40" s="11">
        <f>tblData[[#This Row],[Date]]-Italy100dt+1</f>
        <v>-6</v>
      </c>
      <c r="BB40" s="11">
        <f ca="1">IF(AND(tblData[Date]&gt;StartDt2US,ISNUMBER(tblData[[#This Row],[Days'# US]])),betaUS/(deltaUS+betaPodeltaUS*EXP(-betaUS*tblData[Days'# US])),"")</f>
        <v>3.7492051273735991</v>
      </c>
      <c r="BC40" s="11">
        <f ca="1">IF(AND(tblData[Date]&gt;StartDt2US,ISNUMBER(tblData[US])),(tblData[[#This Row],[US LogiP(t)]]-tblData[US])^2,"")</f>
        <v>85.577205775410903</v>
      </c>
      <c r="BD40" s="137">
        <f ca="1">IF(AND(tblData[Date]&gt;=StartDt2US,ISNUMBER(tblData[[#This Row],[Days'# US]])),tblData[[#This Row],[US LogiP(t)]]/$BB$9,"")</f>
        <v>0.11387877154720731</v>
      </c>
      <c r="BE40" s="137">
        <f ca="1">IF(AND(ISNUMBER(tblData[US]),tblData[Date]&gt;StartDt2US),(tblData[US]-AVERAGE(tblData[US]))^2,"")</f>
        <v>334950315.39158893</v>
      </c>
      <c r="BF40" s="11">
        <f>tblData[[#This Row],[Date]]-US100dt+1</f>
        <v>-22</v>
      </c>
      <c r="BG40" s="20">
        <f ca="1">IF(tblData[Date]&gt;StartDt2SKorea,betaSKorea/(deltaSKorea+betaPodeltaSKorea*EXP(-betaSKorea*(tblData[Date]-StartDt2SKorea))),"")</f>
        <v>405.50095167342846</v>
      </c>
      <c r="BH40" s="20">
        <f ca="1">IF(AND(tblData[Date]&gt;StartDt2SKorea,ISNUMBER(tblData[SKorea])),(tblData[[#This Row],[SKorea LogiP(t)]]-tblData[[#This Row],[SKorea]])^2,"")</f>
        <v>90902.823859983051</v>
      </c>
      <c r="BI40" s="20">
        <f ca="1">IF(tblData[Date]&gt;StartDt2SKorea,tblData[[#This Row],[SKorea LogiP(t)]]/$BG$9,"")</f>
        <v>78.891235734130049</v>
      </c>
      <c r="BJ40" s="137">
        <f ca="1">IF(AND(ISNUMBER(tblData[SKorea]),tblData[Date]&gt;StartDt2SKorea),(tblData[SKorea]-AVERAGE(tblData[SKorea]))^2,"")</f>
        <v>13367262.889307676</v>
      </c>
      <c r="BK40" s="11">
        <f>tblData[[#This Row],[Date]]-SKorea100dt+1</f>
        <v>-1</v>
      </c>
      <c r="BL40" s="137">
        <f ca="1">IF(AND(tblData[Date]&gt;StartDt2UK,ISNUMBER(tblData[Days'# UK])),betaUK/(deltaUK+betaPodeltaUK*EXP(-betaUK*tblData[Days'# UK])),"")</f>
        <v>7.8172320004733349</v>
      </c>
      <c r="BM40" s="20">
        <f ca="1">IF(AND(tblData[Date]&gt;StartDt2UK,ISNUMBER(tblData[UK])),(tblData[[#This Row],[UK LogiP(t)]]-tblData[[#This Row],[UK]])^2,"")</f>
        <v>1.3989401407043094</v>
      </c>
      <c r="BN40" s="20">
        <f ca="1">IF(ISNUMBER(tblData[Days'# UK]),tblData[[#This Row],[UK LogiP(t)]]/$BL$9,"")</f>
        <v>1.1765851897160347</v>
      </c>
      <c r="BO40" s="137">
        <f ca="1">IF(AND(ISNUMBER(tblData[UK]),tblData[Date]&gt;StartDt2UK),(tblData[UK]-AVERAGE(tblData[UK]))^2,"")</f>
        <v>9584331.4489795901</v>
      </c>
      <c r="BP40" s="11">
        <f>tblData[[#This Row],[Date]]-UK100dt</f>
        <v>-21</v>
      </c>
      <c r="BQ40" s="11">
        <f ca="1">IF(ISNUMBER(tblData[Days'# China]),betaChina/(deltaChina+betaPodeltaChina*EXP(-betaChina*tblData[Days'# China])),"")</f>
        <v>74916.540437458272</v>
      </c>
      <c r="BR40" s="11">
        <f ca="1">IF(ISNUMBER(tblData[China]),(tblData[[#This Row],[China LogiP(t)]]-tblData[[#This Row],[China]])^2,"")</f>
        <v>25747.271211082654</v>
      </c>
      <c r="BS40" s="11">
        <f ca="1">tblData[[#This Row],[China LogiP(t)]]/$BQ$9</f>
        <v>520.49817898275501</v>
      </c>
      <c r="BT40" s="137">
        <f ca="1">IF(AND(ISNUMBER(tblData[China]),tblData[Date]&gt;StartDt2China),(tblData[China]-AVERAGE(tblData[China]))^2,"")</f>
        <v>223443967.21305293</v>
      </c>
      <c r="BU40" s="11">
        <f>tblData[[#This Row],[Date]]-China100dt</f>
        <v>29</v>
      </c>
      <c r="BV40" s="106">
        <f>IF(ISNUMBER(tblData[Day'# Singapore]),betaSingapore/(deltaSingapore+betaPodeltaSingapore*EXP(-betaSingapore*tblData[Day'# Singapore])),"")</f>
        <v>39.864627233748053</v>
      </c>
      <c r="BW40" s="11">
        <f>IF(AND(ISNUMBER(tblData[Singapore]),tblData[Date]&gt;=StartDt2Singapore),(tblData[[#This Row],[Singapore LogiP(t)]]-tblData[[#This Row],[Singapore]])^2,"")</f>
        <v>1947.9311292160141</v>
      </c>
      <c r="BX40" s="106">
        <f>IF(ISNUMBER(tblData[Day'# Singapore]),tblData[Singapore LogiP(t)]/$BV$9,"")</f>
        <v>68.144661938030865</v>
      </c>
      <c r="BY40" s="106">
        <f>IF(AND(ISNUMBER(tblData[Singapore]),tblData[Date]&gt;StartDt2Singapore),(tblData[Singapore]-AVERAGE(tblData[Singapore]))^2,"")</f>
        <v>13208.807776234875</v>
      </c>
      <c r="BZ40" s="11">
        <f>tblData[[#This Row],[Date]]-Singapore100dt+1</f>
        <v>10</v>
      </c>
      <c r="CA40" s="11">
        <f ca="1">IF(AND(tblData[Date]&gt;StartDt2Generic,ISNUMBER(tblData[Day'# Generic])),betaGeneric/(deltaGeneric+betaPodeltaGeneric*EXP(-betaGeneric*tblData[Day'# Generic])),"")</f>
        <v>0.30167991511013947</v>
      </c>
      <c r="CB40" s="106" t="str">
        <f ca="1">IF(AND(ISNUMBER(tblData[Generic]),tblData[Date]&gt;StartDt2Generic),(tblData[Generic LogiP(t)]-tblData[[#This Row],[Generic]])^2,"")</f>
        <v/>
      </c>
      <c r="CC40" s="11" t="str">
        <f ca="1">IF(AND(ISNUMBER(tblData[Generic]),tblData[Date]&gt;StartDt2Generic),tblData[Generic LogiP(t)]/$CA$9,"")</f>
        <v/>
      </c>
      <c r="CD40" s="106" t="str">
        <f ca="1">IF(AND(ISNUMBER(tblData[Generic]),tblData[Date]&gt;StartDt2Generic),(tblData[Generic]-AVERAGE(tblData[Generic]))^2,"")</f>
        <v/>
      </c>
      <c r="CE40" s="11">
        <f>tblData[[#This Row],[Date]]-Generic100dt+1</f>
        <v>-29</v>
      </c>
      <c r="CG40" s="11"/>
      <c r="CH40" s="11" t="str">
        <f>IF(ISNUMBER(tblData[[#This Row],[Tests]]),tblData[[#This Row],[Tests]]-CH39,"")</f>
        <v/>
      </c>
      <c r="CI40" s="11" t="str">
        <f>IF(ISNUMBER(tblData[[#This Row],[NSW Under Investigation'']]),tblData[[#This Row],[NSW Under Investigation'']]-CG39,"")</f>
        <v/>
      </c>
      <c r="CJ40" s="11"/>
      <c r="CK40" s="11" t="str">
        <f>IF(AND(tblData[[#This Row],[NSW Test Day Number]]&gt;0,ISNUMBER(tblData[[#This Row],[NSW Test Day Number]])),betaTests/(deltaTests+betaPodeltaTests*EXP(-betaTests*tblData[[#This Row],[NSW Test Day Number]])),"")</f>
        <v/>
      </c>
      <c r="CL40" s="11" t="str">
        <f>IF(tblData[Tests]&gt;0,(tblData[[#This Row],[Tests]]-tblData[[#This Row],[NSW Test Logi]])^2,"")</f>
        <v/>
      </c>
      <c r="CM40" s="106" t="str">
        <f>IF(AND(ISNUMBER(tblData[Tests]),tblData[Date]&gt;StartDt2Tests),(tblData[Tests]-AVERAGE(tblData[Tests]))^2,"")</f>
        <v/>
      </c>
      <c r="CN40" s="11" t="str">
        <f>IF(ISNUMBER(tblData[Tests]),tblData[Tests]/$CN$9/100,"")</f>
        <v/>
      </c>
      <c r="CO40" s="11" t="str">
        <f>IF(AND(tblData[[#This Row],[NSW Test Day Number]]&gt;0,ISNUMBER(tblData[[#This Row],[NSW Test Day Number]])),TestsLogestB*TestsLogestM^tblData[[#This Row],[NSW Test Day Number]],"")</f>
        <v/>
      </c>
      <c r="CP40" s="11" t="str">
        <f>IF(AND(tblData[[#This Row],[NSW Test Day Number]]&gt;0,ISNUMBER(tblData[Tests])),(tblData[Tests]-tblData[[#This Row],[NSW Test Per Capita]])^2,"")</f>
        <v/>
      </c>
      <c r="CQ40" s="39">
        <f ca="1">IF(AND(tblData[Day '# NSW]&gt;0,ISNUMBER(tblData[[#This Row],[Day '# NSW]])),NSWLogestB*NSWLogestM^tblData[[#This Row],[Day '# NSW]]/$CR$9,"")</f>
        <v>16.037804988598584</v>
      </c>
      <c r="CR40" s="39">
        <f ca="1">IF(AND(ISNUMBER(tblData[NSW]),tblData[Date]&gt;StartDt2NSW),(tblData[NSW]/$CR$9-tblData[[#This Row],[NSW Cases LogEst]])^2,"")</f>
        <v>122.92844168552445</v>
      </c>
      <c r="CS40" s="11"/>
      <c r="CT40" s="11"/>
      <c r="CW40" s="25"/>
      <c r="CX40"/>
      <c r="DK40" s="25"/>
      <c r="DL40" s="25"/>
      <c r="DM40" s="25"/>
      <c r="DR40"/>
      <c r="DS40"/>
      <c r="DT40"/>
      <c r="DU40"/>
      <c r="EB40" s="25"/>
      <c r="EC40" s="25"/>
      <c r="ED40" s="25"/>
      <c r="EE40" s="25"/>
      <c r="EK40"/>
      <c r="EL40"/>
      <c r="EM40"/>
      <c r="EN40"/>
      <c r="EO40"/>
      <c r="EP40" s="25"/>
      <c r="ER40" s="25"/>
      <c r="ES40" s="25"/>
      <c r="ET40"/>
      <c r="EU40" s="25" t="s">
        <v>153</v>
      </c>
      <c r="EV40" s="69"/>
      <c r="EW40" s="26">
        <v>43855</v>
      </c>
      <c r="EY40" s="25">
        <v>1</v>
      </c>
      <c r="EZ40" s="22">
        <v>0.19036954183670268</v>
      </c>
      <c r="FA40" s="24">
        <v>1.0000000000000751E-10</v>
      </c>
      <c r="FB40" s="21">
        <v>1.0111170011545663E-2</v>
      </c>
      <c r="FC40" s="82">
        <v>1903695418.3668838</v>
      </c>
      <c r="FD40" s="82">
        <v>3.2111653832176152</v>
      </c>
      <c r="FE40" s="34">
        <v>18.827647207822032</v>
      </c>
      <c r="FF40" s="84">
        <v>1.0000000000000751E-7</v>
      </c>
      <c r="FG40" s="26">
        <v>43906</v>
      </c>
      <c r="FH40" s="26" t="s">
        <v>675</v>
      </c>
      <c r="FI40" s="84"/>
      <c r="FJ40" s="84">
        <v>171</v>
      </c>
      <c r="FK40" s="19">
        <v>43906</v>
      </c>
      <c r="FL40" s="26">
        <v>52</v>
      </c>
      <c r="FM40" s="25" t="s">
        <v>676</v>
      </c>
      <c r="FN40" s="18"/>
      <c r="FO40" s="25" t="s">
        <v>677</v>
      </c>
      <c r="FP40" s="25" t="s">
        <v>678</v>
      </c>
      <c r="FR40" s="25"/>
      <c r="FS40" s="19"/>
      <c r="FT40" s="72"/>
      <c r="FU40" s="25"/>
      <c r="FV40" s="148"/>
      <c r="FW40" s="25"/>
      <c r="FX40" s="25"/>
      <c r="FY40" s="25"/>
      <c r="FZ40" s="25"/>
      <c r="GA40" s="25"/>
      <c r="GC40" s="25"/>
    </row>
    <row r="41" spans="2:185" x14ac:dyDescent="0.25">
      <c r="B41" s="1">
        <v>43882</v>
      </c>
      <c r="C41">
        <v>4</v>
      </c>
      <c r="D41" s="25">
        <v>0</v>
      </c>
      <c r="E41">
        <v>4</v>
      </c>
      <c r="F41">
        <v>0</v>
      </c>
      <c r="G41">
        <v>5</v>
      </c>
      <c r="H41">
        <v>2</v>
      </c>
      <c r="I41">
        <v>0</v>
      </c>
      <c r="J41">
        <v>4</v>
      </c>
      <c r="K41">
        <v>0</v>
      </c>
      <c r="L41" s="12">
        <f>IF(ISNUMBER(tblData[[#This Row],[NSW]]),tblData[[#This Row],[New South Wales]]/$L$9,"")</f>
        <v>4.9504950495049505</v>
      </c>
      <c r="M41" s="25">
        <v>20</v>
      </c>
      <c r="N41" s="44">
        <f>IF(ISNUMBER(tblData[Italy]),tblData[Italy]/$N$9,"")</f>
        <v>3.3066049433743903</v>
      </c>
      <c r="O41">
        <v>15</v>
      </c>
      <c r="P41" s="106">
        <f>IF(ISNUMBER(tblData[US]),tblData[US]/$P$9,"")</f>
        <v>0.45561166038539175</v>
      </c>
      <c r="Q41">
        <v>204</v>
      </c>
      <c r="R41" s="19">
        <f>IF(ISNUMBER(tblData[SKorea]),tblData[SKorea]/$R$9,"")</f>
        <v>39.688715953307394</v>
      </c>
      <c r="S41">
        <v>9</v>
      </c>
      <c r="T41" s="12">
        <f>IF(ISNUMBER(tblData[UK]),tblData[UK]/$T$9,"")</f>
        <v>1.3546056592414208</v>
      </c>
      <c r="U41">
        <v>75550</v>
      </c>
      <c r="V41" s="20">
        <f>IF(ISNUMBER(tblData[China]),tblData[China]/$V$9,"")</f>
        <v>524.89927047519291</v>
      </c>
      <c r="W41">
        <v>85</v>
      </c>
      <c r="X41" s="106">
        <f>IF(ISNUMBER(tblData[Singapore]),tblData[Singapore]/$X$9,"")</f>
        <v>145.29914529914529</v>
      </c>
      <c r="Y41"/>
      <c r="Z41" s="20" t="str">
        <f>IF(AND(LEN(tblData[Generic])&gt;0,ISNUMBER(tblData[Generic])),tblData[Generic]/$Z$9,"")</f>
        <v/>
      </c>
      <c r="AA41" s="25">
        <f ca="1">IF(tblData[[#This Row],[Date]]&lt;StartDt2Italy,"",tblData[[#This Row],[Date]]-ItalyStart)</f>
        <v>22</v>
      </c>
      <c r="AB41" s="25">
        <f ca="1">IF(tblData[[#This Row],[Date]]&lt;=StartDt2US,"",tblData[[#This Row],[Date]]-USStart)</f>
        <v>30</v>
      </c>
      <c r="AC41" s="25">
        <f ca="1">IF(tblData[[#This Row],[Date]]&lt;StartDt2China,"",tblData[[#This Row],[Date]]-ChinaStart)</f>
        <v>30</v>
      </c>
      <c r="AD41" s="25">
        <f>IF(tblData[[#This Row],[Date]]&lt;=SKoreaStart,"",tblData[[#This Row],[Date]]-SKoreaStart)</f>
        <v>30</v>
      </c>
      <c r="AE41" s="25">
        <f ca="1">IF(tblData[[#This Row],[Date]]&lt;=StartDt2UK,"",tblData[[#This Row],[Date]]-UKStart)</f>
        <v>22</v>
      </c>
      <c r="AF41" s="25">
        <f>IF(tblData[[#This Row],[Date]]&lt;StartDt2Singapore,"",tblData[[#This Row],[Date]]-SingaporeStart)</f>
        <v>29</v>
      </c>
      <c r="AG41" s="25">
        <f ca="1">IF(tblData[[#This Row],[Date]]&lt;StartDt2Generic,"",tblData[[#This Row],[Date]]-GenericStart)</f>
        <v>30</v>
      </c>
      <c r="AH41">
        <f ca="1">IF(tblData[Date]&gt;StartDt2Au,tblData[Date]-AuStart,"")</f>
        <v>27</v>
      </c>
      <c r="AI41" s="25">
        <f>IF(tblData[New South Wales]&gt;=0,SUM(tblData[[#This Row],[Australian Capital Territory]:[Western Australia]]),"")</f>
        <v>15</v>
      </c>
      <c r="AJ41" s="12">
        <f>IF(ISNUMBER(tblData[Au]),tblData[Au]/$AE$9,"")</f>
        <v>5.9138937076170954</v>
      </c>
      <c r="AK41" s="19">
        <f ca="1">IF(ISNUMBER(tblData[[#This Row],[Day'# Aust]]),betaAu/(deltaAu+betaPodeltaAu*EXP(-betaAu*tblData[[#This Row],[Day'# Aust]])),"")</f>
        <v>0.92801258688693311</v>
      </c>
      <c r="AL41" s="62">
        <f ca="1">IF(ISNUMBER(tblData[Day'# Aust]),tblData[Au LogiP(t)]/$AJ$9,"")</f>
        <v>0.36587785321200644</v>
      </c>
      <c r="AM41" s="11">
        <f ca="1">IF(AND(tblData[Date]&gt;StartDt2Au,ISNUMBER(tblData[NSW])),(tblData[[#This Row],[Au LogiP(t)]]-tblData[[#This Row],[Au]])^2,"")</f>
        <v>198.02082975481261</v>
      </c>
      <c r="AN41" s="11">
        <f ca="1">IF(AND(ISNUMBER(tblData[Au]),tblData[Date]&gt;StartDt2Au),(tblData[Au]-AVERAGE(tblData[Au]))^2,"")</f>
        <v>183488.66503328402</v>
      </c>
      <c r="AO41" s="11">
        <f>tblData[[#This Row],[Date]]-Au100dt</f>
        <v>-22</v>
      </c>
      <c r="AP41">
        <f ca="1">IF(tblData[Date]&gt;StartDt2NSW,tblData[Date]-StartDt2NSW,"")</f>
        <v>27</v>
      </c>
      <c r="AQ41" s="25">
        <f>IF(tblData[[#This Row],[New South Wales]]&gt;0,tblData[[#This Row],[New South Wales]],"")</f>
        <v>4</v>
      </c>
      <c r="AR41" s="44">
        <f ca="1">IF(tblData[Date]&gt;StartDt2NSW,betaNSW/(deltaNSW+betaPodeltaNSW*EXP(-betaNSW*tblData[[#This Row],[Day '# NSW]])),"")</f>
        <v>0.61424696817671554</v>
      </c>
      <c r="AS41" s="12">
        <f ca="1">IF(AND(ISNUMBER(tblData[NSW]),tblData[Date]&gt;StartDt2NSW),(tblData[[#This Row],[NSW LogiP(t)]]-tblData[[#This Row],[NSW]])^2,"")</f>
        <v>11.463323592500565</v>
      </c>
      <c r="AT41" s="12">
        <f ca="1">IF(AND(tblData[Date]&gt;StartDt2NSW,ISNUMBER(tblData[Day'# Aust])),tblData[NSW LogiP(t)]/$AR$9,"")</f>
        <v>0.76020664378306368</v>
      </c>
      <c r="AU41" s="11">
        <f>tblData[[#This Row],[Date]]-NSW100dt+1</f>
        <v>-18</v>
      </c>
      <c r="AV41" s="11">
        <f ca="1">IF(AND(ISNUMBER(tblData[NSW]),tblData[Date]&gt;StartDt2NSW),(tblData[NSW]-AVERAGE(tblData[NSW]))^2,"")</f>
        <v>83990.760134425553</v>
      </c>
      <c r="AW41" s="39">
        <f ca="1">IF(AND(tblData[Date]&gt;StartDt2Italy,ISNUMBER(tblData[Days'# Italy])),betaItaly/(deltaItaly+betaPodeltaItaly*EXP(-betaItaly*tblData[Days'# Italy])),"")</f>
        <v>125.32711616249804</v>
      </c>
      <c r="AX41" s="11">
        <f ca="1">IF(AND(tblData[Date]&gt;StartDt2Italy,ISNUMBER(tblData[Italy])),(tblData[[#This Row],[Italy LogiP(t)]]-tblData[[#This Row],[Italy]])^2,"")</f>
        <v>11093.801399108357</v>
      </c>
      <c r="AY41" s="39">
        <f ca="1">IF(AND(tblData[Date]&gt;StartDt2Italy,ISNUMBER(tblData[Days'# Italy])),tblData[[#This Row],[Italy LogiP(t)]]/$AW$9,"")</f>
        <v>20.720363092088625</v>
      </c>
      <c r="AZ41" s="39">
        <f ca="1">IF(AND(ISNUMBER(tblData[Italy]),tblData[Date]&gt;StartDt2Italy),(tblData[Italy]-AVERAGE(tblData[Italy]))^2,"")</f>
        <v>439270365.93827158</v>
      </c>
      <c r="BA41" s="11">
        <f>tblData[[#This Row],[Date]]-Italy100dt+1</f>
        <v>-5</v>
      </c>
      <c r="BB41" s="11">
        <f ca="1">IF(AND(tblData[Date]&gt;StartDt2US,ISNUMBER(tblData[[#This Row],[Days'# US]])),betaUS/(deltaUS+betaPodeltaUS*EXP(-betaUS*tblData[Days'# US])),"")</f>
        <v>4.9794081979439468</v>
      </c>
      <c r="BC41" s="11">
        <f ca="1">IF(AND(tblData[Date]&gt;StartDt2US,ISNUMBER(tblData[US])),(tblData[[#This Row],[US LogiP(t)]]-tblData[US])^2,"")</f>
        <v>100.41226006343298</v>
      </c>
      <c r="BD41" s="137">
        <f ca="1">IF(AND(tblData[Date]&gt;=StartDt2US,ISNUMBER(tblData[[#This Row],[Days'# US]])),tblData[[#This Row],[US LogiP(t)]]/$BB$9,"")</f>
        <v>0.15124509578679154</v>
      </c>
      <c r="BE41" s="137">
        <f ca="1">IF(AND(ISNUMBER(tblData[US]),tblData[Date]&gt;StartDt2US),(tblData[US]-AVERAGE(tblData[US]))^2,"")</f>
        <v>334877112.80003965</v>
      </c>
      <c r="BF41" s="11">
        <f>tblData[[#This Row],[Date]]-US100dt+1</f>
        <v>-21</v>
      </c>
      <c r="BG41" s="20">
        <f ca="1">IF(tblData[Date]&gt;StartDt2SKorea,betaSKorea/(deltaSKorea+betaPodeltaSKorea*EXP(-betaSKorea*(tblData[Date]-StartDt2SKorea))),"")</f>
        <v>519.67730639579406</v>
      </c>
      <c r="BH41" s="20">
        <f ca="1">IF(AND(tblData[Date]&gt;StartDt2SKorea,ISNUMBER(tblData[SKorea])),(tblData[[#This Row],[SKorea LogiP(t)]]-tblData[[#This Row],[SKorea]])^2,"")</f>
        <v>99652.161773304048</v>
      </c>
      <c r="BI41" s="20">
        <f ca="1">IF(tblData[Date]&gt;StartDt2SKorea,tblData[[#This Row],[SKorea LogiP(t)]]/$BG$9,"")</f>
        <v>101.10453431824787</v>
      </c>
      <c r="BJ41" s="137">
        <f ca="1">IF(AND(ISNUMBER(tblData[SKorea]),tblData[Date]&gt;StartDt2SKorea),(tblData[SKorea]-AVERAGE(tblData[SKorea]))^2,"")</f>
        <v>12646037.537195001</v>
      </c>
      <c r="BK41" s="11">
        <f>tblData[[#This Row],[Date]]-SKorea100dt+1</f>
        <v>0</v>
      </c>
      <c r="BL41" s="137">
        <f ca="1">IF(AND(tblData[Date]&gt;StartDt2UK,ISNUMBER(tblData[Days'# UK])),betaUK/(deltaUK+betaPodeltaUK*EXP(-betaUK*tblData[Days'# UK])),"")</f>
        <v>9.6792203383596274</v>
      </c>
      <c r="BM41" s="20">
        <f ca="1">IF(AND(tblData[Date]&gt;StartDt2UK,ISNUMBER(tblData[UK])),(tblData[[#This Row],[UK LogiP(t)]]-tblData[[#This Row],[UK]])^2,"")</f>
        <v>0.46134026804136669</v>
      </c>
      <c r="BN41" s="20">
        <f ca="1">IF(ISNUMBER(tblData[Days'# UK]),tblData[[#This Row],[UK LogiP(t)]]/$BL$9,"")</f>
        <v>1.456836294154068</v>
      </c>
      <c r="BO41" s="137">
        <f ca="1">IF(AND(ISNUMBER(tblData[UK]),tblData[Date]&gt;StartDt2UK),(tblData[UK]-AVERAGE(tblData[UK]))^2,"")</f>
        <v>9584331.4489795901</v>
      </c>
      <c r="BP41" s="11">
        <f>tblData[[#This Row],[Date]]-UK100dt</f>
        <v>-20</v>
      </c>
      <c r="BQ41" s="11">
        <f ca="1">IF(ISNUMBER(tblData[Days'# China]),betaChina/(deltaChina+betaPodeltaChina*EXP(-betaChina*tblData[Days'# China])),"")</f>
        <v>76087.443853799137</v>
      </c>
      <c r="BR41" s="11">
        <f ca="1">IF(ISNUMBER(tblData[China]),(tblData[[#This Row],[China LogiP(t)]]-tblData[[#This Row],[China]])^2,"")</f>
        <v>288845.89598646847</v>
      </c>
      <c r="BS41" s="11">
        <f ca="1">tblData[[#This Row],[China LogiP(t)]]/$BQ$9</f>
        <v>528.63327294747012</v>
      </c>
      <c r="BT41" s="137">
        <f ca="1">IF(AND(ISNUMBER(tblData[China]),tblData[Date]&gt;StartDt2China),(tblData[China]-AVERAGE(tblData[China]))^2,"")</f>
        <v>237808544.18488392</v>
      </c>
      <c r="BU41" s="11">
        <f>tblData[[#This Row],[Date]]-China100dt</f>
        <v>30</v>
      </c>
      <c r="BV41" s="106">
        <f>IF(ISNUMBER(tblData[Day'# Singapore]),betaSingapore/(deltaSingapore+betaPodeltaSingapore*EXP(-betaSingapore*tblData[Day'# Singapore])),"")</f>
        <v>43.166084464744131</v>
      </c>
      <c r="BW41" s="11">
        <f>IF(AND(ISNUMBER(tblData[Singapore]),tblData[Date]&gt;=StartDt2Singapore),(tblData[[#This Row],[Singapore LogiP(t)]]-tblData[[#This Row],[Singapore]])^2,"")</f>
        <v>1750.0764890109224</v>
      </c>
      <c r="BX41" s="106">
        <f>IF(ISNUMBER(tblData[Day'# Singapore]),tblData[Singapore LogiP(t)]/$BV$9,"")</f>
        <v>73.788178572212189</v>
      </c>
      <c r="BY41" s="106">
        <f>IF(AND(ISNUMBER(tblData[Singapore]),tblData[Date]&gt;StartDt2Singapore),(tblData[Singapore]-AVERAGE(tblData[Singapore]))^2,"")</f>
        <v>12979.948621305297</v>
      </c>
      <c r="BZ41" s="11">
        <f>tblData[[#This Row],[Date]]-Singapore100dt+1</f>
        <v>11</v>
      </c>
      <c r="CA41" s="11">
        <f ca="1">IF(AND(tblData[Date]&gt;StartDt2Generic,ISNUMBER(tblData[Day'# Generic])),betaGeneric/(deltaGeneric+betaPodeltaGeneric*EXP(-betaGeneric*tblData[Day'# Generic])),"")</f>
        <v>0.3673171705277028</v>
      </c>
      <c r="CB41" s="106" t="str">
        <f ca="1">IF(AND(ISNUMBER(tblData[Generic]),tblData[Date]&gt;StartDt2Generic),(tblData[Generic LogiP(t)]-tblData[[#This Row],[Generic]])^2,"")</f>
        <v/>
      </c>
      <c r="CC41" s="11" t="str">
        <f ca="1">IF(AND(ISNUMBER(tblData[Generic]),tblData[Date]&gt;StartDt2Generic),tblData[Generic LogiP(t)]/$CA$9,"")</f>
        <v/>
      </c>
      <c r="CD41" s="106" t="str">
        <f ca="1">IF(AND(ISNUMBER(tblData[Generic]),tblData[Date]&gt;StartDt2Generic),(tblData[Generic]-AVERAGE(tblData[Generic]))^2,"")</f>
        <v/>
      </c>
      <c r="CE41" s="11">
        <f>tblData[[#This Row],[Date]]-Generic100dt+1</f>
        <v>-28</v>
      </c>
      <c r="CG41" s="11"/>
      <c r="CH41" s="11" t="str">
        <f>IF(ISNUMBER(tblData[[#This Row],[Tests]]),tblData[[#This Row],[Tests]]-CH40,"")</f>
        <v/>
      </c>
      <c r="CI41" s="11" t="str">
        <f>IF(ISNUMBER(tblData[[#This Row],[NSW Under Investigation'']]),tblData[[#This Row],[NSW Under Investigation'']]-CG40,"")</f>
        <v/>
      </c>
      <c r="CJ41" s="11"/>
      <c r="CK41" s="11" t="str">
        <f>IF(AND(tblData[[#This Row],[NSW Test Day Number]]&gt;0,ISNUMBER(tblData[[#This Row],[NSW Test Day Number]])),betaTests/(deltaTests+betaPodeltaTests*EXP(-betaTests*tblData[[#This Row],[NSW Test Day Number]])),"")</f>
        <v/>
      </c>
      <c r="CL41" s="11" t="str">
        <f>IF(tblData[Tests]&gt;0,(tblData[[#This Row],[Tests]]-tblData[[#This Row],[NSW Test Logi]])^2,"")</f>
        <v/>
      </c>
      <c r="CM41" s="106" t="str">
        <f>IF(AND(ISNUMBER(tblData[Tests]),tblData[Date]&gt;StartDt2Tests),(tblData[Tests]-AVERAGE(tblData[Tests]))^2,"")</f>
        <v/>
      </c>
      <c r="CN41" s="11" t="str">
        <f>IF(ISNUMBER(tblData[Tests]),tblData[Tests]/$CN$9/100,"")</f>
        <v/>
      </c>
      <c r="CO41" s="11" t="str">
        <f>IF(AND(tblData[[#This Row],[NSW Test Day Number]]&gt;0,ISNUMBER(tblData[[#This Row],[NSW Test Day Number]])),TestsLogestB*TestsLogestM^tblData[[#This Row],[NSW Test Day Number]],"")</f>
        <v/>
      </c>
      <c r="CP41" s="11" t="str">
        <f>IF(AND(tblData[[#This Row],[NSW Test Day Number]]&gt;0,ISNUMBER(tblData[Tests])),(tblData[Tests]-tblData[[#This Row],[NSW Test Per Capita]])^2,"")</f>
        <v/>
      </c>
      <c r="CQ41" s="39">
        <f ca="1">IF(AND(tblData[Day '# NSW]&gt;0,ISNUMBER(tblData[[#This Row],[Day '# NSW]])),NSWLogestB*NSWLogestM^tblData[[#This Row],[Day '# NSW]]/$CR$9,"")</f>
        <v>17.849096617262646</v>
      </c>
      <c r="CR41" s="39">
        <f ca="1">IF(AND(ISNUMBER(tblData[NSW]),tblData[Date]&gt;StartDt2NSW),(tblData[NSW]/$CR$9-tblData[[#This Row],[NSW Cases LogEst]])^2,"")</f>
        <v>166.37392240376124</v>
      </c>
      <c r="CS41" s="11"/>
      <c r="CT41" s="11"/>
      <c r="CW41" s="25"/>
      <c r="CX41"/>
      <c r="DK41" s="25"/>
      <c r="DL41" s="25"/>
      <c r="DM41" s="25"/>
      <c r="DR41"/>
      <c r="DS41"/>
      <c r="DT41"/>
      <c r="DU41"/>
      <c r="EB41" s="25"/>
      <c r="EC41" s="25"/>
      <c r="ED41" s="25"/>
      <c r="EE41" s="25"/>
      <c r="EK41"/>
      <c r="EL41"/>
      <c r="EM41"/>
      <c r="EN41"/>
      <c r="EO41"/>
      <c r="EP41" s="25"/>
      <c r="ER41" s="25"/>
      <c r="ES41" s="25"/>
      <c r="ET41"/>
      <c r="EU41" s="25" t="s">
        <v>153</v>
      </c>
      <c r="EV41" s="69"/>
      <c r="EW41" s="26">
        <v>43855</v>
      </c>
      <c r="EY41" s="25">
        <v>1</v>
      </c>
      <c r="EZ41" s="22">
        <v>0.19065324956550231</v>
      </c>
      <c r="FA41" s="24">
        <v>1.0000000000000751E-10</v>
      </c>
      <c r="FB41" s="21">
        <v>1.0112692767979454E-2</v>
      </c>
      <c r="FC41" s="82">
        <v>1906532495.6548798</v>
      </c>
      <c r="FD41" s="82">
        <v>3.3224128526326897</v>
      </c>
      <c r="FE41" s="34">
        <v>18.852866782245194</v>
      </c>
      <c r="FF41" s="84">
        <v>1.0000000000000751E-7</v>
      </c>
      <c r="FG41" s="26">
        <v>43907</v>
      </c>
      <c r="FH41" s="26" t="s">
        <v>658</v>
      </c>
      <c r="FI41" s="84"/>
      <c r="FJ41" s="84">
        <v>210</v>
      </c>
      <c r="FK41" s="19" t="s">
        <v>659</v>
      </c>
      <c r="FL41" s="26">
        <v>43907</v>
      </c>
      <c r="FM41" s="25">
        <v>53</v>
      </c>
      <c r="FN41" s="18" t="s">
        <v>660</v>
      </c>
      <c r="FO41" s="25"/>
      <c r="FP41" s="25" t="s">
        <v>661</v>
      </c>
      <c r="FR41" s="25"/>
      <c r="FS41" s="19"/>
      <c r="FT41" s="72"/>
      <c r="FU41" s="25"/>
      <c r="FV41" s="148"/>
      <c r="FW41" s="25"/>
      <c r="FX41" s="25"/>
      <c r="FZ41" s="25"/>
      <c r="GC41" s="25"/>
    </row>
    <row r="42" spans="2:185" x14ac:dyDescent="0.25">
      <c r="B42" s="1">
        <v>43883</v>
      </c>
      <c r="C42">
        <v>7</v>
      </c>
      <c r="D42" s="25">
        <v>0</v>
      </c>
      <c r="E42">
        <v>4</v>
      </c>
      <c r="F42">
        <v>0</v>
      </c>
      <c r="G42">
        <v>5</v>
      </c>
      <c r="H42">
        <v>2</v>
      </c>
      <c r="I42">
        <v>0</v>
      </c>
      <c r="J42">
        <v>4</v>
      </c>
      <c r="K42">
        <v>0</v>
      </c>
      <c r="L42" s="12">
        <f>IF(ISNUMBER(tblData[[#This Row],[NSW]]),tblData[[#This Row],[New South Wales]]/$L$9,"")</f>
        <v>4.9504950495049505</v>
      </c>
      <c r="M42" s="25">
        <v>62</v>
      </c>
      <c r="N42" s="106">
        <f>IF(ISNUMBER(tblData[Italy]),tblData[Italy]/$N$9,"")</f>
        <v>10.250475324460611</v>
      </c>
      <c r="O42">
        <v>15</v>
      </c>
      <c r="P42" s="106">
        <f>IF(ISNUMBER(tblData[US]),tblData[US]/$P$9,"")</f>
        <v>0.45561166038539175</v>
      </c>
      <c r="Q42">
        <v>433</v>
      </c>
      <c r="R42" s="19">
        <f>IF(ISNUMBER(tblData[SKorea]),tblData[SKorea]/$R$9,"")</f>
        <v>84.241245136186777</v>
      </c>
      <c r="S42">
        <v>9</v>
      </c>
      <c r="T42" s="12">
        <f>IF(ISNUMBER(tblData[UK]),tblData[UK]/$T$9,"")</f>
        <v>1.3546056592414208</v>
      </c>
      <c r="U42">
        <v>77001</v>
      </c>
      <c r="V42" s="20">
        <f>IF(ISNUMBER(tblData[China]),tblData[China]/$V$9,"")</f>
        <v>534.98039345943528</v>
      </c>
      <c r="W42">
        <v>85</v>
      </c>
      <c r="X42" s="106">
        <f>IF(ISNUMBER(tblData[Singapore]),tblData[Singapore]/$X$9,"")</f>
        <v>145.29914529914529</v>
      </c>
      <c r="Y42"/>
      <c r="Z42" s="20" t="str">
        <f>IF(AND(LEN(tblData[Generic])&gt;0,ISNUMBER(tblData[Generic])),tblData[Generic]/$Z$9,"")</f>
        <v/>
      </c>
      <c r="AA42" s="25">
        <f ca="1">IF(tblData[[#This Row],[Date]]&lt;StartDt2Italy,"",tblData[[#This Row],[Date]]-ItalyStart)</f>
        <v>23</v>
      </c>
      <c r="AB42" s="25">
        <f ca="1">IF(tblData[[#This Row],[Date]]&lt;=StartDt2US,"",tblData[[#This Row],[Date]]-USStart)</f>
        <v>31</v>
      </c>
      <c r="AC42" s="25">
        <f ca="1">IF(tblData[[#This Row],[Date]]&lt;StartDt2China,"",tblData[[#This Row],[Date]]-ChinaStart)</f>
        <v>31</v>
      </c>
      <c r="AD42" s="25">
        <f>IF(tblData[[#This Row],[Date]]&lt;=SKoreaStart,"",tblData[[#This Row],[Date]]-SKoreaStart)</f>
        <v>31</v>
      </c>
      <c r="AE42" s="25">
        <f ca="1">IF(tblData[[#This Row],[Date]]&lt;=StartDt2UK,"",tblData[[#This Row],[Date]]-UKStart)</f>
        <v>23</v>
      </c>
      <c r="AF42" s="25">
        <f>IF(tblData[[#This Row],[Date]]&lt;StartDt2Singapore,"",tblData[[#This Row],[Date]]-SingaporeStart)</f>
        <v>30</v>
      </c>
      <c r="AG42" s="25">
        <f ca="1">IF(tblData[[#This Row],[Date]]&lt;StartDt2Generic,"",tblData[[#This Row],[Date]]-GenericStart)</f>
        <v>31</v>
      </c>
      <c r="AH42">
        <f ca="1">IF(tblData[Date]&gt;StartDt2Au,tblData[Date]-AuStart,"")</f>
        <v>28</v>
      </c>
      <c r="AI42" s="25">
        <f>IF(tblData[New South Wales]&gt;=0,SUM(tblData[[#This Row],[Australian Capital Territory]:[Western Australia]]),"")</f>
        <v>15</v>
      </c>
      <c r="AJ42" s="12">
        <f>IF(ISNUMBER(tblData[Au]),tblData[Au]/$AE$9,"")</f>
        <v>5.9138937076170954</v>
      </c>
      <c r="AK42" s="19">
        <f ca="1">IF(ISNUMBER(tblData[[#This Row],[Day'# Aust]]),betaAu/(deltaAu+betaPodeltaAu*EXP(-betaAu*tblData[[#This Row],[Day'# Aust]])),"")</f>
        <v>1.1952173820036789</v>
      </c>
      <c r="AL42" s="62">
        <f ca="1">IF(ISNUMBER(tblData[Day'# Aust]),tblData[Au LogiP(t)]/$AJ$9,"")</f>
        <v>0.47122590364440897</v>
      </c>
      <c r="AM42" s="11">
        <f ca="1">IF(AND(tblData[Date]&gt;StartDt2Au,ISNUMBER(tblData[NSW])),(tblData[[#This Row],[Au LogiP(t)]]-tblData[[#This Row],[Au]])^2,"")</f>
        <v>190.57202313013335</v>
      </c>
      <c r="AN42" s="11">
        <f ca="1">IF(AND(ISNUMBER(tblData[Au]),tblData[Date]&gt;StartDt2Au),(tblData[Au]-AVERAGE(tblData[Au]))^2,"")</f>
        <v>183488.66503328402</v>
      </c>
      <c r="AO42" s="11">
        <f>tblData[[#This Row],[Date]]-Au100dt</f>
        <v>-21</v>
      </c>
      <c r="AP42">
        <f ca="1">IF(tblData[Date]&gt;StartDt2NSW,tblData[Date]-StartDt2NSW,"")</f>
        <v>28</v>
      </c>
      <c r="AQ42" s="25">
        <f>IF(tblData[[#This Row],[New South Wales]]&gt;0,tblData[[#This Row],[New South Wales]],"")</f>
        <v>4</v>
      </c>
      <c r="AR42" s="44">
        <f ca="1">IF(tblData[Date]&gt;StartDt2NSW,betaNSW/(deltaNSW+betaPodeltaNSW*EXP(-betaNSW*tblData[[#This Row],[Day '# NSW]])),"")</f>
        <v>0.77910215332735477</v>
      </c>
      <c r="AS42" s="12">
        <f ca="1">IF(AND(ISNUMBER(tblData[NSW]),tblData[Date]&gt;StartDt2NSW),(tblData[[#This Row],[NSW LogiP(t)]]-tblData[[#This Row],[NSW]])^2,"")</f>
        <v>10.374182938700482</v>
      </c>
      <c r="AT42" s="12">
        <f ca="1">IF(AND(tblData[Date]&gt;StartDt2NSW,ISNUMBER(tblData[Day'# Aust])),tblData[NSW LogiP(t)]/$AR$9,"")</f>
        <v>0.96423533827642915</v>
      </c>
      <c r="AU42" s="11">
        <f>tblData[[#This Row],[Date]]-NSW100dt+1</f>
        <v>-17</v>
      </c>
      <c r="AV42" s="11">
        <f ca="1">IF(AND(ISNUMBER(tblData[NSW]),tblData[Date]&gt;StartDt2NSW),(tblData[NSW]-AVERAGE(tblData[NSW]))^2,"")</f>
        <v>83990.760134425553</v>
      </c>
      <c r="AW42" s="39">
        <f ca="1">IF(AND(tblData[Date]&gt;StartDt2Italy,ISNUMBER(tblData[Days'# Italy])),betaItaly/(deltaItaly+betaPodeltaItaly*EXP(-betaItaly*tblData[Days'# Italy])),"")</f>
        <v>161.93342227391176</v>
      </c>
      <c r="AX42" s="11">
        <f ca="1">IF(AND(tblData[Date]&gt;StartDt2Italy,ISNUMBER(tblData[Italy])),(tblData[[#This Row],[Italy LogiP(t)]]-tblData[[#This Row],[Italy]])^2,"")</f>
        <v>9986.6888873759635</v>
      </c>
      <c r="AY42" s="39">
        <f ca="1">IF(AND(tblData[Date]&gt;StartDt2Italy,ISNUMBER(tblData[Days'# Italy])),tblData[[#This Row],[Italy LogiP(t)]]/$AW$9,"")</f>
        <v>26.772492729422463</v>
      </c>
      <c r="AZ42" s="39">
        <f ca="1">IF(AND(ISNUMBER(tblData[Italy]),tblData[Date]&gt;StartDt2Italy),(tblData[Italy]-AVERAGE(tblData[Italy]))^2,"")</f>
        <v>437511592.60493827</v>
      </c>
      <c r="BA42" s="11">
        <f>tblData[[#This Row],[Date]]-Italy100dt+1</f>
        <v>-4</v>
      </c>
      <c r="BB42" s="11">
        <f ca="1">IF(AND(tblData[Date]&gt;StartDt2US,ISNUMBER(tblData[[#This Row],[Days'# US]])),betaUS/(deltaUS+betaPodeltaUS*EXP(-betaUS*tblData[Days'# US])),"")</f>
        <v>6.6132658396830646</v>
      </c>
      <c r="BC42" s="11">
        <f ca="1">IF(AND(tblData[Date]&gt;StartDt2US,ISNUMBER(tblData[US])),(tblData[[#This Row],[US LogiP(t)]]-tblData[US])^2,"")</f>
        <v>70.337309875827017</v>
      </c>
      <c r="BD42" s="137">
        <f ca="1">IF(AND(tblData[Date]&gt;=StartDt2US,ISNUMBER(tblData[[#This Row],[Days'# US]])),tblData[[#This Row],[US LogiP(t)]]/$BB$9,"")</f>
        <v>0.20087206865253288</v>
      </c>
      <c r="BE42" s="137">
        <f ca="1">IF(AND(ISNUMBER(tblData[US]),tblData[Date]&gt;StartDt2US),(tblData[US]-AVERAGE(tblData[US]))^2,"")</f>
        <v>334877112.80003965</v>
      </c>
      <c r="BF42" s="11">
        <f>tblData[[#This Row],[Date]]-US100dt+1</f>
        <v>-20</v>
      </c>
      <c r="BG42" s="20">
        <f ca="1">IF(tblData[Date]&gt;StartDt2SKorea,betaSKorea/(deltaSKorea+betaPodeltaSKorea*EXP(-betaSKorea*(tblData[Date]-StartDt2SKorea))),"")</f>
        <v>663.53088224630574</v>
      </c>
      <c r="BH42" s="20">
        <f ca="1">IF(AND(tblData[Date]&gt;StartDt2SKorea,ISNUMBER(tblData[SKorea])),(tblData[[#This Row],[SKorea LogiP(t)]]-tblData[[#This Row],[SKorea]])^2,"")</f>
        <v>53144.487669260081</v>
      </c>
      <c r="BI42" s="20">
        <f ca="1">IF(tblData[Date]&gt;StartDt2SKorea,tblData[[#This Row],[SKorea LogiP(t)]]/$BG$9,"")</f>
        <v>129.09161133196611</v>
      </c>
      <c r="BJ42" s="137">
        <f ca="1">IF(AND(ISNUMBER(tblData[SKorea]),tblData[Date]&gt;StartDt2SKorea),(tblData[SKorea]-AVERAGE(tblData[SKorea]))^2,"")</f>
        <v>11069772.480856972</v>
      </c>
      <c r="BK42" s="11">
        <f>tblData[[#This Row],[Date]]-SKorea100dt+1</f>
        <v>1</v>
      </c>
      <c r="BL42" s="137">
        <f ca="1">IF(AND(tblData[Date]&gt;StartDt2UK,ISNUMBER(tblData[Days'# UK])),betaUK/(deltaUK+betaPodeltaUK*EXP(-betaUK*tblData[Days'# UK])),"")</f>
        <v>11.984644814656853</v>
      </c>
      <c r="BM42" s="20">
        <f ca="1">IF(AND(tblData[Date]&gt;StartDt2UK,ISNUMBER(tblData[UK])),(tblData[[#This Row],[UK LogiP(t)]]-tblData[[#This Row],[UK]])^2,"")</f>
        <v>8.9081046696580426</v>
      </c>
      <c r="BN42" s="20">
        <f ca="1">IF(ISNUMBER(tblData[Days'# UK]),tblData[[#This Row],[UK LogiP(t)]]/$BL$9,"")</f>
        <v>1.8038297433258359</v>
      </c>
      <c r="BO42" s="137">
        <f ca="1">IF(AND(ISNUMBER(tblData[UK]),tblData[Date]&gt;StartDt2UK),(tblData[UK]-AVERAGE(tblData[UK]))^2,"")</f>
        <v>9584331.4489795901</v>
      </c>
      <c r="BP42" s="11">
        <f>tblData[[#This Row],[Date]]-UK100dt</f>
        <v>-19</v>
      </c>
      <c r="BQ42" s="11">
        <f ca="1">IF(ISNUMBER(tblData[Days'# China]),betaChina/(deltaChina+betaPodeltaChina*EXP(-betaChina*tblData[Days'# China])),"")</f>
        <v>77053.083080783457</v>
      </c>
      <c r="BR42" s="11">
        <f ca="1">IF(ISNUMBER(tblData[China]),(tblData[[#This Row],[China LogiP(t)]]-tblData[[#This Row],[China]])^2,"")</f>
        <v>2712.6473038961353</v>
      </c>
      <c r="BS42" s="11">
        <f ca="1">tblData[[#This Row],[China LogiP(t)]]/$BQ$9</f>
        <v>535.34225144894333</v>
      </c>
      <c r="BT42" s="137">
        <f ca="1">IF(AND(ISNUMBER(tblData[China]),tblData[Date]&gt;StartDt2China),(tblData[China]-AVERAGE(tblData[China]))^2,"")</f>
        <v>284665809.80460221</v>
      </c>
      <c r="BU42" s="11">
        <f>tblData[[#This Row],[Date]]-China100dt</f>
        <v>31</v>
      </c>
      <c r="BV42" s="106">
        <f>IF(ISNUMBER(tblData[Day'# Singapore]),betaSingapore/(deltaSingapore+betaPodeltaSingapore*EXP(-betaSingapore*tblData[Day'# Singapore])),"")</f>
        <v>46.740866674538339</v>
      </c>
      <c r="BW42" s="11">
        <f>IF(AND(ISNUMBER(tblData[Singapore]),tblData[Date]&gt;=StartDt2Singapore),(tblData[[#This Row],[Singapore LogiP(t)]]-tblData[[#This Row],[Singapore]])^2,"")</f>
        <v>1463.7612828154511</v>
      </c>
      <c r="BX42" s="106">
        <f>IF(ISNUMBER(tblData[Day'# Singapore]),tblData[Singapore LogiP(t)]/$BV$9,"")</f>
        <v>79.898917392373235</v>
      </c>
      <c r="BY42" s="106">
        <f>IF(AND(ISNUMBER(tblData[Singapore]),tblData[Date]&gt;StartDt2Singapore),(tblData[Singapore]-AVERAGE(tblData[Singapore]))^2,"")</f>
        <v>12979.948621305297</v>
      </c>
      <c r="BZ42" s="11">
        <f>tblData[[#This Row],[Date]]-Singapore100dt+1</f>
        <v>12</v>
      </c>
      <c r="CA42" s="11">
        <f ca="1">IF(AND(tblData[Date]&gt;StartDt2Generic,ISNUMBER(tblData[Day'# Generic])),betaGeneric/(deltaGeneric+betaPodeltaGeneric*EXP(-betaGeneric*tblData[Day'# Generic])),"")</f>
        <v>0.44723348762250192</v>
      </c>
      <c r="CB42" s="106" t="str">
        <f ca="1">IF(AND(ISNUMBER(tblData[Generic]),tblData[Date]&gt;StartDt2Generic),(tblData[Generic LogiP(t)]-tblData[[#This Row],[Generic]])^2,"")</f>
        <v/>
      </c>
      <c r="CC42" s="11" t="str">
        <f ca="1">IF(AND(ISNUMBER(tblData[Generic]),tblData[Date]&gt;StartDt2Generic),tblData[Generic LogiP(t)]/$CA$9,"")</f>
        <v/>
      </c>
      <c r="CD42" s="106" t="str">
        <f ca="1">IF(AND(ISNUMBER(tblData[Generic]),tblData[Date]&gt;StartDt2Generic),(tblData[Generic]-AVERAGE(tblData[Generic]))^2,"")</f>
        <v/>
      </c>
      <c r="CE42" s="11">
        <f>tblData[[#This Row],[Date]]-Generic100dt+1</f>
        <v>-27</v>
      </c>
      <c r="CG42" s="11"/>
      <c r="CH42" s="11" t="str">
        <f>IF(ISNUMBER(tblData[[#This Row],[Tests]]),tblData[[#This Row],[Tests]]-CH41,"")</f>
        <v/>
      </c>
      <c r="CI42" s="11" t="str">
        <f>IF(ISNUMBER(tblData[[#This Row],[NSW Under Investigation'']]),tblData[[#This Row],[NSW Under Investigation'']]-CG41,"")</f>
        <v/>
      </c>
      <c r="CJ42" s="11"/>
      <c r="CK42" s="11" t="str">
        <f>IF(AND(tblData[[#This Row],[NSW Test Day Number]]&gt;0,ISNUMBER(tblData[[#This Row],[NSW Test Day Number]])),betaTests/(deltaTests+betaPodeltaTests*EXP(-betaTests*tblData[[#This Row],[NSW Test Day Number]])),"")</f>
        <v/>
      </c>
      <c r="CL42" s="11" t="str">
        <f>IF(tblData[Tests]&gt;0,(tblData[[#This Row],[Tests]]-tblData[[#This Row],[NSW Test Logi]])^2,"")</f>
        <v/>
      </c>
      <c r="CM42" s="106" t="str">
        <f>IF(AND(ISNUMBER(tblData[Tests]),tblData[Date]&gt;StartDt2Tests),(tblData[Tests]-AVERAGE(tblData[Tests]))^2,"")</f>
        <v/>
      </c>
      <c r="CN42" s="11" t="str">
        <f>IF(ISNUMBER(tblData[Tests]),tblData[Tests]/$CN$9/100,"")</f>
        <v/>
      </c>
      <c r="CO42" s="11" t="str">
        <f>IF(AND(tblData[[#This Row],[NSW Test Day Number]]&gt;0,ISNUMBER(tblData[[#This Row],[NSW Test Day Number]])),TestsLogestB*TestsLogestM^tblData[[#This Row],[NSW Test Day Number]],"")</f>
        <v/>
      </c>
      <c r="CP42" s="11" t="str">
        <f>IF(AND(tblData[[#This Row],[NSW Test Day Number]]&gt;0,ISNUMBER(tblData[Tests])),(tblData[Tests]-tblData[[#This Row],[NSW Test Per Capita]])^2,"")</f>
        <v/>
      </c>
      <c r="CQ42" s="39">
        <f ca="1">IF(AND(tblData[Day '# NSW]&gt;0,ISNUMBER(tblData[[#This Row],[Day '# NSW]])),NSWLogestB*NSWLogestM^tblData[[#This Row],[Day '# NSW]]/$CR$9,"")</f>
        <v>19.864953482029829</v>
      </c>
      <c r="CR42" s="39">
        <f ca="1">IF(AND(ISNUMBER(tblData[NSW]),tblData[Date]&gt;StartDt2NSW),(tblData[NSW]/$CR$9-tblData[[#This Row],[NSW Cases LogEst]])^2,"")</f>
        <v>222.44107033551245</v>
      </c>
      <c r="CS42" s="11"/>
      <c r="CT42" s="11"/>
      <c r="CW42" s="25"/>
      <c r="CX42"/>
      <c r="DK42" s="25"/>
      <c r="DL42" s="25"/>
      <c r="DM42" s="25"/>
      <c r="DR42"/>
      <c r="DS42"/>
      <c r="DT42"/>
      <c r="DU42"/>
      <c r="EB42" s="25"/>
      <c r="EC42" s="25"/>
      <c r="ED42" s="25"/>
      <c r="EE42" s="25"/>
      <c r="EK42"/>
      <c r="EL42"/>
      <c r="EM42"/>
      <c r="EN42"/>
      <c r="EO42"/>
      <c r="EP42" s="25"/>
      <c r="ER42" s="25"/>
      <c r="ES42" s="25"/>
      <c r="ET42"/>
      <c r="EU42" s="25" t="s">
        <v>153</v>
      </c>
      <c r="EV42" s="69"/>
      <c r="EW42" s="26">
        <v>43855</v>
      </c>
      <c r="EY42" s="25">
        <v>1</v>
      </c>
      <c r="EZ42" s="22">
        <v>0.20209478104227763</v>
      </c>
      <c r="FA42" s="24">
        <v>1.0000000000000751E-10</v>
      </c>
      <c r="FB42" s="21">
        <v>5.7886977342360797E-3</v>
      </c>
      <c r="FC42" s="82">
        <v>2020947810.4226243</v>
      </c>
      <c r="FD42" s="82">
        <v>3.5813561365949553</v>
      </c>
      <c r="FE42" s="34">
        <v>34.911959532184611</v>
      </c>
      <c r="FF42" s="84">
        <v>1.0000000000000751E-7</v>
      </c>
      <c r="FG42" s="26">
        <v>43908</v>
      </c>
      <c r="FH42" s="26" t="s">
        <v>692</v>
      </c>
      <c r="FI42" s="84"/>
      <c r="FJ42" s="84">
        <v>267</v>
      </c>
      <c r="FK42" s="19" t="s">
        <v>693</v>
      </c>
      <c r="FL42" s="26">
        <v>43908</v>
      </c>
      <c r="FM42" s="25">
        <v>54</v>
      </c>
      <c r="FN42" s="18" t="s">
        <v>694</v>
      </c>
      <c r="FO42" s="25"/>
      <c r="FP42" s="25" t="s">
        <v>695</v>
      </c>
      <c r="FR42" s="25" t="s">
        <v>696</v>
      </c>
      <c r="FS42" s="19"/>
      <c r="FT42" s="72"/>
      <c r="FU42" s="25"/>
      <c r="FV42" s="148"/>
      <c r="FW42" s="25"/>
      <c r="FX42" s="25"/>
      <c r="FY42" s="25"/>
      <c r="FZ42" s="25"/>
      <c r="GA42" s="25"/>
      <c r="GC42" s="25"/>
    </row>
    <row r="43" spans="2:185" x14ac:dyDescent="0.25">
      <c r="B43" s="1">
        <v>43884</v>
      </c>
      <c r="C43">
        <v>7</v>
      </c>
      <c r="D43" s="25">
        <v>0</v>
      </c>
      <c r="E43">
        <v>4</v>
      </c>
      <c r="F43">
        <v>0</v>
      </c>
      <c r="G43">
        <v>5</v>
      </c>
      <c r="H43">
        <v>2</v>
      </c>
      <c r="I43">
        <v>0</v>
      </c>
      <c r="J43">
        <v>4</v>
      </c>
      <c r="K43">
        <v>0</v>
      </c>
      <c r="L43" s="12">
        <f>IF(ISNUMBER(tblData[[#This Row],[NSW]]),tblData[[#This Row],[New South Wales]]/$L$9,"")</f>
        <v>4.9504950495049505</v>
      </c>
      <c r="M43" s="25">
        <v>155</v>
      </c>
      <c r="N43" s="106">
        <f>IF(ISNUMBER(tblData[Italy]),tblData[Italy]/$N$9,"")</f>
        <v>25.626188311151527</v>
      </c>
      <c r="O43">
        <v>15</v>
      </c>
      <c r="P43" s="106">
        <f>IF(ISNUMBER(tblData[US]),tblData[US]/$P$9,"")</f>
        <v>0.45561166038539175</v>
      </c>
      <c r="Q43">
        <v>602</v>
      </c>
      <c r="R43" s="106">
        <f>IF(ISNUMBER(tblData[SKorea]),tblData[SKorea]/$R$9,"")</f>
        <v>117.1206225680934</v>
      </c>
      <c r="S43">
        <v>9</v>
      </c>
      <c r="T43" s="106">
        <f>IF(ISNUMBER(tblData[UK]),tblData[UK]/$T$9,"")</f>
        <v>1.3546056592414208</v>
      </c>
      <c r="U43">
        <v>77022</v>
      </c>
      <c r="V43" s="20">
        <f>IF(ISNUMBER(tblData[China]),tblData[China]/$V$9,"")</f>
        <v>535.12629530827678</v>
      </c>
      <c r="W43">
        <v>89</v>
      </c>
      <c r="X43" s="106">
        <f>IF(ISNUMBER(tblData[Singapore]),tblData[Singapore]/$X$9,"")</f>
        <v>152.13675213675214</v>
      </c>
      <c r="Y43"/>
      <c r="Z43" s="20" t="str">
        <f>IF(AND(LEN(tblData[Generic])&gt;0,ISNUMBER(tblData[Generic])),tblData[Generic]/$Z$9,"")</f>
        <v/>
      </c>
      <c r="AA43" s="25">
        <f ca="1">IF(tblData[[#This Row],[Date]]&lt;StartDt2Italy,"",tblData[[#This Row],[Date]]-ItalyStart)</f>
        <v>24</v>
      </c>
      <c r="AB43" s="25">
        <f ca="1">IF(tblData[[#This Row],[Date]]&lt;=StartDt2US,"",tblData[[#This Row],[Date]]-USStart)</f>
        <v>32</v>
      </c>
      <c r="AC43" s="25">
        <f ca="1">IF(tblData[[#This Row],[Date]]&lt;StartDt2China,"",tblData[[#This Row],[Date]]-ChinaStart)</f>
        <v>32</v>
      </c>
      <c r="AD43" s="25">
        <f>IF(tblData[[#This Row],[Date]]&lt;=SKoreaStart,"",tblData[[#This Row],[Date]]-SKoreaStart)</f>
        <v>32</v>
      </c>
      <c r="AE43" s="25">
        <f ca="1">IF(tblData[[#This Row],[Date]]&lt;=StartDt2UK,"",tblData[[#This Row],[Date]]-UKStart)</f>
        <v>24</v>
      </c>
      <c r="AF43" s="25">
        <f>IF(tblData[[#This Row],[Date]]&lt;StartDt2Singapore,"",tblData[[#This Row],[Date]]-SingaporeStart)</f>
        <v>31</v>
      </c>
      <c r="AG43" s="25">
        <f ca="1">IF(tblData[[#This Row],[Date]]&lt;StartDt2Generic,"",tblData[[#This Row],[Date]]-GenericStart)</f>
        <v>32</v>
      </c>
      <c r="AH43">
        <f ca="1">IF(tblData[Date]&gt;StartDt2Au,tblData[Date]-AuStart,"")</f>
        <v>29</v>
      </c>
      <c r="AI43" s="25">
        <f>IF(tblData[New South Wales]&gt;=0,SUM(tblData[[#This Row],[Australian Capital Territory]:[Western Australia]]),"")</f>
        <v>15</v>
      </c>
      <c r="AJ43" s="12">
        <f>IF(ISNUMBER(tblData[Au]),tblData[Au]/$AE$9,"")</f>
        <v>5.9138937076170954</v>
      </c>
      <c r="AK43" s="19">
        <f ca="1">IF(ISNUMBER(tblData[[#This Row],[Day'# Aust]]),betaAu/(deltaAu+betaPodeltaAu*EXP(-betaAu*tblData[[#This Row],[Day'# Aust]])),"")</f>
        <v>1.539339899697004</v>
      </c>
      <c r="AL43" s="62">
        <f ca="1">IF(ISNUMBER(tblData[Day'# Aust]),tblData[Au LogiP(t)]/$AJ$9,"")</f>
        <v>0.60689950311346952</v>
      </c>
      <c r="AM43" s="11">
        <f ca="1">IF(AND(tblData[Date]&gt;StartDt2Au,ISNUMBER(tblData[NSW])),(tblData[[#This Row],[Au LogiP(t)]]-tblData[[#This Row],[Au]])^2,"")</f>
        <v>181.18937033588904</v>
      </c>
      <c r="AN43" s="11">
        <f ca="1">IF(AND(ISNUMBER(tblData[Au]),tblData[Date]&gt;StartDt2Au),(tblData[Au]-AVERAGE(tblData[Au]))^2,"")</f>
        <v>183488.66503328402</v>
      </c>
      <c r="AO43" s="11">
        <f>tblData[[#This Row],[Date]]-Au100dt</f>
        <v>-20</v>
      </c>
      <c r="AP43">
        <f ca="1">IF(tblData[Date]&gt;StartDt2NSW,tblData[Date]-StartDt2NSW,"")</f>
        <v>29</v>
      </c>
      <c r="AQ43" s="25">
        <f>IF(tblData[[#This Row],[New South Wales]]&gt;0,tblData[[#This Row],[New South Wales]],"")</f>
        <v>4</v>
      </c>
      <c r="AR43" s="44">
        <f ca="1">IF(tblData[Date]&gt;StartDt2NSW,betaNSW/(deltaNSW+betaPodeltaNSW*EXP(-betaNSW*tblData[[#This Row],[Day '# NSW]])),"")</f>
        <v>0.98818755914453804</v>
      </c>
      <c r="AS43" s="12">
        <f ca="1">IF(AND(ISNUMBER(tblData[NSW]),tblData[Date]&gt;StartDt2NSW),(tblData[[#This Row],[NSW LogiP(t)]]-tblData[[#This Row],[NSW]])^2,"")</f>
        <v>9.0710141788917351</v>
      </c>
      <c r="AT43" s="12">
        <f ca="1">IF(AND(tblData[Date]&gt;StartDt2NSW,ISNUMBER(tblData[Day'# Aust])),tblData[NSW LogiP(t)]/$AR$9,"")</f>
        <v>1.223004404881854</v>
      </c>
      <c r="AU43" s="11">
        <f>tblData[[#This Row],[Date]]-NSW100dt+1</f>
        <v>-16</v>
      </c>
      <c r="AV43" s="11">
        <f ca="1">IF(AND(ISNUMBER(tblData[NSW]),tblData[Date]&gt;StartDt2NSW),(tblData[NSW]-AVERAGE(tblData[NSW]))^2,"")</f>
        <v>83990.760134425553</v>
      </c>
      <c r="AW43" s="39">
        <f ca="1">IF(AND(tblData[Date]&gt;StartDt2Italy,ISNUMBER(tblData[Days'# Italy])),betaItaly/(deltaItaly+betaPodeltaItaly*EXP(-betaItaly*tblData[Days'# Italy])),"")</f>
        <v>209.20889429739589</v>
      </c>
      <c r="AX43" s="11">
        <f ca="1">IF(AND(tblData[Date]&gt;StartDt2Italy,ISNUMBER(tblData[Italy])),(tblData[[#This Row],[Italy LogiP(t)]]-tblData[[#This Row],[Italy]])^2,"")</f>
        <v>2938.6042209462403</v>
      </c>
      <c r="AY43" s="39">
        <f ca="1">IF(AND(tblData[Date]&gt;StartDt2Italy,ISNUMBER(tblData[Days'# Italy])),tblData[[#This Row],[Italy LogiP(t)]]/$AW$9,"")</f>
        <v>34.588558204082979</v>
      </c>
      <c r="AZ43" s="39">
        <f ca="1">IF(AND(ISNUMBER(tblData[Italy]),tblData[Date]&gt;StartDt2Italy),(tblData[Italy]-AVERAGE(tblData[Italy]))^2,"")</f>
        <v>433629720.93827158</v>
      </c>
      <c r="BA43" s="11">
        <f>tblData[[#This Row],[Date]]-Italy100dt+1</f>
        <v>-3</v>
      </c>
      <c r="BB43" s="11">
        <f ca="1">IF(AND(tblData[Date]&gt;StartDt2US,ISNUMBER(tblData[[#This Row],[Days'# US]])),betaUS/(deltaUS+betaPodeltaUS*EXP(-betaUS*tblData[Days'# US])),"")</f>
        <v>8.7832220812420143</v>
      </c>
      <c r="BC43" s="11">
        <f ca="1">IF(AND(tblData[Date]&gt;StartDt2US,ISNUMBER(tblData[US])),(tblData[[#This Row],[US LogiP(t)]]-tblData[US])^2,"")</f>
        <v>38.648327691156872</v>
      </c>
      <c r="BD43" s="137">
        <f ca="1">IF(AND(tblData[Date]&gt;=StartDt2US,ISNUMBER(tblData[[#This Row],[Days'# US]])),tblData[[#This Row],[US LogiP(t)]]/$BB$9,"")</f>
        <v>0.26678255973122067</v>
      </c>
      <c r="BE43" s="137">
        <f ca="1">IF(AND(ISNUMBER(tblData[US]),tblData[Date]&gt;StartDt2US),(tblData[US]-AVERAGE(tblData[US]))^2,"")</f>
        <v>334877112.80003965</v>
      </c>
      <c r="BF43" s="11">
        <f>tblData[[#This Row],[Date]]-US100dt+1</f>
        <v>-19</v>
      </c>
      <c r="BG43" s="20">
        <f ca="1">IF(tblData[Date]&gt;StartDt2SKorea,betaSKorea/(deltaSKorea+betaPodeltaSKorea*EXP(-betaSKorea*(tblData[Date]-StartDt2SKorea))),"")</f>
        <v>843.2627311854302</v>
      </c>
      <c r="BH43" s="20">
        <f ca="1">IF(AND(tblData[Date]&gt;StartDt2SKorea,ISNUMBER(tblData[SKorea])),(tblData[[#This Row],[SKorea LogiP(t)]]-tblData[[#This Row],[SKorea]])^2,"")</f>
        <v>58207.705459053155</v>
      </c>
      <c r="BI43" s="20">
        <f ca="1">IF(tblData[Date]&gt;StartDt2SKorea,tblData[[#This Row],[SKorea LogiP(t)]]/$BG$9,"")</f>
        <v>164.05889711778798</v>
      </c>
      <c r="BJ43" s="137">
        <f ca="1">IF(AND(ISNUMBER(tblData[SKorea]),tblData[Date]&gt;StartDt2SKorea),(tblData[SKorea]-AVERAGE(tblData[SKorea]))^2,"")</f>
        <v>9973764.6357865501</v>
      </c>
      <c r="BK43" s="11">
        <f>tblData[[#This Row],[Date]]-SKorea100dt+1</f>
        <v>2</v>
      </c>
      <c r="BL43" s="137">
        <f ca="1">IF(AND(tblData[Date]&gt;StartDt2UK,ISNUMBER(tblData[Days'# UK])),betaUK/(deltaUK+betaPodeltaUK*EXP(-betaUK*tblData[Days'# UK])),"")</f>
        <v>14.839072596926375</v>
      </c>
      <c r="BM43" s="20">
        <f ca="1">IF(AND(tblData[Date]&gt;StartDt2UK,ISNUMBER(tblData[UK])),(tblData[[#This Row],[UK LogiP(t)]]-tblData[[#This Row],[UK]])^2,"")</f>
        <v>34.094768792176517</v>
      </c>
      <c r="BN43" s="20">
        <f ca="1">IF(ISNUMBER(tblData[Days'# UK]),tblData[[#This Row],[UK LogiP(t)]]/$BL$9,"")</f>
        <v>2.2334546352989726</v>
      </c>
      <c r="BO43" s="137">
        <f ca="1">IF(AND(ISNUMBER(tblData[UK]),tblData[Date]&gt;StartDt2UK),(tblData[UK]-AVERAGE(tblData[UK]))^2,"")</f>
        <v>9584331.4489795901</v>
      </c>
      <c r="BP43" s="11">
        <f>tblData[[#This Row],[Date]]-UK100dt</f>
        <v>-18</v>
      </c>
      <c r="BQ43" s="11">
        <f ca="1">IF(ISNUMBER(tblData[Days'# China]),betaChina/(deltaChina+betaPodeltaChina*EXP(-betaChina*tblData[Days'# China])),"")</f>
        <v>77845.247863654396</v>
      </c>
      <c r="BR43" s="11">
        <f ca="1">IF(ISNUMBER(tblData[China]),(tblData[[#This Row],[China LogiP(t)]]-tblData[[#This Row],[China]])^2,"")</f>
        <v>677737.04501152784</v>
      </c>
      <c r="BS43" s="11">
        <f ca="1">tblData[[#This Row],[China LogiP(t)]]/$BQ$9</f>
        <v>540.84598032551639</v>
      </c>
      <c r="BT43" s="137">
        <f ca="1">IF(AND(ISNUMBER(tblData[China]),tblData[Date]&gt;StartDt2China),(tblData[China]-AVERAGE(tblData[China]))^2,"")</f>
        <v>285374876.5792501</v>
      </c>
      <c r="BU43" s="11">
        <f>tblData[[#This Row],[Date]]-China100dt</f>
        <v>32</v>
      </c>
      <c r="BV43" s="106">
        <f>IF(ISNUMBER(tblData[Day'# Singapore]),betaSingapore/(deltaSingapore+betaPodeltaSingapore*EXP(-betaSingapore*tblData[Day'# Singapore])),"")</f>
        <v>50.611586548666267</v>
      </c>
      <c r="BW43" s="11">
        <f>IF(AND(ISNUMBER(tblData[Singapore]),tblData[Date]&gt;=StartDt2Singapore),(tblData[[#This Row],[Singapore LogiP(t)]]-tblData[[#This Row],[Singapore]])^2,"")</f>
        <v>1473.6702873105407</v>
      </c>
      <c r="BX43" s="106">
        <f>IF(ISNUMBER(tblData[Day'# Singapore]),tblData[Singapore LogiP(t)]/$BV$9,"")</f>
        <v>86.515532561822681</v>
      </c>
      <c r="BY43" s="106">
        <f>IF(AND(ISNUMBER(tblData[Singapore]),tblData[Date]&gt;StartDt2Singapore),(tblData[Singapore]-AVERAGE(tblData[Singapore]))^2,"")</f>
        <v>12084.512001586987</v>
      </c>
      <c r="BZ43" s="11">
        <f>tblData[[#This Row],[Date]]-Singapore100dt+1</f>
        <v>13</v>
      </c>
      <c r="CA43" s="11">
        <f ca="1">IF(AND(tblData[Date]&gt;StartDt2Generic,ISNUMBER(tblData[Day'# Generic])),betaGeneric/(deltaGeneric+betaPodeltaGeneric*EXP(-betaGeneric*tblData[Day'# Generic])),"")</f>
        <v>0.54453433727217782</v>
      </c>
      <c r="CB43" s="106" t="str">
        <f ca="1">IF(AND(ISNUMBER(tblData[Generic]),tblData[Date]&gt;StartDt2Generic),(tblData[Generic LogiP(t)]-tblData[[#This Row],[Generic]])^2,"")</f>
        <v/>
      </c>
      <c r="CC43" s="11" t="str">
        <f ca="1">IF(AND(ISNUMBER(tblData[Generic]),tblData[Date]&gt;StartDt2Generic),tblData[Generic LogiP(t)]/$CA$9,"")</f>
        <v/>
      </c>
      <c r="CD43" s="106" t="str">
        <f ca="1">IF(AND(ISNUMBER(tblData[Generic]),tblData[Date]&gt;StartDt2Generic),(tblData[Generic]-AVERAGE(tblData[Generic]))^2,"")</f>
        <v/>
      </c>
      <c r="CE43" s="11">
        <f>tblData[[#This Row],[Date]]-Generic100dt+1</f>
        <v>-26</v>
      </c>
      <c r="CG43" s="11"/>
      <c r="CH43" s="11" t="str">
        <f>IF(ISNUMBER(tblData[[#This Row],[Tests]]),tblData[[#This Row],[Tests]]-CH42,"")</f>
        <v/>
      </c>
      <c r="CI43" s="11" t="str">
        <f>IF(ISNUMBER(tblData[[#This Row],[NSW Under Investigation'']]),tblData[[#This Row],[NSW Under Investigation'']]-CG42,"")</f>
        <v/>
      </c>
      <c r="CJ43" s="11"/>
      <c r="CK43" s="11" t="str">
        <f>IF(AND(tblData[[#This Row],[NSW Test Day Number]]&gt;0,ISNUMBER(tblData[[#This Row],[NSW Test Day Number]])),betaTests/(deltaTests+betaPodeltaTests*EXP(-betaTests*tblData[[#This Row],[NSW Test Day Number]])),"")</f>
        <v/>
      </c>
      <c r="CL43" s="11" t="str">
        <f>IF(tblData[Tests]&gt;0,(tblData[[#This Row],[Tests]]-tblData[[#This Row],[NSW Test Logi]])^2,"")</f>
        <v/>
      </c>
      <c r="CM43" s="106" t="str">
        <f>IF(AND(ISNUMBER(tblData[Tests]),tblData[Date]&gt;StartDt2Tests),(tblData[Tests]-AVERAGE(tblData[Tests]))^2,"")</f>
        <v/>
      </c>
      <c r="CN43" s="11" t="str">
        <f>IF(ISNUMBER(tblData[Tests]),tblData[Tests]/$CN$9/100,"")</f>
        <v/>
      </c>
      <c r="CO43" s="11" t="str">
        <f>IF(AND(tblData[[#This Row],[NSW Test Day Number]]&gt;0,ISNUMBER(tblData[[#This Row],[NSW Test Day Number]])),TestsLogestB*TestsLogestM^tblData[[#This Row],[NSW Test Day Number]],"")</f>
        <v/>
      </c>
      <c r="CP43" s="11" t="str">
        <f>IF(AND(tblData[[#This Row],[NSW Test Day Number]]&gt;0,ISNUMBER(tblData[Tests])),(tblData[Tests]-tblData[[#This Row],[NSW Test Per Capita]])^2,"")</f>
        <v/>
      </c>
      <c r="CQ43" s="39">
        <f ca="1">IF(AND(tblData[Day '# NSW]&gt;0,ISNUMBER(tblData[[#This Row],[Day '# NSW]])),NSWLogestB*NSWLogestM^tblData[[#This Row],[Day '# NSW]]/$CR$9,"")</f>
        <v>22.108478950220835</v>
      </c>
      <c r="CR43" s="39">
        <f ca="1">IF(AND(ISNUMBER(tblData[NSW]),tblData[Date]&gt;StartDt2NSW),(tblData[NSW]/$CR$9-tblData[[#This Row],[NSW Cases LogEst]])^2,"")</f>
        <v>294.39641153722545</v>
      </c>
      <c r="CS43" s="11"/>
      <c r="CT43" s="11"/>
      <c r="CW43" s="25"/>
      <c r="CX43"/>
      <c r="DK43" s="25"/>
      <c r="DL43" s="25"/>
      <c r="DM43" s="25"/>
      <c r="DR43"/>
      <c r="DS43"/>
      <c r="DT43"/>
      <c r="DU43"/>
      <c r="EB43" s="25"/>
      <c r="EC43" s="25"/>
      <c r="ED43" s="25"/>
      <c r="EE43" s="25"/>
      <c r="EK43"/>
      <c r="EL43"/>
      <c r="EM43"/>
      <c r="EN43"/>
      <c r="EO43"/>
      <c r="EP43" s="25"/>
      <c r="ER43" s="25"/>
      <c r="ES43" s="25"/>
      <c r="ET43"/>
      <c r="EU43" s="110" t="s">
        <v>153</v>
      </c>
      <c r="EV43" s="69"/>
      <c r="EW43" s="26">
        <v>43855</v>
      </c>
      <c r="EY43" s="25">
        <v>1</v>
      </c>
      <c r="EZ43" s="110">
        <v>0.20209478104227763</v>
      </c>
      <c r="FA43" s="112">
        <v>1.0000000000000751E-10</v>
      </c>
      <c r="FB43" s="21">
        <v>5.7886977342360797E-3</v>
      </c>
      <c r="FC43" s="82">
        <v>2020947810.4226243</v>
      </c>
      <c r="FD43" s="82">
        <v>3.8333653054478112</v>
      </c>
      <c r="FE43" s="62">
        <v>34.911959532184611</v>
      </c>
      <c r="FF43" s="84">
        <v>1.0000000000000751E-7</v>
      </c>
      <c r="FG43" s="26">
        <v>43908</v>
      </c>
      <c r="FH43" s="111" t="s">
        <v>692</v>
      </c>
      <c r="FI43" s="84"/>
      <c r="FJ43" s="84">
        <v>307</v>
      </c>
      <c r="FK43" s="54" t="s">
        <v>693</v>
      </c>
      <c r="FL43" s="26">
        <v>43908</v>
      </c>
      <c r="FM43" s="25">
        <v>55</v>
      </c>
      <c r="FN43" s="55" t="s">
        <v>694</v>
      </c>
      <c r="FO43" s="54"/>
      <c r="FP43" s="54" t="s">
        <v>695</v>
      </c>
      <c r="FQ43" s="54"/>
      <c r="FR43" s="58" t="s">
        <v>715</v>
      </c>
      <c r="FS43" s="19">
        <v>379.95049504950492</v>
      </c>
      <c r="FT43" s="72"/>
      <c r="FU43" s="25"/>
      <c r="FV43" s="148"/>
      <c r="FW43" s="11"/>
      <c r="FX43" s="25" t="s">
        <v>716</v>
      </c>
      <c r="FY43" s="25"/>
      <c r="FZ43" s="25"/>
      <c r="GC43" s="25"/>
    </row>
    <row r="44" spans="2:185" x14ac:dyDescent="0.25">
      <c r="B44" s="1">
        <v>43885</v>
      </c>
      <c r="C44">
        <v>7</v>
      </c>
      <c r="D44" s="25">
        <v>0</v>
      </c>
      <c r="E44">
        <v>4</v>
      </c>
      <c r="F44">
        <v>0</v>
      </c>
      <c r="G44">
        <v>5</v>
      </c>
      <c r="H44">
        <v>2</v>
      </c>
      <c r="I44">
        <v>0</v>
      </c>
      <c r="J44">
        <v>4</v>
      </c>
      <c r="K44">
        <v>0</v>
      </c>
      <c r="L44" s="12">
        <f>IF(ISNUMBER(tblData[[#This Row],[NSW]]),tblData[[#This Row],[New South Wales]]/$L$9,"")</f>
        <v>4.9504950495049505</v>
      </c>
      <c r="M44" s="25">
        <v>229</v>
      </c>
      <c r="N44" s="106">
        <f>IF(ISNUMBER(tblData[Italy]),tblData[Italy]/$N$9,"")</f>
        <v>37.860626601636774</v>
      </c>
      <c r="O44">
        <v>51</v>
      </c>
      <c r="P44" s="106">
        <f>IF(ISNUMBER(tblData[US]),tblData[US]/$P$9,"")</f>
        <v>1.5490796453103319</v>
      </c>
      <c r="Q44">
        <v>833</v>
      </c>
      <c r="R44" s="106">
        <f>IF(ISNUMBER(tblData[SKorea]),tblData[SKorea]/$R$9,"")</f>
        <v>162.06225680933852</v>
      </c>
      <c r="S44">
        <v>13</v>
      </c>
      <c r="T44" s="106">
        <f>IF(ISNUMBER(tblData[UK]),tblData[UK]/$T$9,"")</f>
        <v>1.9566526189042746</v>
      </c>
      <c r="U44">
        <v>77241</v>
      </c>
      <c r="V44" s="106">
        <f>IF(ISNUMBER(tblData[China]),tblData[China]/$V$9,"")</f>
        <v>536.64784316048156</v>
      </c>
      <c r="W44">
        <v>89</v>
      </c>
      <c r="X44" s="106">
        <f>IF(ISNUMBER(tblData[Singapore]),tblData[Singapore]/$X$9,"")</f>
        <v>152.13675213675214</v>
      </c>
      <c r="Y44"/>
      <c r="Z44" s="20" t="str">
        <f>IF(AND(LEN(tblData[Generic])&gt;0,ISNUMBER(tblData[Generic])),tblData[Generic]/$Z$9,"")</f>
        <v/>
      </c>
      <c r="AA44" s="25">
        <f ca="1">IF(tblData[[#This Row],[Date]]&lt;StartDt2Italy,"",tblData[[#This Row],[Date]]-ItalyStart)</f>
        <v>25</v>
      </c>
      <c r="AB44" s="25">
        <f ca="1">IF(tblData[[#This Row],[Date]]&lt;=StartDt2US,"",tblData[[#This Row],[Date]]-USStart)</f>
        <v>33</v>
      </c>
      <c r="AC44" s="25">
        <f ca="1">IF(tblData[[#This Row],[Date]]&lt;StartDt2China,"",tblData[[#This Row],[Date]]-ChinaStart)</f>
        <v>33</v>
      </c>
      <c r="AD44" s="25">
        <f>IF(tblData[[#This Row],[Date]]&lt;=SKoreaStart,"",tblData[[#This Row],[Date]]-SKoreaStart)</f>
        <v>33</v>
      </c>
      <c r="AE44" s="25">
        <f ca="1">IF(tblData[[#This Row],[Date]]&lt;=StartDt2UK,"",tblData[[#This Row],[Date]]-UKStart)</f>
        <v>25</v>
      </c>
      <c r="AF44" s="25">
        <f>IF(tblData[[#This Row],[Date]]&lt;StartDt2Singapore,"",tblData[[#This Row],[Date]]-SingaporeStart)</f>
        <v>32</v>
      </c>
      <c r="AG44" s="25">
        <f ca="1">IF(tblData[[#This Row],[Date]]&lt;StartDt2Generic,"",tblData[[#This Row],[Date]]-GenericStart)</f>
        <v>33</v>
      </c>
      <c r="AH44">
        <f ca="1">IF(tblData[Date]&gt;StartDt2Au,tblData[Date]-AuStart,"")</f>
        <v>30</v>
      </c>
      <c r="AI44" s="25">
        <f>IF(tblData[New South Wales]&gt;=0,SUM(tblData[[#This Row],[Australian Capital Territory]:[Western Australia]]),"")</f>
        <v>15</v>
      </c>
      <c r="AJ44" s="12">
        <f>IF(ISNUMBER(tblData[Au]),tblData[Au]/$AE$9,"")</f>
        <v>5.9138937076170954</v>
      </c>
      <c r="AK44" s="19">
        <f ca="1">IF(ISNUMBER(tblData[[#This Row],[Day'# Aust]]),betaAu/(deltaAu+betaPodeltaAu*EXP(-betaAu*tblData[[#This Row],[Day'# Aust]])),"")</f>
        <v>1.982509093774717</v>
      </c>
      <c r="AL44" s="62">
        <f ca="1">IF(ISNUMBER(tblData[Day'# Aust]),tblData[Au LogiP(t)]/$AJ$9,"")</f>
        <v>0.7816232036645312</v>
      </c>
      <c r="AM44" s="11">
        <f ca="1">IF(AND(tblData[Date]&gt;StartDt2Au,ISNUMBER(tblData[NSW])),(tblData[[#This Row],[Au LogiP(t)]]-tblData[[#This Row],[Au]])^2,"")</f>
        <v>169.45506949365796</v>
      </c>
      <c r="AN44" s="11">
        <f ca="1">IF(AND(ISNUMBER(tblData[Au]),tblData[Date]&gt;StartDt2Au),(tblData[Au]-AVERAGE(tblData[Au]))^2,"")</f>
        <v>183488.66503328402</v>
      </c>
      <c r="AO44" s="11">
        <f>tblData[[#This Row],[Date]]-Au100dt</f>
        <v>-19</v>
      </c>
      <c r="AP44">
        <f ca="1">IF(tblData[Date]&gt;StartDt2NSW,tblData[Date]-StartDt2NSW,"")</f>
        <v>30</v>
      </c>
      <c r="AQ44" s="25">
        <f>IF(tblData[[#This Row],[New South Wales]]&gt;0,tblData[[#This Row],[New South Wales]],"")</f>
        <v>4</v>
      </c>
      <c r="AR44" s="44">
        <f ca="1">IF(tblData[Date]&gt;StartDt2NSW,betaNSW/(deltaNSW+betaPodeltaNSW*EXP(-betaNSW*tblData[[#This Row],[Day '# NSW]])),"")</f>
        <v>1.2533611676495915</v>
      </c>
      <c r="AS44" s="12">
        <f ca="1">IF(AND(ISNUMBER(tblData[NSW]),tblData[Date]&gt;StartDt2NSW),(tblData[[#This Row],[NSW LogiP(t)]]-tblData[[#This Row],[NSW]])^2,"")</f>
        <v>7.5440248753752153</v>
      </c>
      <c r="AT44" s="12">
        <f ca="1">IF(AND(tblData[Date]&gt;StartDt2NSW,ISNUMBER(tblData[Day'# Aust])),tblData[NSW LogiP(t)]/$AR$9,"")</f>
        <v>1.5511895639227617</v>
      </c>
      <c r="AU44" s="11">
        <f>tblData[[#This Row],[Date]]-NSW100dt+1</f>
        <v>-15</v>
      </c>
      <c r="AV44" s="11">
        <f ca="1">IF(AND(ISNUMBER(tblData[NSW]),tblData[Date]&gt;StartDt2NSW),(tblData[NSW]-AVERAGE(tblData[NSW]))^2,"")</f>
        <v>83990.760134425553</v>
      </c>
      <c r="AW44" s="39">
        <f ca="1">IF(AND(tblData[Date]&gt;StartDt2Italy,ISNUMBER(tblData[Days'# Italy])),betaItaly/(deltaItaly+betaPodeltaItaly*EXP(-betaItaly*tblData[Days'# Italy])),"")</f>
        <v>270.24774128865971</v>
      </c>
      <c r="AX44" s="11">
        <f ca="1">IF(AND(tblData[Date]&gt;StartDt2Italy,ISNUMBER(tblData[Italy])),(tblData[[#This Row],[Italy LogiP(t)]]-tblData[[#This Row],[Italy]])^2,"")</f>
        <v>1701.3761614162031</v>
      </c>
      <c r="AY44" s="39">
        <f ca="1">IF(AND(tblData[Date]&gt;StartDt2Italy,ISNUMBER(tblData[Days'# Italy])),tblData[[#This Row],[Italy LogiP(t)]]/$AW$9,"")</f>
        <v>44.680125864042282</v>
      </c>
      <c r="AZ44" s="39">
        <f ca="1">IF(AND(ISNUMBER(tblData[Italy]),tblData[Date]&gt;StartDt2Italy),(tblData[Italy]-AVERAGE(tblData[Italy]))^2,"")</f>
        <v>430553277.82716048</v>
      </c>
      <c r="BA44" s="11">
        <f>tblData[[#This Row],[Date]]-Italy100dt+1</f>
        <v>-2</v>
      </c>
      <c r="BB44" s="11">
        <f ca="1">IF(AND(tblData[Date]&gt;StartDt2US,ISNUMBER(tblData[[#This Row],[Days'# US]])),betaUS/(deltaUS+betaPodeltaUS*EXP(-betaUS*tblData[Days'# US])),"")</f>
        <v>11.665175005486651</v>
      </c>
      <c r="BC44" s="11">
        <f ca="1">IF(AND(tblData[Date]&gt;StartDt2US,ISNUMBER(tblData[US])),(tblData[[#This Row],[US LogiP(t)]]-tblData[US])^2,"")</f>
        <v>1547.2284573489919</v>
      </c>
      <c r="BD44" s="137">
        <f ca="1">IF(AND(tblData[Date]&gt;=StartDt2US,ISNUMBER(tblData[[#This Row],[Days'# US]])),tblData[[#This Row],[US LogiP(t)]]/$BB$9,"")</f>
        <v>0.35431931686239626</v>
      </c>
      <c r="BE44" s="137">
        <f ca="1">IF(AND(ISNUMBER(tblData[US]),tblData[Date]&gt;StartDt2US),(tblData[US]-AVERAGE(tblData[US]))^2,"")</f>
        <v>333560834.1521523</v>
      </c>
      <c r="BF44" s="11">
        <f>tblData[[#This Row],[Date]]-US100dt+1</f>
        <v>-18</v>
      </c>
      <c r="BG44" s="20">
        <f ca="1">IF(tblData[Date]&gt;StartDt2SKorea,betaSKorea/(deltaSKorea+betaPodeltaSKorea*EXP(-betaSKorea*(tblData[Date]-StartDt2SKorea))),"")</f>
        <v>1065.4842821594655</v>
      </c>
      <c r="BH44" s="20">
        <f ca="1">IF(AND(tblData[Date]&gt;StartDt2SKorea,ISNUMBER(tblData[SKorea])),(tblData[[#This Row],[SKorea LogiP(t)]]-tblData[[#This Row],[SKorea]])^2,"")</f>
        <v>54048.94145120195</v>
      </c>
      <c r="BI44" s="20">
        <f ca="1">IF(tblData[Date]&gt;StartDt2SKorea,tblData[[#This Row],[SKorea LogiP(t)]]/$BG$9,"")</f>
        <v>207.29266189872871</v>
      </c>
      <c r="BJ44" s="137">
        <f ca="1">IF(AND(ISNUMBER(tblData[SKorea]),tblData[Date]&gt;StartDt2SKorea),(tblData[SKorea]-AVERAGE(tblData[SKorea]))^2,"")</f>
        <v>8568071.0724062677</v>
      </c>
      <c r="BK44" s="11">
        <f>tblData[[#This Row],[Date]]-SKorea100dt+1</f>
        <v>3</v>
      </c>
      <c r="BL44" s="137">
        <f ca="1">IF(AND(tblData[Date]&gt;StartDt2UK,ISNUMBER(tblData[Days'# UK])),betaUK/(deltaUK+betaPodeltaUK*EXP(-betaUK*tblData[Days'# UK])),"")</f>
        <v>18.37318256964609</v>
      </c>
      <c r="BM44" s="20">
        <f ca="1">IF(AND(tblData[Date]&gt;StartDt2UK,ISNUMBER(tblData[UK])),(tblData[[#This Row],[UK LogiP(t)]]-tblData[[#This Row],[UK]])^2,"")</f>
        <v>28.871090926748561</v>
      </c>
      <c r="BN44" s="20">
        <f ca="1">IF(ISNUMBER(tblData[Days'# UK]),tblData[[#This Row],[UK LogiP(t)]]/$BL$9,"")</f>
        <v>2.7653796763464915</v>
      </c>
      <c r="BO44" s="137">
        <f ca="1">IF(AND(ISNUMBER(tblData[UK]),tblData[Date]&gt;StartDt2UK),(tblData[UK]-AVERAGE(tblData[UK]))^2,"")</f>
        <v>9559580.5918367337</v>
      </c>
      <c r="BP44" s="11">
        <f>tblData[[#This Row],[Date]]-UK100dt</f>
        <v>-17</v>
      </c>
      <c r="BQ44" s="11">
        <f ca="1">IF(ISNUMBER(tblData[Days'# China]),betaChina/(deltaChina+betaPodeltaChina*EXP(-betaChina*tblData[Days'# China])),"")</f>
        <v>78492.29220341469</v>
      </c>
      <c r="BR44" s="11">
        <f ca="1">IF(ISNUMBER(tblData[China]),(tblData[[#This Row],[China LogiP(t)]]-tblData[[#This Row],[China]])^2,"")</f>
        <v>1565732.1783263911</v>
      </c>
      <c r="BS44" s="11">
        <f ca="1">tblData[[#This Row],[China LogiP(t)]]/$BQ$9</f>
        <v>545.34145487092053</v>
      </c>
      <c r="BT44" s="137">
        <f ca="1">IF(AND(ISNUMBER(tblData[China]),tblData[Date]&gt;StartDt2China),(tblData[China]-AVERAGE(tblData[China]))^2,"")</f>
        <v>292821990.08629239</v>
      </c>
      <c r="BU44" s="11">
        <f>tblData[[#This Row],[Date]]-China100dt</f>
        <v>33</v>
      </c>
      <c r="BV44" s="106">
        <f>IF(ISNUMBER(tblData[Day'# Singapore]),betaSingapore/(deltaSingapore+betaPodeltaSingapore*EXP(-betaSingapore*tblData[Day'# Singapore])),"")</f>
        <v>54.80272485992527</v>
      </c>
      <c r="BW44" s="11">
        <f>IF(AND(ISNUMBER(tblData[Singapore]),tblData[Date]&gt;=StartDt2Singapore),(tblData[[#This Row],[Singapore LogiP(t)]]-tblData[[#This Row],[Singapore]])^2,"")</f>
        <v>1169.4536270059732</v>
      </c>
      <c r="BX44" s="106">
        <f>IF(ISNUMBER(tblData[Day'# Singapore]),tblData[Singapore LogiP(t)]/$BV$9,"")</f>
        <v>93.679871555427823</v>
      </c>
      <c r="BY44" s="106">
        <f>IF(AND(ISNUMBER(tblData[Singapore]),tblData[Date]&gt;StartDt2Singapore),(tblData[Singapore]-AVERAGE(tblData[Singapore]))^2,"")</f>
        <v>12084.512001586987</v>
      </c>
      <c r="BZ44" s="11">
        <f>tblData[[#This Row],[Date]]-Singapore100dt+1</f>
        <v>14</v>
      </c>
      <c r="CA44" s="11">
        <f ca="1">IF(AND(tblData[Date]&gt;StartDt2Generic,ISNUMBER(tblData[Day'# Generic])),betaGeneric/(deltaGeneric+betaPodeltaGeneric*EXP(-betaGeneric*tblData[Day'# Generic])),"")</f>
        <v>0.66300016226090419</v>
      </c>
      <c r="CB44" s="106" t="str">
        <f ca="1">IF(AND(ISNUMBER(tblData[Generic]),tblData[Date]&gt;StartDt2Generic),(tblData[Generic LogiP(t)]-tblData[[#This Row],[Generic]])^2,"")</f>
        <v/>
      </c>
      <c r="CC44" s="11" t="str">
        <f ca="1">IF(AND(ISNUMBER(tblData[Generic]),tblData[Date]&gt;StartDt2Generic),tblData[Generic LogiP(t)]/$CA$9,"")</f>
        <v/>
      </c>
      <c r="CD44" s="106" t="str">
        <f ca="1">IF(AND(ISNUMBER(tblData[Generic]),tblData[Date]&gt;StartDt2Generic),(tblData[Generic]-AVERAGE(tblData[Generic]))^2,"")</f>
        <v/>
      </c>
      <c r="CE44" s="11">
        <f>tblData[[#This Row],[Date]]-Generic100dt+1</f>
        <v>-25</v>
      </c>
      <c r="CG44" s="11"/>
      <c r="CH44" s="11" t="str">
        <f>IF(ISNUMBER(tblData[[#This Row],[Tests]]),tblData[[#This Row],[Tests]]-CH43,"")</f>
        <v/>
      </c>
      <c r="CI44" s="11" t="str">
        <f>IF(ISNUMBER(tblData[[#This Row],[NSW Under Investigation'']]),tblData[[#This Row],[NSW Under Investigation'']]-CG43,"")</f>
        <v/>
      </c>
      <c r="CJ44" s="11"/>
      <c r="CK44" s="11" t="str">
        <f>IF(AND(tblData[[#This Row],[NSW Test Day Number]]&gt;0,ISNUMBER(tblData[[#This Row],[NSW Test Day Number]])),betaTests/(deltaTests+betaPodeltaTests*EXP(-betaTests*tblData[[#This Row],[NSW Test Day Number]])),"")</f>
        <v/>
      </c>
      <c r="CL44" s="11" t="str">
        <f>IF(tblData[Tests]&gt;0,(tblData[[#This Row],[Tests]]-tblData[[#This Row],[NSW Test Logi]])^2,"")</f>
        <v/>
      </c>
      <c r="CM44" s="106" t="str">
        <f>IF(AND(ISNUMBER(tblData[Tests]),tblData[Date]&gt;StartDt2Tests),(tblData[Tests]-AVERAGE(tblData[Tests]))^2,"")</f>
        <v/>
      </c>
      <c r="CN44" s="11" t="str">
        <f>IF(ISNUMBER(tblData[Tests]),tblData[Tests]/$CN$9/100,"")</f>
        <v/>
      </c>
      <c r="CO44" s="11" t="str">
        <f>IF(AND(tblData[[#This Row],[NSW Test Day Number]]&gt;0,ISNUMBER(tblData[[#This Row],[NSW Test Day Number]])),TestsLogestB*TestsLogestM^tblData[[#This Row],[NSW Test Day Number]],"")</f>
        <v/>
      </c>
      <c r="CP44" s="11" t="str">
        <f>IF(AND(tblData[[#This Row],[NSW Test Day Number]]&gt;0,ISNUMBER(tblData[Tests])),(tblData[Tests]-tblData[[#This Row],[NSW Test Per Capita]])^2,"")</f>
        <v/>
      </c>
      <c r="CQ44" s="39">
        <f ca="1">IF(AND(tblData[Day '# NSW]&gt;0,ISNUMBER(tblData[[#This Row],[Day '# NSW]])),NSWLogestB*NSWLogestM^tblData[[#This Row],[Day '# NSW]]/$CR$9,"")</f>
        <v>24.60538565743537</v>
      </c>
      <c r="CR44" s="39">
        <f ca="1">IF(AND(ISNUMBER(tblData[NSW]),tblData[Date]&gt;StartDt2NSW),(tblData[NSW]/$CR$9-tblData[[#This Row],[NSW Cases LogEst]])^2,"")</f>
        <v>386.31472480971138</v>
      </c>
      <c r="CS44" s="11"/>
      <c r="CT44" s="11"/>
      <c r="CW44" s="25"/>
      <c r="CX44"/>
      <c r="DK44" s="25"/>
      <c r="DL44" s="25"/>
      <c r="DM44" s="25"/>
      <c r="DR44"/>
      <c r="DS44"/>
      <c r="DT44"/>
      <c r="DU44"/>
      <c r="EB44" s="25"/>
      <c r="EC44" s="25"/>
      <c r="ED44" s="25"/>
      <c r="EE44" s="25"/>
      <c r="EK44"/>
      <c r="EL44"/>
      <c r="EM44"/>
      <c r="EN44"/>
      <c r="EO44"/>
      <c r="EP44" s="25"/>
      <c r="ER44" s="25"/>
      <c r="ES44" s="25"/>
      <c r="ET44"/>
      <c r="EU44" s="25" t="s">
        <v>153</v>
      </c>
      <c r="EV44" s="69"/>
      <c r="EW44" s="26">
        <v>43855</v>
      </c>
      <c r="EY44" s="25">
        <v>1</v>
      </c>
      <c r="EZ44" s="25">
        <v>0.19837162818971904</v>
      </c>
      <c r="FA44" s="24">
        <v>1.00000000000157E-8</v>
      </c>
      <c r="FB44" s="21">
        <v>6.9460009994493713E-3</v>
      </c>
      <c r="FC44" s="82">
        <v>19837162.818940759</v>
      </c>
      <c r="FD44" s="82">
        <v>3.6531506142049168</v>
      </c>
      <c r="FE44" s="12">
        <v>28.559113097735587</v>
      </c>
      <c r="FF44" s="84">
        <v>1.00000000000157E-5</v>
      </c>
      <c r="FG44" s="26">
        <v>43910</v>
      </c>
      <c r="FH44" s="25" t="s">
        <v>973</v>
      </c>
      <c r="FI44" s="84"/>
      <c r="FJ44" s="84">
        <v>382</v>
      </c>
      <c r="FK44" s="25" t="s">
        <v>974</v>
      </c>
      <c r="FL44" s="26">
        <v>43910</v>
      </c>
      <c r="FM44" s="25">
        <v>56</v>
      </c>
      <c r="FN44" s="25" t="s">
        <v>975</v>
      </c>
      <c r="FO44" s="25"/>
      <c r="FP44" s="25" t="s">
        <v>976</v>
      </c>
      <c r="FR44" t="s">
        <v>977</v>
      </c>
      <c r="FS44" s="19">
        <v>472.77227722772273</v>
      </c>
      <c r="FT44" s="72"/>
      <c r="FU44" s="25"/>
      <c r="FV44" s="148"/>
      <c r="FW44" s="25"/>
      <c r="FX44" s="25" t="s">
        <v>978</v>
      </c>
      <c r="FY44" s="25"/>
      <c r="FZ44" s="25"/>
      <c r="GA44" s="25"/>
      <c r="GC44" s="25"/>
    </row>
    <row r="45" spans="2:185" x14ac:dyDescent="0.25">
      <c r="B45" s="1">
        <v>43886</v>
      </c>
      <c r="C45">
        <v>7</v>
      </c>
      <c r="D45" s="25">
        <v>0</v>
      </c>
      <c r="E45">
        <v>4</v>
      </c>
      <c r="F45">
        <v>0</v>
      </c>
      <c r="G45">
        <v>5</v>
      </c>
      <c r="H45">
        <v>2</v>
      </c>
      <c r="I45">
        <v>0</v>
      </c>
      <c r="J45">
        <v>4</v>
      </c>
      <c r="K45">
        <v>0</v>
      </c>
      <c r="L45" s="12">
        <f>IF(ISNUMBER(tblData[[#This Row],[NSW]]),tblData[[#This Row],[New South Wales]]/$L$9,"")</f>
        <v>4.9504950495049505</v>
      </c>
      <c r="M45" s="25">
        <v>322</v>
      </c>
      <c r="N45" s="106">
        <f>IF(ISNUMBER(tblData[Italy]),tblData[Italy]/$N$9,"")</f>
        <v>53.236339588327688</v>
      </c>
      <c r="O45">
        <v>51</v>
      </c>
      <c r="P45" s="106">
        <f>IF(ISNUMBER(tblData[US]),tblData[US]/$P$9,"")</f>
        <v>1.5490796453103319</v>
      </c>
      <c r="Q45">
        <v>977</v>
      </c>
      <c r="R45" s="106">
        <f>IF(ISNUMBER(tblData[SKorea]),tblData[SKorea]/$R$9,"")</f>
        <v>190.07782101167317</v>
      </c>
      <c r="S45">
        <v>13</v>
      </c>
      <c r="T45" s="106">
        <f>IF(ISNUMBER(tblData[UK]),tblData[UK]/$T$9,"")</f>
        <v>1.9566526189042746</v>
      </c>
      <c r="U45">
        <v>77754</v>
      </c>
      <c r="V45" s="106">
        <f>IF(ISNUMBER(tblData[China]),tblData[China]/$V$9,"")</f>
        <v>540.21201689646796</v>
      </c>
      <c r="W45">
        <v>91</v>
      </c>
      <c r="X45" s="106">
        <f>IF(ISNUMBER(tblData[Singapore]),tblData[Singapore]/$X$9,"")</f>
        <v>155.55555555555557</v>
      </c>
      <c r="Y45"/>
      <c r="Z45" s="20" t="str">
        <f>IF(AND(LEN(tblData[Generic])&gt;0,ISNUMBER(tblData[Generic])),tblData[Generic]/$Z$9,"")</f>
        <v/>
      </c>
      <c r="AA45" s="25">
        <f ca="1">IF(tblData[[#This Row],[Date]]&lt;StartDt2Italy,"",tblData[[#This Row],[Date]]-ItalyStart)</f>
        <v>26</v>
      </c>
      <c r="AB45" s="25">
        <f ca="1">IF(tblData[[#This Row],[Date]]&lt;=StartDt2US,"",tblData[[#This Row],[Date]]-USStart)</f>
        <v>34</v>
      </c>
      <c r="AC45" s="25">
        <f ca="1">IF(tblData[[#This Row],[Date]]&lt;StartDt2China,"",tblData[[#This Row],[Date]]-ChinaStart)</f>
        <v>34</v>
      </c>
      <c r="AD45" s="25">
        <f>IF(tblData[[#This Row],[Date]]&lt;=SKoreaStart,"",tblData[[#This Row],[Date]]-SKoreaStart)</f>
        <v>34</v>
      </c>
      <c r="AE45" s="25">
        <f ca="1">IF(tblData[[#This Row],[Date]]&lt;=StartDt2UK,"",tblData[[#This Row],[Date]]-UKStart)</f>
        <v>26</v>
      </c>
      <c r="AF45" s="25">
        <f>IF(tblData[[#This Row],[Date]]&lt;StartDt2Singapore,"",tblData[[#This Row],[Date]]-SingaporeStart)</f>
        <v>33</v>
      </c>
      <c r="AG45" s="25">
        <f ca="1">IF(tblData[[#This Row],[Date]]&lt;StartDt2Generic,"",tblData[[#This Row],[Date]]-GenericStart)</f>
        <v>34</v>
      </c>
      <c r="AH45">
        <f ca="1">IF(tblData[Date]&gt;StartDt2Au,tblData[Date]-AuStart,"")</f>
        <v>31</v>
      </c>
      <c r="AI45" s="25">
        <f>IF(tblData[New South Wales]&gt;=0,SUM(tblData[[#This Row],[Australian Capital Territory]:[Western Australia]]),"")</f>
        <v>15</v>
      </c>
      <c r="AJ45" s="12">
        <f>IF(ISNUMBER(tblData[Au]),tblData[Au]/$AE$9,"")</f>
        <v>5.9138937076170954</v>
      </c>
      <c r="AK45" s="19">
        <f ca="1">IF(ISNUMBER(tblData[[#This Row],[Day'# Aust]]),betaAu/(deltaAu+betaPodeltaAu*EXP(-betaAu*tblData[[#This Row],[Day'# Aust]])),"")</f>
        <v>2.5532120246207137</v>
      </c>
      <c r="AL45" s="62">
        <f ca="1">IF(ISNUMBER(tblData[Day'# Aust]),tblData[Au LogiP(t)]/$AJ$9,"")</f>
        <v>1.0066283017744495</v>
      </c>
      <c r="AM45" s="11">
        <f ca="1">IF(AND(tblData[Date]&gt;StartDt2Au,ISNUMBER(tblData[NSW])),(tblData[[#This Row],[Au LogiP(t)]]-tblData[[#This Row],[Au]])^2,"")</f>
        <v>154.92253090404643</v>
      </c>
      <c r="AN45" s="11">
        <f ca="1">IF(AND(ISNUMBER(tblData[Au]),tblData[Date]&gt;StartDt2Au),(tblData[Au]-AVERAGE(tblData[Au]))^2,"")</f>
        <v>183488.66503328402</v>
      </c>
      <c r="AO45" s="11">
        <f>tblData[[#This Row],[Date]]-Au100dt</f>
        <v>-18</v>
      </c>
      <c r="AP45">
        <f ca="1">IF(tblData[Date]&gt;StartDt2NSW,tblData[Date]-StartDt2NSW,"")</f>
        <v>31</v>
      </c>
      <c r="AQ45" s="25">
        <f>IF(tblData[[#This Row],[New South Wales]]&gt;0,tblData[[#This Row],[New South Wales]],"")</f>
        <v>4</v>
      </c>
      <c r="AR45" s="44">
        <f ca="1">IF(tblData[Date]&gt;StartDt2NSW,betaNSW/(deltaNSW+betaPodeltaNSW*EXP(-betaNSW*tblData[[#This Row],[Day '# NSW]])),"")</f>
        <v>1.5896546491106005</v>
      </c>
      <c r="AS45" s="12">
        <f ca="1">IF(AND(ISNUMBER(tblData[NSW]),tblData[Date]&gt;StartDt2NSW),(tblData[[#This Row],[NSW LogiP(t)]]-tblData[[#This Row],[NSW]])^2,"")</f>
        <v>5.809764710554143</v>
      </c>
      <c r="AT45" s="12">
        <f ca="1">IF(AND(tblData[Date]&gt;StartDt2NSW,ISNUMBER(tblData[Day'# Aust])),tblData[NSW LogiP(t)]/$AR$9,"")</f>
        <v>1.9673943677111392</v>
      </c>
      <c r="AU45" s="11">
        <f>tblData[[#This Row],[Date]]-NSW100dt+1</f>
        <v>-14</v>
      </c>
      <c r="AV45" s="11">
        <f ca="1">IF(AND(ISNUMBER(tblData[NSW]),tblData[Date]&gt;StartDt2NSW),(tblData[NSW]-AVERAGE(tblData[NSW]))^2,"")</f>
        <v>83990.760134425553</v>
      </c>
      <c r="AW45" s="39">
        <f ca="1">IF(AND(tblData[Date]&gt;StartDt2Italy,ISNUMBER(tblData[Days'# Italy])),betaItaly/(deltaItaly+betaPodeltaItaly*EXP(-betaItaly*tblData[Days'# Italy])),"")</f>
        <v>349.03125938510857</v>
      </c>
      <c r="AX45" s="11">
        <f ca="1">IF(AND(tblData[Date]&gt;StartDt2Italy,ISNUMBER(tblData[Italy])),(tblData[[#This Row],[Italy LogiP(t)]]-tblData[[#This Row],[Italy]])^2,"")</f>
        <v>730.68898394502014</v>
      </c>
      <c r="AY45" s="39">
        <f ca="1">IF(AND(tblData[Date]&gt;StartDt2Italy,ISNUMBER(tblData[Days'# Italy])),tblData[[#This Row],[Italy LogiP(t)]]/$AW$9,"")</f>
        <v>57.705424383749452</v>
      </c>
      <c r="AZ45" s="39">
        <f ca="1">IF(AND(ISNUMBER(tblData[Italy]),tblData[Date]&gt;StartDt2Italy),(tblData[Italy]-AVERAGE(tblData[Italy]))^2,"")</f>
        <v>426702468.16049379</v>
      </c>
      <c r="BA45" s="11">
        <f>tblData[[#This Row],[Date]]-Italy100dt+1</f>
        <v>-1</v>
      </c>
      <c r="BB45" s="11">
        <f ca="1">IF(AND(tblData[Date]&gt;StartDt2US,ISNUMBER(tblData[[#This Row],[Days'# US]])),betaUS/(deltaUS+betaPodeltaUS*EXP(-betaUS*tblData[Days'# US])),"")</f>
        <v>15.492731872448307</v>
      </c>
      <c r="BC45" s="11">
        <f ca="1">IF(AND(tblData[Date]&gt;StartDt2US,ISNUMBER(tblData[US])),(tblData[[#This Row],[US LogiP(t)]]-tblData[US])^2,"")</f>
        <v>1260.7660898818485</v>
      </c>
      <c r="BD45" s="137">
        <f ca="1">IF(AND(tblData[Date]&gt;=StartDt2US,ISNUMBER(tblData[[#This Row],[Days'# US]])),tblData[[#This Row],[US LogiP(t)]]/$BB$9,"")</f>
        <v>0.47057795282079012</v>
      </c>
      <c r="BE45" s="137">
        <f ca="1">IF(AND(ISNUMBER(tblData[US]),tblData[Date]&gt;StartDt2US),(tblData[US]-AVERAGE(tblData[US]))^2,"")</f>
        <v>333560834.1521523</v>
      </c>
      <c r="BF45" s="11">
        <f>tblData[[#This Row],[Date]]-US100dt+1</f>
        <v>-17</v>
      </c>
      <c r="BG45" s="20">
        <f ca="1">IF(tblData[Date]&gt;StartDt2SKorea,betaSKorea/(deltaSKorea+betaPodeltaSKorea*EXP(-betaSKorea*(tblData[Date]-StartDt2SKorea))),"")</f>
        <v>1336.7137789026094</v>
      </c>
      <c r="BH45" s="20">
        <f ca="1">IF(AND(tblData[Date]&gt;StartDt2SKorea,ISNUMBER(tblData[SKorea])),(tblData[[#This Row],[SKorea LogiP(t)]]-tblData[[#This Row],[SKorea]])^2,"")</f>
        <v>129394.00273239537</v>
      </c>
      <c r="BI45" s="20">
        <f ca="1">IF(tblData[Date]&gt;StartDt2SKorea,tblData[[#This Row],[SKorea LogiP(t)]]/$BG$9,"")</f>
        <v>260.06104647910689</v>
      </c>
      <c r="BJ45" s="137">
        <f ca="1">IF(AND(ISNUMBER(tblData[SKorea]),tblData[Date]&gt;StartDt2SKorea),(tblData[SKorea]-AVERAGE(tblData[SKorea]))^2,"")</f>
        <v>7745794.5653640144</v>
      </c>
      <c r="BK45" s="11">
        <f>tblData[[#This Row],[Date]]-SKorea100dt+1</f>
        <v>4</v>
      </c>
      <c r="BL45" s="137">
        <f ca="1">IF(AND(tblData[Date]&gt;StartDt2UK,ISNUMBER(tblData[Days'# UK])),betaUK/(deltaUK+betaPodeltaUK*EXP(-betaUK*tblData[Days'# UK])),"")</f>
        <v>22.748727967947922</v>
      </c>
      <c r="BM45" s="20">
        <f ca="1">IF(AND(tblData[Date]&gt;StartDt2UK,ISNUMBER(tblData[UK])),(tblData[[#This Row],[UK LogiP(t)]]-tblData[[#This Row],[UK]])^2,"")</f>
        <v>95.037696993050005</v>
      </c>
      <c r="BN45" s="20">
        <f ca="1">IF(ISNUMBER(tblData[Days'# UK]),tblData[[#This Row],[UK LogiP(t)]]/$BL$9,"")</f>
        <v>3.4239506273250937</v>
      </c>
      <c r="BO45" s="137">
        <f ca="1">IF(AND(ISNUMBER(tblData[UK]),tblData[Date]&gt;StartDt2UK),(tblData[UK]-AVERAGE(tblData[UK]))^2,"")</f>
        <v>9559580.5918367337</v>
      </c>
      <c r="BP45" s="11">
        <f>tblData[[#This Row],[Date]]-UK100dt</f>
        <v>-16</v>
      </c>
      <c r="BQ45" s="11">
        <f ca="1">IF(ISNUMBER(tblData[Days'# China]),betaChina/(deltaChina+betaPodeltaChina*EXP(-betaChina*tblData[Days'# China])),"")</f>
        <v>79018.933144809955</v>
      </c>
      <c r="BR45" s="11">
        <f ca="1">IF(ISNUMBER(tblData[China]),(tblData[[#This Row],[China LogiP(t)]]-tblData[[#This Row],[China]])^2,"")</f>
        <v>1600055.8608388018</v>
      </c>
      <c r="BS45" s="11">
        <f ca="1">tblData[[#This Row],[China LogiP(t)]]/$BQ$9</f>
        <v>549.00040187212164</v>
      </c>
      <c r="BT45" s="137">
        <f ca="1">IF(AND(ISNUMBER(tblData[China]),tblData[Date]&gt;StartDt2China),(tblData[China]-AVERAGE(tblData[China]))^2,"")</f>
        <v>310642114.43840504</v>
      </c>
      <c r="BU45" s="11">
        <f>tblData[[#This Row],[Date]]-China100dt</f>
        <v>34</v>
      </c>
      <c r="BV45" s="106">
        <f>IF(ISNUMBER(tblData[Day'# Singapore]),betaSingapore/(deltaSingapore+betaPodeltaSingapore*EXP(-betaSingapore*tblData[Day'# Singapore])),"")</f>
        <v>59.340784329341659</v>
      </c>
      <c r="BW45" s="11">
        <f>IF(AND(ISNUMBER(tblData[Singapore]),tblData[Date]&gt;=StartDt2Singapore),(tblData[[#This Row],[Singapore LogiP(t)]]-tblData[[#This Row],[Singapore]])^2,"")</f>
        <v>1002.3059368812586</v>
      </c>
      <c r="BX45" s="106">
        <f>IF(ISNUMBER(tblData[Day'# Singapore]),tblData[Singapore LogiP(t)]/$BV$9,"")</f>
        <v>101.4372381698148</v>
      </c>
      <c r="BY45" s="106">
        <f>IF(AND(ISNUMBER(tblData[Singapore]),tblData[Date]&gt;StartDt2Singapore),(tblData[Singapore]-AVERAGE(tblData[Singapore]))^2,"")</f>
        <v>11648.793691727833</v>
      </c>
      <c r="BZ45" s="11">
        <f>tblData[[#This Row],[Date]]-Singapore100dt+1</f>
        <v>15</v>
      </c>
      <c r="CA45" s="11">
        <f ca="1">IF(AND(tblData[Date]&gt;StartDt2Generic,ISNUMBER(tblData[Day'# Generic])),betaGeneric/(deltaGeneric+betaPodeltaGeneric*EXP(-betaGeneric*tblData[Day'# Generic])),"")</f>
        <v>0.8072328797861773</v>
      </c>
      <c r="CB45" s="106" t="str">
        <f ca="1">IF(AND(ISNUMBER(tblData[Generic]),tblData[Date]&gt;StartDt2Generic),(tblData[Generic LogiP(t)]-tblData[[#This Row],[Generic]])^2,"")</f>
        <v/>
      </c>
      <c r="CC45" s="11" t="str">
        <f ca="1">IF(AND(ISNUMBER(tblData[Generic]),tblData[Date]&gt;StartDt2Generic),tblData[Generic LogiP(t)]/$CA$9,"")</f>
        <v/>
      </c>
      <c r="CD45" s="106" t="str">
        <f ca="1">IF(AND(ISNUMBER(tblData[Generic]),tblData[Date]&gt;StartDt2Generic),(tblData[Generic]-AVERAGE(tblData[Generic]))^2,"")</f>
        <v/>
      </c>
      <c r="CE45" s="11">
        <f>tblData[[#This Row],[Date]]-Generic100dt+1</f>
        <v>-24</v>
      </c>
      <c r="CG45" s="11"/>
      <c r="CH45" s="11" t="str">
        <f>IF(ISNUMBER(tblData[[#This Row],[Tests]]),tblData[[#This Row],[Tests]]-CH44,"")</f>
        <v/>
      </c>
      <c r="CI45" s="11" t="str">
        <f>IF(ISNUMBER(tblData[[#This Row],[NSW Under Investigation'']]),tblData[[#This Row],[NSW Under Investigation'']]-CG44,"")</f>
        <v/>
      </c>
      <c r="CJ45" s="11"/>
      <c r="CK45" s="11" t="str">
        <f>IF(AND(tblData[[#This Row],[NSW Test Day Number]]&gt;0,ISNUMBER(tblData[[#This Row],[NSW Test Day Number]])),betaTests/(deltaTests+betaPodeltaTests*EXP(-betaTests*tblData[[#This Row],[NSW Test Day Number]])),"")</f>
        <v/>
      </c>
      <c r="CL45" s="11" t="str">
        <f>IF(tblData[Tests]&gt;0,(tblData[[#This Row],[Tests]]-tblData[[#This Row],[NSW Test Logi]])^2,"")</f>
        <v/>
      </c>
      <c r="CM45" s="106" t="str">
        <f>IF(AND(ISNUMBER(tblData[Tests]),tblData[Date]&gt;StartDt2Tests),(tblData[Tests]-AVERAGE(tblData[Tests]))^2,"")</f>
        <v/>
      </c>
      <c r="CN45" s="11" t="str">
        <f>IF(ISNUMBER(tblData[Tests]),tblData[Tests]/$CN$9/100,"")</f>
        <v/>
      </c>
      <c r="CO45" s="11" t="str">
        <f>IF(AND(tblData[[#This Row],[NSW Test Day Number]]&gt;0,ISNUMBER(tblData[[#This Row],[NSW Test Day Number]])),TestsLogestB*TestsLogestM^tblData[[#This Row],[NSW Test Day Number]],"")</f>
        <v/>
      </c>
      <c r="CP45" s="11" t="str">
        <f>IF(AND(tblData[[#This Row],[NSW Test Day Number]]&gt;0,ISNUMBER(tblData[Tests])),(tblData[Tests]-tblData[[#This Row],[NSW Test Per Capita]])^2,"")</f>
        <v/>
      </c>
      <c r="CQ45" s="39">
        <f ca="1">IF(AND(tblData[Day '# NSW]&gt;0,ISNUMBER(tblData[[#This Row],[Day '# NSW]])),NSWLogestB*NSWLogestM^tblData[[#This Row],[Day '# NSW]]/$CR$9,"")</f>
        <v>27.384290195372259</v>
      </c>
      <c r="CR45" s="39">
        <f ca="1">IF(AND(ISNUMBER(tblData[NSW]),tblData[Date]&gt;StartDt2NSW),(tblData[NSW]/$CR$9-tblData[[#This Row],[NSW Cases LogEst]])^2,"")</f>
        <v>503.27516464673954</v>
      </c>
      <c r="CS45" s="11"/>
      <c r="CT45" s="11"/>
      <c r="CW45" s="25"/>
      <c r="CX45"/>
      <c r="DK45" s="25"/>
      <c r="DL45" s="25"/>
      <c r="DM45" s="25"/>
      <c r="DR45"/>
      <c r="DS45"/>
      <c r="DT45"/>
      <c r="DU45"/>
      <c r="EB45" s="25"/>
      <c r="EC45" s="25"/>
      <c r="ED45" s="25"/>
      <c r="EE45" s="25"/>
      <c r="EK45"/>
      <c r="EL45"/>
      <c r="EM45"/>
      <c r="EN45"/>
      <c r="EO45"/>
      <c r="EP45" s="25"/>
      <c r="ER45" s="25"/>
      <c r="ES45" s="25"/>
      <c r="ET45"/>
      <c r="EU45" s="25" t="s">
        <v>153</v>
      </c>
      <c r="EV45" s="69">
        <v>43911.866284722222</v>
      </c>
      <c r="EW45" s="26">
        <v>43855</v>
      </c>
      <c r="EX45" s="26">
        <v>43855</v>
      </c>
      <c r="EY45" s="25">
        <v>1</v>
      </c>
      <c r="EZ45" s="25">
        <v>0.20930602113130264</v>
      </c>
      <c r="FA45" s="24">
        <v>7.6817707886235747E-5</v>
      </c>
      <c r="FB45" s="21">
        <v>4.3039510033128963E-3</v>
      </c>
      <c r="FC45" s="82">
        <v>2724.7105763852951</v>
      </c>
      <c r="FD45" s="82">
        <v>4.2004617329616165</v>
      </c>
      <c r="FE45" s="12">
        <v>48.631057916445158</v>
      </c>
      <c r="FF45" s="84">
        <v>7.681770788623575E-2</v>
      </c>
      <c r="FG45" s="26">
        <v>43911</v>
      </c>
      <c r="FH45" s="25" t="s">
        <v>1041</v>
      </c>
      <c r="FI45" s="84"/>
      <c r="FJ45" s="84">
        <v>436</v>
      </c>
      <c r="FK45" s="25" t="s">
        <v>1042</v>
      </c>
      <c r="FL45" s="26">
        <v>43911</v>
      </c>
      <c r="FM45" s="25">
        <v>57</v>
      </c>
      <c r="FN45" s="25" t="s">
        <v>1043</v>
      </c>
      <c r="FO45" s="25"/>
      <c r="FP45" s="25" t="s">
        <v>1044</v>
      </c>
      <c r="FR45" s="25" t="s">
        <v>1045</v>
      </c>
      <c r="FS45" s="19">
        <v>539.60396039603961</v>
      </c>
      <c r="FT45" s="72"/>
      <c r="FU45" s="25"/>
      <c r="FV45" s="148"/>
      <c r="FW45" s="25"/>
      <c r="FX45" s="25" t="s">
        <v>1030</v>
      </c>
      <c r="FY45" s="25"/>
      <c r="FZ45" s="25"/>
      <c r="GA45" s="25"/>
      <c r="GB45" s="25"/>
      <c r="GC45" s="25"/>
    </row>
    <row r="46" spans="2:185" x14ac:dyDescent="0.25">
      <c r="B46" s="1">
        <v>43887</v>
      </c>
      <c r="C46">
        <v>7</v>
      </c>
      <c r="D46" s="25">
        <v>0</v>
      </c>
      <c r="E46">
        <v>4</v>
      </c>
      <c r="F46">
        <v>0</v>
      </c>
      <c r="G46">
        <v>5</v>
      </c>
      <c r="H46">
        <v>2</v>
      </c>
      <c r="I46">
        <v>0</v>
      </c>
      <c r="J46">
        <v>4</v>
      </c>
      <c r="K46">
        <v>0</v>
      </c>
      <c r="L46" s="12">
        <f>IF(ISNUMBER(tblData[[#This Row],[NSW]]),tblData[[#This Row],[New South Wales]]/$L$9,"")</f>
        <v>4.9504950495049505</v>
      </c>
      <c r="M46" s="25">
        <v>453</v>
      </c>
      <c r="N46" s="106">
        <f>IF(ISNUMBER(tblData[Italy]),tblData[Italy]/$N$9,"")</f>
        <v>74.894601967429949</v>
      </c>
      <c r="O46">
        <v>57</v>
      </c>
      <c r="P46" s="106">
        <f>IF(ISNUMBER(tblData[US]),tblData[US]/$P$9,"")</f>
        <v>1.7313243094644886</v>
      </c>
      <c r="Q46">
        <v>1261</v>
      </c>
      <c r="R46" s="106">
        <f>IF(ISNUMBER(tblData[SKorea]),tblData[SKorea]/$R$9,"")</f>
        <v>245.33073929961091</v>
      </c>
      <c r="S46">
        <v>13</v>
      </c>
      <c r="T46" s="106">
        <f>IF(ISNUMBER(tblData[UK]),tblData[UK]/$T$9,"")</f>
        <v>1.9566526189042746</v>
      </c>
      <c r="U46">
        <v>78166</v>
      </c>
      <c r="V46" s="106">
        <f>IF(ISNUMBER(tblData[China]),tblData[China]/$V$9,"")</f>
        <v>543.07447221659743</v>
      </c>
      <c r="W46">
        <v>93</v>
      </c>
      <c r="X46" s="106">
        <f>IF(ISNUMBER(tblData[Singapore]),tblData[Singapore]/$X$9,"")</f>
        <v>158.97435897435898</v>
      </c>
      <c r="Y46"/>
      <c r="Z46" s="20" t="str">
        <f>IF(AND(LEN(tblData[Generic])&gt;0,ISNUMBER(tblData[Generic])),tblData[Generic]/$Z$9,"")</f>
        <v/>
      </c>
      <c r="AA46" s="25">
        <f ca="1">IF(tblData[[#This Row],[Date]]&lt;StartDt2Italy,"",tblData[[#This Row],[Date]]-ItalyStart)</f>
        <v>27</v>
      </c>
      <c r="AB46" s="25">
        <f ca="1">IF(tblData[[#This Row],[Date]]&lt;=StartDt2US,"",tblData[[#This Row],[Date]]-USStart)</f>
        <v>35</v>
      </c>
      <c r="AC46" s="25">
        <f ca="1">IF(tblData[[#This Row],[Date]]&lt;StartDt2China,"",tblData[[#This Row],[Date]]-ChinaStart)</f>
        <v>35</v>
      </c>
      <c r="AD46" s="25">
        <f>IF(tblData[[#This Row],[Date]]&lt;=SKoreaStart,"",tblData[[#This Row],[Date]]-SKoreaStart)</f>
        <v>35</v>
      </c>
      <c r="AE46" s="25">
        <f ca="1">IF(tblData[[#This Row],[Date]]&lt;=StartDt2UK,"",tblData[[#This Row],[Date]]-UKStart)</f>
        <v>27</v>
      </c>
      <c r="AF46" s="25">
        <f>IF(tblData[[#This Row],[Date]]&lt;StartDt2Singapore,"",tblData[[#This Row],[Date]]-SingaporeStart)</f>
        <v>34</v>
      </c>
      <c r="AG46" s="25">
        <f ca="1">IF(tblData[[#This Row],[Date]]&lt;StartDt2Generic,"",tblData[[#This Row],[Date]]-GenericStart)</f>
        <v>35</v>
      </c>
      <c r="AH46">
        <f ca="1">IF(tblData[Date]&gt;StartDt2Au,tblData[Date]-AuStart,"")</f>
        <v>32</v>
      </c>
      <c r="AI46" s="25">
        <f>IF(tblData[New South Wales]&gt;=0,SUM(tblData[[#This Row],[Australian Capital Territory]:[Western Australia]]),"")</f>
        <v>15</v>
      </c>
      <c r="AJ46" s="12">
        <f>IF(ISNUMBER(tblData[Au]),tblData[Au]/$AE$9,"")</f>
        <v>5.9138937076170954</v>
      </c>
      <c r="AK46" s="19">
        <f ca="1">IF(ISNUMBER(tblData[[#This Row],[Day'# Aust]]),betaAu/(deltaAu+betaPodeltaAu*EXP(-betaAu*tblData[[#This Row],[Day'# Aust]])),"")</f>
        <v>3.2881152001730802</v>
      </c>
      <c r="AL46" s="62">
        <f ca="1">IF(ISNUMBER(tblData[Day'# Aust]),tblData[Au LogiP(t)]/$AJ$9,"")</f>
        <v>1.2963709194815802</v>
      </c>
      <c r="AM46" s="11">
        <f ca="1">IF(AND(tblData[Date]&gt;StartDt2Au,ISNUMBER(tblData[NSW])),(tblData[[#This Row],[Au LogiP(t)]]-tblData[[#This Row],[Au]])^2,"")</f>
        <v>137.16824556441682</v>
      </c>
      <c r="AN46" s="11">
        <f ca="1">IF(AND(ISNUMBER(tblData[Au]),tblData[Date]&gt;StartDt2Au),(tblData[Au]-AVERAGE(tblData[Au]))^2,"")</f>
        <v>183488.66503328402</v>
      </c>
      <c r="AO46" s="11">
        <f>tblData[[#This Row],[Date]]-Au100dt</f>
        <v>-17</v>
      </c>
      <c r="AP46">
        <f ca="1">IF(tblData[Date]&gt;StartDt2NSW,tblData[Date]-StartDt2NSW,"")</f>
        <v>32</v>
      </c>
      <c r="AQ46" s="25">
        <f>IF(tblData[[#This Row],[New South Wales]]&gt;0,tblData[[#This Row],[New South Wales]],"")</f>
        <v>4</v>
      </c>
      <c r="AR46" s="44">
        <f ca="1">IF(tblData[Date]&gt;StartDt2NSW,betaNSW/(deltaNSW+betaPodeltaNSW*EXP(-betaNSW*tblData[[#This Row],[Day '# NSW]])),"")</f>
        <v>2.0161194875667734</v>
      </c>
      <c r="AS46" s="12">
        <f ca="1">IF(AND(ISNUMBER(tblData[NSW]),tblData[Date]&gt;StartDt2NSW),(tblData[[#This Row],[NSW LogiP(t)]]-tblData[[#This Row],[NSW]])^2,"")</f>
        <v>3.9357818876123218</v>
      </c>
      <c r="AT46" s="12">
        <f ca="1">IF(AND(tblData[Date]&gt;StartDt2NSW,ISNUMBER(tblData[Day'# Aust])),tblData[NSW LogiP(t)]/$AR$9,"")</f>
        <v>2.4951973856024421</v>
      </c>
      <c r="AU46" s="11">
        <f>tblData[[#This Row],[Date]]-NSW100dt+1</f>
        <v>-13</v>
      </c>
      <c r="AV46" s="11">
        <f ca="1">IF(AND(ISNUMBER(tblData[NSW]),tblData[Date]&gt;StartDt2NSW),(tblData[NSW]-AVERAGE(tblData[NSW]))^2,"")</f>
        <v>83990.760134425553</v>
      </c>
      <c r="AW46" s="39">
        <f ca="1">IF(AND(tblData[Date]&gt;StartDt2Italy,ISNUMBER(tblData[Days'# Italy])),betaItaly/(deltaItaly+betaPodeltaItaly*EXP(-betaItaly*tblData[Days'# Italy])),"")</f>
        <v>450.67530061073171</v>
      </c>
      <c r="AX46" s="11">
        <f ca="1">IF(AND(tblData[Date]&gt;StartDt2Italy,ISNUMBER(tblData[Italy])),(tblData[[#This Row],[Italy LogiP(t)]]-tblData[[#This Row],[Italy]])^2,"")</f>
        <v>5.4042272504643583</v>
      </c>
      <c r="AY46" s="39">
        <f ca="1">IF(AND(tblData[Date]&gt;StartDt2Italy,ISNUMBER(tblData[Days'# Italy])),tblData[[#This Row],[Italy LogiP(t)]]/$AW$9,"")</f>
        <v>74.51025884280925</v>
      </c>
      <c r="AZ46" s="39">
        <f ca="1">IF(AND(ISNUMBER(tblData[Italy]),tblData[Date]&gt;StartDt2Italy),(tblData[Italy]-AVERAGE(tblData[Italy]))^2,"")</f>
        <v>421307553.38271606</v>
      </c>
      <c r="BA46" s="11">
        <f>tblData[[#This Row],[Date]]-Italy100dt+1</f>
        <v>0</v>
      </c>
      <c r="BB46" s="11">
        <f ca="1">IF(AND(tblData[Date]&gt;StartDt2US,ISNUMBER(tblData[[#This Row],[Days'# US]])),betaUS/(deltaUS+betaPodeltaUS*EXP(-betaUS*tblData[Days'# US])),"")</f>
        <v>20.576139206409785</v>
      </c>
      <c r="BC46" s="11">
        <f ca="1">IF(AND(tblData[Date]&gt;StartDt2US,ISNUMBER(tblData[US])),(tblData[[#This Row],[US LogiP(t)]]-tblData[US])^2,"")</f>
        <v>1326.6976351108385</v>
      </c>
      <c r="BD46" s="137">
        <f ca="1">IF(AND(tblData[Date]&gt;=StartDt2US,ISNUMBER(tblData[[#This Row],[Days'# US]])),tblData[[#This Row],[US LogiP(t)]]/$BB$9,"")</f>
        <v>0.62498192987688794</v>
      </c>
      <c r="BE46" s="137">
        <f ca="1">IF(AND(ISNUMBER(tblData[US]),tblData[Date]&gt;StartDt2US),(tblData[US]-AVERAGE(tblData[US]))^2,"")</f>
        <v>333341706.37750447</v>
      </c>
      <c r="BF46" s="11">
        <f>tblData[[#This Row],[Date]]-US100dt+1</f>
        <v>-16</v>
      </c>
      <c r="BG46" s="20">
        <f ca="1">IF(tblData[Date]&gt;StartDt2SKorea,betaSKorea/(deltaSKorea+betaPodeltaSKorea*EXP(-betaSKorea*(tblData[Date]-StartDt2SKorea))),"")</f>
        <v>1662.5877496816343</v>
      </c>
      <c r="BH46" s="20">
        <f ca="1">IF(AND(tblData[Date]&gt;StartDt2SKorea,ISNUMBER(tblData[SKorea])),(tblData[[#This Row],[SKorea LogiP(t)]]-tblData[[#This Row],[SKorea]])^2,"")</f>
        <v>161272.72069435893</v>
      </c>
      <c r="BI46" s="20">
        <f ca="1">IF(tblData[Date]&gt;StartDt2SKorea,tblData[[#This Row],[SKorea LogiP(t)]]/$BG$9,"")</f>
        <v>323.46065168903391</v>
      </c>
      <c r="BJ46" s="137">
        <f ca="1">IF(AND(ISNUMBER(tblData[SKorea]),tblData[Date]&gt;StartDt2SKorea),(tblData[SKorea]-AVERAGE(tblData[SKorea]))^2,"")</f>
        <v>6245634.5653640144</v>
      </c>
      <c r="BK46" s="11">
        <f>tblData[[#This Row],[Date]]-SKorea100dt+1</f>
        <v>5</v>
      </c>
      <c r="BL46" s="137">
        <f ca="1">IF(AND(tblData[Date]&gt;StartDt2UK,ISNUMBER(tblData[Days'# UK])),betaUK/(deltaUK+betaPodeltaUK*EXP(-betaUK*tblData[Days'# UK])),"")</f>
        <v>28.16590904850268</v>
      </c>
      <c r="BM46" s="20">
        <f ca="1">IF(AND(tblData[Date]&gt;StartDt2UK,ISNUMBER(tblData[UK])),(tblData[[#This Row],[UK LogiP(t)]]-tblData[[#This Row],[UK]])^2,"")</f>
        <v>230.00479726745547</v>
      </c>
      <c r="BN46" s="20">
        <f ca="1">IF(ISNUMBER(tblData[Days'# UK]),tblData[[#This Row],[UK LogiP(t)]]/$BL$9,"")</f>
        <v>4.2392999771978745</v>
      </c>
      <c r="BO46" s="137">
        <f ca="1">IF(AND(ISNUMBER(tblData[UK]),tblData[Date]&gt;StartDt2UK),(tblData[UK]-AVERAGE(tblData[UK]))^2,"")</f>
        <v>9559580.5918367337</v>
      </c>
      <c r="BP46" s="11">
        <f>tblData[[#This Row],[Date]]-UK100dt</f>
        <v>-15</v>
      </c>
      <c r="BQ46" s="11">
        <f ca="1">IF(ISNUMBER(tblData[Days'# China]),betaChina/(deltaChina+betaPodeltaChina*EXP(-betaChina*tblData[Days'# China])),"")</f>
        <v>79446.341521221504</v>
      </c>
      <c r="BR46" s="11">
        <f ca="1">IF(ISNUMBER(tblData[China]),(tblData[[#This Row],[China LogiP(t)]]-tblData[[#This Row],[China]])^2,"")</f>
        <v>1639274.4109637951</v>
      </c>
      <c r="BS46" s="11">
        <f ca="1">tblData[[#This Row],[China LogiP(t)]]/$BQ$9</f>
        <v>551.96991007825545</v>
      </c>
      <c r="BT46" s="137">
        <f ca="1">IF(AND(ISNUMBER(tblData[China]),tblData[Date]&gt;StartDt2China),(tblData[China]-AVERAGE(tblData[China]))^2,"")</f>
        <v>325334893.25530642</v>
      </c>
      <c r="BU46" s="11">
        <f>tblData[[#This Row],[Date]]-China100dt</f>
        <v>35</v>
      </c>
      <c r="BV46" s="106">
        <f>IF(ISNUMBER(tblData[Day'# Singapore]),betaSingapore/(deltaSingapore+betaPodeltaSingapore*EXP(-betaSingapore*tblData[Day'# Singapore])),"")</f>
        <v>64.254456079123926</v>
      </c>
      <c r="BW46" s="11">
        <f>IF(AND(ISNUMBER(tblData[Singapore]),tblData[Date]&gt;=StartDt2Singapore),(tblData[[#This Row],[Singapore LogiP(t)]]-tblData[[#This Row],[Singapore]])^2,"")</f>
        <v>826.30629530701538</v>
      </c>
      <c r="BX46" s="106">
        <f>IF(ISNUMBER(tblData[Day'# Singapore]),tblData[Singapore LogiP(t)]/$BV$9,"")</f>
        <v>109.8366770583315</v>
      </c>
      <c r="BY46" s="106">
        <f>IF(AND(ISNUMBER(tblData[Singapore]),tblData[Date]&gt;StartDt2Singapore),(tblData[Singapore]-AVERAGE(tblData[Singapore]))^2,"")</f>
        <v>11221.075381868677</v>
      </c>
      <c r="BZ46" s="11">
        <f>tblData[[#This Row],[Date]]-Singapore100dt+1</f>
        <v>16</v>
      </c>
      <c r="CA46" s="11">
        <f ca="1">IF(AND(tblData[Date]&gt;StartDt2Generic,ISNUMBER(tblData[Day'# Generic])),betaGeneric/(deltaGeneric+betaPodeltaGeneric*EXP(-betaGeneric*tblData[Day'# Generic])),"")</f>
        <v>0.9828340847690723</v>
      </c>
      <c r="CB46" s="106" t="str">
        <f ca="1">IF(AND(ISNUMBER(tblData[Generic]),tblData[Date]&gt;StartDt2Generic),(tblData[Generic LogiP(t)]-tblData[[#This Row],[Generic]])^2,"")</f>
        <v/>
      </c>
      <c r="CC46" s="11" t="str">
        <f ca="1">IF(AND(ISNUMBER(tblData[Generic]),tblData[Date]&gt;StartDt2Generic),tblData[Generic LogiP(t)]/$CA$9,"")</f>
        <v/>
      </c>
      <c r="CD46" s="106" t="str">
        <f ca="1">IF(AND(ISNUMBER(tblData[Generic]),tblData[Date]&gt;StartDt2Generic),(tblData[Generic]-AVERAGE(tblData[Generic]))^2,"")</f>
        <v/>
      </c>
      <c r="CE46" s="11">
        <f>tblData[[#This Row],[Date]]-Generic100dt+1</f>
        <v>-23</v>
      </c>
      <c r="CG46" s="11"/>
      <c r="CH46" s="11" t="str">
        <f>IF(ISNUMBER(tblData[[#This Row],[Tests]]),tblData[[#This Row],[Tests]]-CH45,"")</f>
        <v/>
      </c>
      <c r="CI46" s="11" t="str">
        <f>IF(ISNUMBER(tblData[[#This Row],[NSW Under Investigation'']]),tblData[[#This Row],[NSW Under Investigation'']]-CG45,"")</f>
        <v/>
      </c>
      <c r="CJ46" s="11"/>
      <c r="CK46" s="11" t="str">
        <f>IF(AND(tblData[[#This Row],[NSW Test Day Number]]&gt;0,ISNUMBER(tblData[[#This Row],[NSW Test Day Number]])),betaTests/(deltaTests+betaPodeltaTests*EXP(-betaTests*tblData[[#This Row],[NSW Test Day Number]])),"")</f>
        <v/>
      </c>
      <c r="CL46" s="11" t="str">
        <f>IF(tblData[Tests]&gt;0,(tblData[[#This Row],[Tests]]-tblData[[#This Row],[NSW Test Logi]])^2,"")</f>
        <v/>
      </c>
      <c r="CM46" s="106" t="str">
        <f>IF(AND(ISNUMBER(tblData[Tests]),tblData[Date]&gt;StartDt2Tests),(tblData[Tests]-AVERAGE(tblData[Tests]))^2,"")</f>
        <v/>
      </c>
      <c r="CN46" s="11" t="str">
        <f>IF(ISNUMBER(tblData[Tests]),tblData[Tests]/$CN$9/100,"")</f>
        <v/>
      </c>
      <c r="CO46" s="11" t="str">
        <f>IF(AND(tblData[[#This Row],[NSW Test Day Number]]&gt;0,ISNUMBER(tblData[[#This Row],[NSW Test Day Number]])),TestsLogestB*TestsLogestM^tblData[[#This Row],[NSW Test Day Number]],"")</f>
        <v/>
      </c>
      <c r="CP46" s="11" t="str">
        <f>IF(AND(tblData[[#This Row],[NSW Test Day Number]]&gt;0,ISNUMBER(tblData[Tests])),(tblData[Tests]-tblData[[#This Row],[NSW Test Per Capita]])^2,"")</f>
        <v/>
      </c>
      <c r="CQ46" s="39">
        <f ca="1">IF(AND(tblData[Day '# NSW]&gt;0,ISNUMBER(tblData[[#This Row],[Day '# NSW]])),NSWLogestB*NSWLogestM^tblData[[#This Row],[Day '# NSW]]/$CR$9,"")</f>
        <v>30.477041081359886</v>
      </c>
      <c r="CR46" s="39">
        <f ca="1">IF(AND(ISNUMBER(tblData[NSW]),tblData[Date]&gt;StartDt2NSW),(tblData[NSW]/$CR$9-tblData[[#This Row],[NSW Cases LogEst]])^2,"")</f>
        <v>651.6045523164089</v>
      </c>
      <c r="CS46" s="11"/>
      <c r="CT46" s="11"/>
      <c r="CW46" s="25"/>
      <c r="CX46"/>
      <c r="DK46" s="25"/>
      <c r="DL46" s="25"/>
      <c r="DM46" s="25"/>
      <c r="DR46"/>
      <c r="DS46"/>
      <c r="DT46"/>
      <c r="DU46"/>
      <c r="EB46" s="25"/>
      <c r="EC46" s="25"/>
      <c r="ED46" s="25"/>
      <c r="EE46" s="25"/>
      <c r="EK46"/>
      <c r="EL46"/>
      <c r="EM46"/>
      <c r="EN46"/>
      <c r="EO46"/>
      <c r="EP46" s="25"/>
      <c r="ER46" s="25"/>
      <c r="ES46" s="25"/>
      <c r="ET46"/>
      <c r="EU46" s="25" t="s">
        <v>153</v>
      </c>
      <c r="EV46" s="69">
        <v>43912.588692129626</v>
      </c>
      <c r="EW46" s="26">
        <v>43855</v>
      </c>
      <c r="EX46" s="26">
        <v>43855</v>
      </c>
      <c r="EY46" s="25">
        <v>1</v>
      </c>
      <c r="EZ46" s="25">
        <v>0.20690766856988288</v>
      </c>
      <c r="FA46" s="24">
        <v>6.344938640416391E-5</v>
      </c>
      <c r="FB46" s="21">
        <v>4.7957380309846401E-3</v>
      </c>
      <c r="FC46" s="82">
        <v>3260.9876989496688</v>
      </c>
      <c r="FD46" s="82">
        <v>4.183094299453777</v>
      </c>
      <c r="FE46" s="25">
        <v>43.144008898410604</v>
      </c>
      <c r="FF46" s="84">
        <v>6.3449386404163907E-2</v>
      </c>
      <c r="FG46" s="26">
        <v>43912</v>
      </c>
      <c r="FH46" s="25" t="s">
        <v>1095</v>
      </c>
      <c r="FI46" s="84"/>
      <c r="FJ46" s="84">
        <v>533</v>
      </c>
      <c r="FK46" s="25" t="s">
        <v>1096</v>
      </c>
      <c r="FL46" s="26">
        <v>43912</v>
      </c>
      <c r="FM46" s="25">
        <v>58</v>
      </c>
      <c r="FN46" s="25" t="s">
        <v>1097</v>
      </c>
      <c r="FO46" s="25"/>
      <c r="FP46" s="25" t="s">
        <v>1098</v>
      </c>
      <c r="FR46" s="25" t="s">
        <v>1099</v>
      </c>
      <c r="FS46" s="19">
        <v>659.65346534653463</v>
      </c>
      <c r="FT46" s="72"/>
      <c r="FU46" s="25"/>
      <c r="FV46" s="148"/>
      <c r="FX46" s="25" t="s">
        <v>1094</v>
      </c>
      <c r="FZ46" s="25"/>
      <c r="GC46" s="25"/>
    </row>
    <row r="47" spans="2:185" x14ac:dyDescent="0.25">
      <c r="B47" s="1">
        <v>43888</v>
      </c>
      <c r="C47">
        <v>8</v>
      </c>
      <c r="D47" s="25">
        <v>0</v>
      </c>
      <c r="E47">
        <v>4</v>
      </c>
      <c r="F47">
        <v>0</v>
      </c>
      <c r="G47">
        <v>5</v>
      </c>
      <c r="H47">
        <v>2</v>
      </c>
      <c r="I47">
        <v>0</v>
      </c>
      <c r="J47">
        <v>4</v>
      </c>
      <c r="K47">
        <v>0</v>
      </c>
      <c r="L47" s="12">
        <f>IF(ISNUMBER(tblData[[#This Row],[NSW]]),tblData[[#This Row],[New South Wales]]/$L$9,"")</f>
        <v>4.9504950495049505</v>
      </c>
      <c r="M47" s="25">
        <v>655</v>
      </c>
      <c r="N47" s="106">
        <f>IF(ISNUMBER(tblData[Italy]),tblData[Italy]/$N$9,"")</f>
        <v>108.29131189551129</v>
      </c>
      <c r="O47">
        <v>58</v>
      </c>
      <c r="P47" s="106">
        <f>IF(ISNUMBER(tblData[US]),tblData[US]/$P$9,"")</f>
        <v>1.761698420156848</v>
      </c>
      <c r="Q47">
        <v>1766</v>
      </c>
      <c r="R47" s="106">
        <f>IF(ISNUMBER(tblData[SKorea]),tblData[SKorea]/$R$9,"")</f>
        <v>343.579766536965</v>
      </c>
      <c r="S47">
        <v>15</v>
      </c>
      <c r="T47" s="106">
        <f>IF(ISNUMBER(tblData[UK]),tblData[UK]/$T$9,"")</f>
        <v>2.2576760987357014</v>
      </c>
      <c r="U47">
        <v>78600</v>
      </c>
      <c r="V47" s="106">
        <f>IF(ISNUMBER(tblData[China]),tblData[China]/$V$9,"")</f>
        <v>546.08977709265605</v>
      </c>
      <c r="W47">
        <v>93</v>
      </c>
      <c r="X47" s="106">
        <f>IF(ISNUMBER(tblData[Singapore]),tblData[Singapore]/$X$9,"")</f>
        <v>158.97435897435898</v>
      </c>
      <c r="Y47">
        <v>0</v>
      </c>
      <c r="Z47" s="20">
        <f>IF(AND(LEN(tblData[Generic])&gt;0,ISNUMBER(tblData[Generic])),tblData[Generic]/$Z$9,"")</f>
        <v>0</v>
      </c>
      <c r="AA47" s="25">
        <f ca="1">IF(tblData[[#This Row],[Date]]&lt;StartDt2Italy,"",tblData[[#This Row],[Date]]-ItalyStart)</f>
        <v>28</v>
      </c>
      <c r="AB47" s="25">
        <f ca="1">IF(tblData[[#This Row],[Date]]&lt;=StartDt2US,"",tblData[[#This Row],[Date]]-USStart)</f>
        <v>36</v>
      </c>
      <c r="AC47" s="25">
        <f ca="1">IF(tblData[[#This Row],[Date]]&lt;StartDt2China,"",tblData[[#This Row],[Date]]-ChinaStart)</f>
        <v>36</v>
      </c>
      <c r="AD47" s="25">
        <f>IF(tblData[[#This Row],[Date]]&lt;=SKoreaStart,"",tblData[[#This Row],[Date]]-SKoreaStart)</f>
        <v>36</v>
      </c>
      <c r="AE47" s="25">
        <f ca="1">IF(tblData[[#This Row],[Date]]&lt;=StartDt2UK,"",tblData[[#This Row],[Date]]-UKStart)</f>
        <v>28</v>
      </c>
      <c r="AF47" s="25">
        <f>IF(tblData[[#This Row],[Date]]&lt;StartDt2Singapore,"",tblData[[#This Row],[Date]]-SingaporeStart)</f>
        <v>35</v>
      </c>
      <c r="AG47" s="25">
        <f ca="1">IF(tblData[[#This Row],[Date]]&lt;StartDt2Generic,"",tblData[[#This Row],[Date]]-GenericStart)</f>
        <v>36</v>
      </c>
      <c r="AH47">
        <f ca="1">IF(tblData[Date]&gt;StartDt2Au,tblData[Date]-AuStart,"")</f>
        <v>33</v>
      </c>
      <c r="AI47" s="25">
        <f>IF(tblData[New South Wales]&gt;=0,SUM(tblData[[#This Row],[Australian Capital Territory]:[Western Australia]]),"")</f>
        <v>15</v>
      </c>
      <c r="AJ47" s="12">
        <f>IF(ISNUMBER(tblData[Au]),tblData[Au]/$AE$9,"")</f>
        <v>5.9138937076170954</v>
      </c>
      <c r="AK47" s="19">
        <f ca="1">IF(ISNUMBER(tblData[[#This Row],[Day'# Aust]]),betaAu/(deltaAu+betaPodeltaAu*EXP(-betaAu*tblData[[#This Row],[Day'# Aust]])),"")</f>
        <v>4.2344040524454396</v>
      </c>
      <c r="AL47" s="62">
        <f ca="1">IF(ISNUMBER(tblData[Day'# Aust]),tblData[Au LogiP(t)]/$AJ$9,"")</f>
        <v>1.6694543654176943</v>
      </c>
      <c r="AM47" s="11">
        <f ca="1">IF(AND(tblData[Date]&gt;StartDt2Au,ISNUMBER(tblData[NSW])),(tblData[[#This Row],[Au LogiP(t)]]-tblData[[#This Row],[Au]])^2,"")</f>
        <v>115.89805610600317</v>
      </c>
      <c r="AN47" s="11">
        <f ca="1">IF(AND(ISNUMBER(tblData[Au]),tblData[Date]&gt;StartDt2Au),(tblData[Au]-AVERAGE(tblData[Au]))^2,"")</f>
        <v>183488.66503328402</v>
      </c>
      <c r="AO47" s="11">
        <f>tblData[[#This Row],[Date]]-Au100dt</f>
        <v>-16</v>
      </c>
      <c r="AP47">
        <f ca="1">IF(tblData[Date]&gt;StartDt2NSW,tblData[Date]-StartDt2NSW,"")</f>
        <v>33</v>
      </c>
      <c r="AQ47" s="25">
        <f>IF(tblData[[#This Row],[New South Wales]]&gt;0,tblData[[#This Row],[New South Wales]],"")</f>
        <v>4</v>
      </c>
      <c r="AR47" s="44">
        <f ca="1">IF(tblData[Date]&gt;StartDt2NSW,betaNSW/(deltaNSW+betaPodeltaNSW*EXP(-betaNSW*tblData[[#This Row],[Day '# NSW]])),"")</f>
        <v>2.5568966895799181</v>
      </c>
      <c r="AS47" s="12">
        <f ca="1">IF(AND(ISNUMBER(tblData[NSW]),tblData[Date]&gt;StartDt2NSW),(tblData[[#This Row],[NSW LogiP(t)]]-tblData[[#This Row],[NSW]])^2,"")</f>
        <v>2.082547164545399</v>
      </c>
      <c r="AT47" s="12">
        <f ca="1">IF(AND(tblData[Date]&gt;StartDt2NSW,ISNUMBER(tblData[Day'# Aust])),tblData[NSW LogiP(t)]/$AR$9,"")</f>
        <v>3.1644761009652451</v>
      </c>
      <c r="AU47" s="11">
        <f>tblData[[#This Row],[Date]]-NSW100dt+1</f>
        <v>-12</v>
      </c>
      <c r="AV47" s="11">
        <f ca="1">IF(AND(ISNUMBER(tblData[NSW]),tblData[Date]&gt;StartDt2NSW),(tblData[NSW]-AVERAGE(tblData[NSW]))^2,"")</f>
        <v>83990.760134425553</v>
      </c>
      <c r="AW47" s="39">
        <f ca="1">IF(AND(tblData[Date]&gt;StartDt2Italy,ISNUMBER(tblData[Days'# Italy])),betaItaly/(deltaItaly+betaPodeltaItaly*EXP(-betaItaly*tblData[Days'# Italy])),"")</f>
        <v>581.74220458062939</v>
      </c>
      <c r="AX47" s="11">
        <f ca="1">IF(AND(tblData[Date]&gt;StartDt2Italy,ISNUMBER(tblData[Italy])),(tblData[[#This Row],[Italy LogiP(t)]]-tblData[[#This Row],[Italy]])^2,"")</f>
        <v>5366.7045897063572</v>
      </c>
      <c r="AY47" s="39">
        <f ca="1">IF(AND(tblData[Date]&gt;StartDt2Italy,ISNUMBER(tblData[Days'# Italy])),tblData[[#This Row],[Italy LogiP(t)]]/$AW$9,"")</f>
        <v>96.17958247179125</v>
      </c>
      <c r="AZ47" s="39">
        <f ca="1">IF(AND(ISNUMBER(tblData[Italy]),tblData[Date]&gt;StartDt2Italy),(tblData[Italy]-AVERAGE(tblData[Italy]))^2,"")</f>
        <v>413055943.16049379</v>
      </c>
      <c r="BA47" s="11">
        <f>tblData[[#This Row],[Date]]-Italy100dt+1</f>
        <v>1</v>
      </c>
      <c r="BB47" s="11">
        <f ca="1">IF(AND(tblData[Date]&gt;StartDt2US,ISNUMBER(tblData[[#This Row],[Days'# US]])),betaUS/(deltaUS+betaPodeltaUS*EXP(-betaUS*tblData[Days'# US])),"")</f>
        <v>27.327419903758095</v>
      </c>
      <c r="BC47" s="11">
        <f ca="1">IF(AND(tblData[Date]&gt;StartDt2US,ISNUMBER(tblData[US])),(tblData[[#This Row],[US LogiP(t)]]-tblData[US])^2,"")</f>
        <v>940.80716976037502</v>
      </c>
      <c r="BD47" s="137">
        <f ca="1">IF(AND(tblData[Date]&gt;=StartDt2US,ISNUMBER(tblData[[#This Row],[Days'# US]])),tblData[[#This Row],[US LogiP(t)]]/$BB$9,"")</f>
        <v>0.83004607709333522</v>
      </c>
      <c r="BE47" s="137">
        <f ca="1">IF(AND(ISNUMBER(tblData[US]),tblData[Date]&gt;StartDt2US),(tblData[US]-AVERAGE(tblData[US]))^2,"")</f>
        <v>333305192.08172977</v>
      </c>
      <c r="BF47" s="11">
        <f>tblData[[#This Row],[Date]]-US100dt+1</f>
        <v>-15</v>
      </c>
      <c r="BG47" s="20">
        <f ca="1">IF(tblData[Date]&gt;StartDt2SKorea,betaSKorea/(deltaSKorea+betaPodeltaSKorea*EXP(-betaSKorea*(tblData[Date]-StartDt2SKorea))),"")</f>
        <v>2046.7898427326973</v>
      </c>
      <c r="BH47" s="20">
        <f ca="1">IF(AND(tblData[Date]&gt;StartDt2SKorea,ISNUMBER(tblData[SKorea])),(tblData[[#This Row],[SKorea LogiP(t)]]-tblData[[#This Row],[SKorea]])^2,"")</f>
        <v>78842.935781852852</v>
      </c>
      <c r="BI47" s="20">
        <f ca="1">IF(tblData[Date]&gt;StartDt2SKorea,tblData[[#This Row],[SKorea LogiP(t)]]/$BG$9,"")</f>
        <v>398.20814060947419</v>
      </c>
      <c r="BJ47" s="137">
        <f ca="1">IF(AND(ISNUMBER(tblData[SKorea]),tblData[Date]&gt;StartDt2SKorea),(tblData[SKorea]-AVERAGE(tblData[SKorea]))^2,"")</f>
        <v>3976541.5371950008</v>
      </c>
      <c r="BK47" s="11">
        <f>tblData[[#This Row],[Date]]-SKorea100dt+1</f>
        <v>6</v>
      </c>
      <c r="BL47" s="137">
        <f ca="1">IF(AND(tblData[Date]&gt;StartDt2UK,ISNUMBER(tblData[Days'# UK])),betaUK/(deltaUK+betaPodeltaUK*EXP(-betaUK*tblData[Days'# UK])),"")</f>
        <v>34.872486171330038</v>
      </c>
      <c r="BM47" s="20">
        <f ca="1">IF(AND(tblData[Date]&gt;StartDt2UK,ISNUMBER(tblData[UK])),(tblData[[#This Row],[UK LogiP(t)]]-tblData[[#This Row],[UK]])^2,"")</f>
        <v>394.91570662970361</v>
      </c>
      <c r="BN47" s="20">
        <f ca="1">IF(ISNUMBER(tblData[Days'# UK]),tblData[[#This Row],[UK LogiP(t)]]/$BL$9,"")</f>
        <v>5.2487185688335396</v>
      </c>
      <c r="BO47" s="137">
        <f ca="1">IF(AND(ISNUMBER(tblData[UK]),tblData[Date]&gt;StartDt2UK),(tblData[UK]-AVERAGE(tblData[UK]))^2,"")</f>
        <v>9547217.1632653046</v>
      </c>
      <c r="BP47" s="11">
        <f>tblData[[#This Row],[Date]]-UK100dt</f>
        <v>-14</v>
      </c>
      <c r="BQ47" s="11">
        <f ca="1">IF(ISNUMBER(tblData[Days'# China]),betaChina/(deltaChina+betaPodeltaChina*EXP(-betaChina*tblData[Days'# China])),"")</f>
        <v>79792.404338440552</v>
      </c>
      <c r="BR47" s="11">
        <f ca="1">IF(ISNUMBER(tblData[China]),(tblData[[#This Row],[China LogiP(t)]]-tblData[[#This Row],[China]])^2,"")</f>
        <v>1421828.1063318511</v>
      </c>
      <c r="BS47" s="11">
        <f ca="1">tblData[[#This Row],[China LogiP(t)]]/$BQ$9</f>
        <v>554.37425316623512</v>
      </c>
      <c r="BT47" s="137">
        <f ca="1">IF(AND(ISNUMBER(tblData[China]),tblData[Date]&gt;StartDt2China),(tblData[China]-AVERAGE(tblData[China]))^2,"")</f>
        <v>341179401.93136281</v>
      </c>
      <c r="BU47" s="11">
        <f>tblData[[#This Row],[Date]]-China100dt</f>
        <v>36</v>
      </c>
      <c r="BV47" s="106">
        <f>IF(ISNUMBER(tblData[Day'# Singapore]),betaSingapore/(deltaSingapore+betaPodeltaSingapore*EXP(-betaSingapore*tblData[Day'# Singapore])),"")</f>
        <v>69.574799694227707</v>
      </c>
      <c r="BW47" s="11">
        <f>IF(AND(ISNUMBER(tblData[Singapore]),tblData[Date]&gt;=StartDt2Singapore),(tblData[[#This Row],[Singapore LogiP(t)]]-tblData[[#This Row],[Singapore]])^2,"")</f>
        <v>548.74000936555433</v>
      </c>
      <c r="BX47" s="106">
        <f>IF(ISNUMBER(tblData[Day'# Singapore]),tblData[Singapore LogiP(t)]/$BV$9,"")</f>
        <v>118.93128152859438</v>
      </c>
      <c r="BY47" s="106">
        <f>IF(AND(ISNUMBER(tblData[Singapore]),tblData[Date]&gt;StartDt2Singapore),(tblData[Singapore]-AVERAGE(tblData[Singapore]))^2,"")</f>
        <v>11221.075381868677</v>
      </c>
      <c r="BZ47" s="11">
        <f>tblData[[#This Row],[Date]]-Singapore100dt+1</f>
        <v>17</v>
      </c>
      <c r="CA47" s="11">
        <f ca="1">IF(AND(tblData[Date]&gt;StartDt2Generic,ISNUMBER(tblData[Day'# Generic])),betaGeneric/(deltaGeneric+betaPodeltaGeneric*EXP(-betaGeneric*tblData[Day'# Generic])),"")</f>
        <v>1.1966217664356933</v>
      </c>
      <c r="CB47" s="106">
        <f ca="1">IF(AND(ISNUMBER(tblData[Generic]),tblData[Date]&gt;StartDt2Generic),(tblData[Generic LogiP(t)]-tblData[[#This Row],[Generic]])^2,"")</f>
        <v>1.4319036519076789</v>
      </c>
      <c r="CC47" s="11">
        <f ca="1">IF(AND(ISNUMBER(tblData[Generic]),tblData[Date]&gt;StartDt2Generic),tblData[Generic LogiP(t)]/$CA$9,"")</f>
        <v>2.287995729322549</v>
      </c>
      <c r="CD47" s="106">
        <f ca="1">IF(AND(ISNUMBER(tblData[Generic]),tblData[Date]&gt;StartDt2Generic),(tblData[Generic]-AVERAGE(tblData[Generic]))^2,"")</f>
        <v>15425.640000000001</v>
      </c>
      <c r="CE47" s="11">
        <f>tblData[[#This Row],[Date]]-Generic100dt+1</f>
        <v>-22</v>
      </c>
      <c r="CG47" s="11"/>
      <c r="CH47" s="11" t="str">
        <f>IF(ISNUMBER(tblData[[#This Row],[Tests]]),tblData[[#This Row],[Tests]]-CH46,"")</f>
        <v/>
      </c>
      <c r="CI47" s="11" t="str">
        <f>IF(ISNUMBER(tblData[[#This Row],[NSW Under Investigation'']]),tblData[[#This Row],[NSW Under Investigation'']]-CG46,"")</f>
        <v/>
      </c>
      <c r="CJ47" s="11"/>
      <c r="CK47" s="11" t="str">
        <f>IF(AND(tblData[[#This Row],[NSW Test Day Number]]&gt;0,ISNUMBER(tblData[[#This Row],[NSW Test Day Number]])),betaTests/(deltaTests+betaPodeltaTests*EXP(-betaTests*tblData[[#This Row],[NSW Test Day Number]])),"")</f>
        <v/>
      </c>
      <c r="CL47" s="11" t="str">
        <f>IF(tblData[Tests]&gt;0,(tblData[[#This Row],[Tests]]-tblData[[#This Row],[NSW Test Logi]])^2,"")</f>
        <v/>
      </c>
      <c r="CM47" s="106" t="str">
        <f>IF(AND(ISNUMBER(tblData[Tests]),tblData[Date]&gt;StartDt2Tests),(tblData[Tests]-AVERAGE(tblData[Tests]))^2,"")</f>
        <v/>
      </c>
      <c r="CN47" s="11" t="str">
        <f>IF(ISNUMBER(tblData[Tests]),tblData[Tests]/$CN$9/100,"")</f>
        <v/>
      </c>
      <c r="CO47" s="11" t="str">
        <f>IF(AND(tblData[[#This Row],[NSW Test Day Number]]&gt;0,ISNUMBER(tblData[[#This Row],[NSW Test Day Number]])),TestsLogestB*TestsLogestM^tblData[[#This Row],[NSW Test Day Number]],"")</f>
        <v/>
      </c>
      <c r="CP47" s="11" t="str">
        <f>IF(AND(tblData[[#This Row],[NSW Test Day Number]]&gt;0,ISNUMBER(tblData[Tests])),(tblData[Tests]-tblData[[#This Row],[NSW Test Per Capita]])^2,"")</f>
        <v/>
      </c>
      <c r="CQ47" s="39">
        <f ca="1">IF(AND(tblData[Day '# NSW]&gt;0,ISNUMBER(tblData[[#This Row],[Day '# NSW]])),NSWLogestB*NSWLogestM^tblData[[#This Row],[Day '# NSW]]/$CR$9,"")</f>
        <v>33.91908376839605</v>
      </c>
      <c r="CR47" s="39">
        <f ca="1">IF(AND(ISNUMBER(tblData[NSW]),tblData[Date]&gt;StartDt2NSW),(tblData[NSW]/$CR$9-tblData[[#This Row],[NSW Cases LogEst]])^2,"")</f>
        <v>839.17913236426455</v>
      </c>
      <c r="CS47" s="11"/>
      <c r="CT47" s="11"/>
      <c r="CW47" s="25"/>
      <c r="CX47"/>
      <c r="DK47" s="25"/>
      <c r="DL47" s="25"/>
      <c r="DM47" s="25"/>
      <c r="DR47"/>
      <c r="DS47"/>
      <c r="DT47"/>
      <c r="DU47"/>
      <c r="EB47" s="25"/>
      <c r="EC47" s="25"/>
      <c r="ED47" s="25"/>
      <c r="EE47" s="25"/>
      <c r="EK47"/>
      <c r="EL47"/>
      <c r="EM47"/>
      <c r="EN47"/>
      <c r="EO47"/>
      <c r="EP47" s="25"/>
      <c r="ER47" s="25"/>
      <c r="ES47" s="25"/>
      <c r="ET47"/>
      <c r="EU47" s="25" t="s">
        <v>153</v>
      </c>
      <c r="EV47" s="69">
        <v>43912.787488425929</v>
      </c>
      <c r="EW47" s="26">
        <v>43855</v>
      </c>
      <c r="EX47" s="26">
        <v>43855</v>
      </c>
      <c r="EY47" s="25">
        <v>1</v>
      </c>
      <c r="EZ47" s="25">
        <v>0.20690766856988288</v>
      </c>
      <c r="FA47" s="24">
        <v>6.344938640416391E-5</v>
      </c>
      <c r="FB47" s="21">
        <v>4.7957380309846401E-3</v>
      </c>
      <c r="FC47" s="82">
        <v>3260.9876989496688</v>
      </c>
      <c r="FD47" s="82">
        <v>4.183094299453777</v>
      </c>
      <c r="FE47" s="25">
        <v>43.144008898410604</v>
      </c>
      <c r="FF47" s="84">
        <v>6.3449386404163907E-2</v>
      </c>
      <c r="FG47" s="26">
        <v>43912</v>
      </c>
      <c r="FH47" s="25" t="s">
        <v>1095</v>
      </c>
      <c r="FI47" s="84">
        <v>3260.9876989496688</v>
      </c>
      <c r="FJ47" s="84">
        <v>533</v>
      </c>
      <c r="FK47" s="25" t="s">
        <v>1096</v>
      </c>
      <c r="FL47" s="26">
        <v>43912</v>
      </c>
      <c r="FM47" s="25">
        <v>58</v>
      </c>
      <c r="FN47" s="25" t="s">
        <v>1116</v>
      </c>
      <c r="FO47" s="25"/>
      <c r="FP47" s="25" t="s">
        <v>1098</v>
      </c>
      <c r="FR47" s="25" t="s">
        <v>1117</v>
      </c>
      <c r="FS47" s="19">
        <v>659.65346534653463</v>
      </c>
      <c r="FT47" s="72"/>
      <c r="FU47" s="25"/>
      <c r="FV47" s="148"/>
      <c r="FW47" s="25"/>
      <c r="FX47" s="25" t="s">
        <v>1094</v>
      </c>
      <c r="FY47" s="25"/>
      <c r="FZ47" s="25"/>
      <c r="GC47" s="25"/>
    </row>
    <row r="48" spans="2:185" x14ac:dyDescent="0.25">
      <c r="B48" s="1">
        <v>43889</v>
      </c>
      <c r="C48">
        <v>8</v>
      </c>
      <c r="D48" s="25">
        <v>0</v>
      </c>
      <c r="E48">
        <v>4</v>
      </c>
      <c r="F48">
        <v>0</v>
      </c>
      <c r="G48">
        <v>5</v>
      </c>
      <c r="H48">
        <v>2</v>
      </c>
      <c r="I48">
        <v>0</v>
      </c>
      <c r="J48">
        <v>4</v>
      </c>
      <c r="K48">
        <v>0</v>
      </c>
      <c r="L48" s="12">
        <f>IF(ISNUMBER(tblData[[#This Row],[NSW]]),tblData[[#This Row],[New South Wales]]/$L$9,"")</f>
        <v>4.9504950495049505</v>
      </c>
      <c r="M48" s="25">
        <v>888</v>
      </c>
      <c r="N48" s="106">
        <f>IF(ISNUMBER(tblData[Italy]),tblData[Italy]/$N$9,"")</f>
        <v>146.81325948582293</v>
      </c>
      <c r="O48">
        <v>60</v>
      </c>
      <c r="P48" s="106">
        <f>IF(ISNUMBER(tblData[US]),tblData[US]/$P$9,"")</f>
        <v>1.822446641541567</v>
      </c>
      <c r="Q48">
        <v>2337</v>
      </c>
      <c r="R48" s="106">
        <f>IF(ISNUMBER(tblData[SKorea]),tblData[SKorea]/$R$9,"")</f>
        <v>454.66926070038915</v>
      </c>
      <c r="S48">
        <v>20</v>
      </c>
      <c r="T48" s="106">
        <f>IF(ISNUMBER(tblData[UK]),tblData[UK]/$T$9,"")</f>
        <v>3.0102347983142685</v>
      </c>
      <c r="U48">
        <v>78928</v>
      </c>
      <c r="V48" s="106">
        <f>IF(ISNUMBER(tblData[China]),tblData[China]/$V$9,"")</f>
        <v>548.36862501741928</v>
      </c>
      <c r="W48">
        <v>93</v>
      </c>
      <c r="X48" s="106">
        <f>IF(ISNUMBER(tblData[Singapore]),tblData[Singapore]/$X$9,"")</f>
        <v>158.97435897435898</v>
      </c>
      <c r="Y48">
        <v>1</v>
      </c>
      <c r="Z48" s="20">
        <f>IF(AND(LEN(tblData[Generic])&gt;0,ISNUMBER(tblData[Generic])),tblData[Generic]/$Z$9,"")</f>
        <v>1.9120458891013383</v>
      </c>
      <c r="AA48" s="25">
        <f ca="1">IF(tblData[[#This Row],[Date]]&lt;StartDt2Italy,"",tblData[[#This Row],[Date]]-ItalyStart)</f>
        <v>29</v>
      </c>
      <c r="AB48" s="25">
        <f ca="1">IF(tblData[[#This Row],[Date]]&lt;=StartDt2US,"",tblData[[#This Row],[Date]]-USStart)</f>
        <v>37</v>
      </c>
      <c r="AC48" s="25">
        <f ca="1">IF(tblData[[#This Row],[Date]]&lt;StartDt2China,"",tblData[[#This Row],[Date]]-ChinaStart)</f>
        <v>37</v>
      </c>
      <c r="AD48" s="25">
        <f>IF(tblData[[#This Row],[Date]]&lt;=SKoreaStart,"",tblData[[#This Row],[Date]]-SKoreaStart)</f>
        <v>37</v>
      </c>
      <c r="AE48" s="25">
        <f ca="1">IF(tblData[[#This Row],[Date]]&lt;=StartDt2UK,"",tblData[[#This Row],[Date]]-UKStart)</f>
        <v>29</v>
      </c>
      <c r="AF48" s="25">
        <f>IF(tblData[[#This Row],[Date]]&lt;StartDt2Singapore,"",tblData[[#This Row],[Date]]-SingaporeStart)</f>
        <v>36</v>
      </c>
      <c r="AG48" s="25">
        <f ca="1">IF(tblData[[#This Row],[Date]]&lt;StartDt2Generic,"",tblData[[#This Row],[Date]]-GenericStart)</f>
        <v>37</v>
      </c>
      <c r="AH48">
        <f ca="1">IF(tblData[Date]&gt;StartDt2Au,tblData[Date]-AuStart,"")</f>
        <v>34</v>
      </c>
      <c r="AI48" s="25">
        <f>IF(tblData[New South Wales]&gt;=0,SUM(tblData[[#This Row],[Australian Capital Territory]:[Western Australia]]),"")</f>
        <v>15</v>
      </c>
      <c r="AJ48" s="12">
        <f>IF(ISNUMBER(tblData[Au]),tblData[Au]/$AE$9,"")</f>
        <v>5.9138937076170954</v>
      </c>
      <c r="AK48" s="19">
        <f ca="1">IF(ISNUMBER(tblData[[#This Row],[Day'# Aust]]),betaAu/(deltaAu+betaPodeltaAu*EXP(-betaAu*tblData[[#This Row],[Day'# Aust]])),"")</f>
        <v>5.4527855727717265</v>
      </c>
      <c r="AL48" s="62">
        <f ca="1">IF(ISNUMBER(tblData[Day'# Aust]),tblData[Au LogiP(t)]/$AJ$9,"")</f>
        <v>2.1498129525199996</v>
      </c>
      <c r="AM48" s="11">
        <f ca="1">IF(AND(tblData[Date]&gt;StartDt2Au,ISNUMBER(tblData[NSW])),(tblData[[#This Row],[Au LogiP(t)]]-tblData[[#This Row],[Au]])^2,"")</f>
        <v>91.149303319475678</v>
      </c>
      <c r="AN48" s="11">
        <f ca="1">IF(AND(ISNUMBER(tblData[Au]),tblData[Date]&gt;StartDt2Au),(tblData[Au]-AVERAGE(tblData[Au]))^2,"")</f>
        <v>183488.66503328402</v>
      </c>
      <c r="AO48" s="11">
        <f>tblData[[#This Row],[Date]]-Au100dt</f>
        <v>-15</v>
      </c>
      <c r="AP48" s="25">
        <f ca="1">IF(tblData[Date]&gt;StartDt2NSW,tblData[Date]-StartDt2NSW,"")</f>
        <v>34</v>
      </c>
      <c r="AQ48" s="25">
        <f>IF(tblData[[#This Row],[New South Wales]]&gt;0,tblData[[#This Row],[New South Wales]],"")</f>
        <v>4</v>
      </c>
      <c r="AR48" s="44">
        <f ca="1">IF(tblData[Date]&gt;StartDt2NSW,betaNSW/(deltaNSW+betaPodeltaNSW*EXP(-betaNSW*tblData[[#This Row],[Day '# NSW]])),"")</f>
        <v>3.242567938486431</v>
      </c>
      <c r="AS48" s="12">
        <f ca="1">IF(AND(ISNUMBER(tblData[NSW]),tblData[Date]&gt;StartDt2NSW),(tblData[[#This Row],[NSW LogiP(t)]]-tblData[[#This Row],[NSW]])^2,"")</f>
        <v>0.57370332780869504</v>
      </c>
      <c r="AT48" s="12">
        <f ca="1">IF(AND(tblData[Date]&gt;StartDt2NSW,ISNUMBER(tblData[Day'# Aust])),tblData[NSW LogiP(t)]/$AR$9,"")</f>
        <v>4.0130791317901373</v>
      </c>
      <c r="AU48" s="11">
        <f>tblData[[#This Row],[Date]]-NSW100dt+1</f>
        <v>-11</v>
      </c>
      <c r="AV48" s="11">
        <f ca="1">IF(AND(ISNUMBER(tblData[NSW]),tblData[Date]&gt;StartDt2NSW),(tblData[NSW]-AVERAGE(tblData[NSW]))^2,"")</f>
        <v>83990.760134425553</v>
      </c>
      <c r="AW48" s="39">
        <f ca="1">IF(AND(tblData[Date]&gt;StartDt2Italy,ISNUMBER(tblData[Days'# Italy])),betaItaly/(deltaItaly+betaPodeltaItaly*EXP(-betaItaly*tblData[Days'# Italy])),"")</f>
        <v>750.63090501138458</v>
      </c>
      <c r="AX48" s="11">
        <f ca="1">IF(AND(tblData[Date]&gt;StartDt2Italy,ISNUMBER(tblData[Italy])),(tblData[[#This Row],[Italy LogiP(t)]]-tblData[[#This Row],[Italy]])^2,"")</f>
        <v>18870.268257991243</v>
      </c>
      <c r="AY48" s="39">
        <f ca="1">IF(AND(tblData[Date]&gt;StartDt2Italy,ISNUMBER(tblData[Days'# Italy])),tblData[[#This Row],[Italy LogiP(t)]]/$AW$9,"")</f>
        <v>124.10199305801184</v>
      </c>
      <c r="AZ48" s="39">
        <f ca="1">IF(AND(ISNUMBER(tblData[Italy]),tblData[Date]&gt;StartDt2Italy),(tblData[Italy]-AVERAGE(tblData[Italy]))^2,"")</f>
        <v>403639351.71604937</v>
      </c>
      <c r="BA48" s="11">
        <f>tblData[[#This Row],[Date]]-Italy100dt+1</f>
        <v>2</v>
      </c>
      <c r="BB48" s="11">
        <f ca="1">IF(AND(tblData[Date]&gt;StartDt2US,ISNUMBER(tblData[[#This Row],[Days'# US]])),betaUS/(deltaUS+betaPodeltaUS*EXP(-betaUS*tblData[Days'# US])),"")</f>
        <v>36.293750658502645</v>
      </c>
      <c r="BC48" s="11">
        <f ca="1">IF(AND(tblData[Date]&gt;StartDt2US,ISNUMBER(tblData[US])),(tblData[[#This Row],[US LogiP(t)]]-tblData[US])^2,"")</f>
        <v>561.98625784124374</v>
      </c>
      <c r="BD48" s="137">
        <f ca="1">IF(AND(tblData[Date]&gt;=StartDt2US,ISNUMBER(tblData[[#This Row],[Days'# US]])),tblData[[#This Row],[US LogiP(t)]]/$BB$9,"")</f>
        <v>1.1023903999422531</v>
      </c>
      <c r="BE48" s="137">
        <f ca="1">IF(AND(ISNUMBER(tblData[US]),tblData[Date]&gt;StartDt2US),(tblData[US]-AVERAGE(tblData[US]))^2,"")</f>
        <v>333232169.49018049</v>
      </c>
      <c r="BF48" s="11">
        <f>tblData[[#This Row],[Date]]-US100dt+1</f>
        <v>-14</v>
      </c>
      <c r="BG48" s="20">
        <f ca="1">IF(tblData[Date]&gt;StartDt2SKorea,betaSKorea/(deltaSKorea+betaPodeltaSKorea*EXP(-betaSKorea*(tblData[Date]-StartDt2SKorea))),"")</f>
        <v>2489.8014328815298</v>
      </c>
      <c r="BH48" s="20">
        <f ca="1">IF(AND(tblData[Date]&gt;StartDt2SKorea,ISNUMBER(tblData[SKorea])),(tblData[[#This Row],[SKorea LogiP(t)]]-tblData[[#This Row],[SKorea]])^2,"")</f>
        <v>23348.277890648646</v>
      </c>
      <c r="BI48" s="20">
        <f ca="1">IF(tblData[Date]&gt;StartDt2SKorea,tblData[[#This Row],[SKorea LogiP(t)]]/$BG$9,"")</f>
        <v>484.39716593025872</v>
      </c>
      <c r="BJ48" s="137">
        <f ca="1">IF(AND(ISNUMBER(tblData[SKorea]),tblData[Date]&gt;StartDt2SKorea),(tblData[SKorea]-AVERAGE(tblData[SKorea]))^2,"")</f>
        <v>2025289.7766316205</v>
      </c>
      <c r="BK48" s="11">
        <f>tblData[[#This Row],[Date]]-SKorea100dt+1</f>
        <v>7</v>
      </c>
      <c r="BL48" s="137">
        <f ca="1">IF(AND(tblData[Date]&gt;StartDt2UK,ISNUMBER(tblData[Days'# UK])),betaUK/(deltaUK+betaPodeltaUK*EXP(-betaUK*tblData[Days'# UK])),"")</f>
        <v>43.175039432287093</v>
      </c>
      <c r="BM48" s="20">
        <f ca="1">IF(AND(tblData[Date]&gt;StartDt2UK,ISNUMBER(tblData[UK])),(tblData[[#This Row],[UK LogiP(t)]]-tblData[[#This Row],[UK]])^2,"")</f>
        <v>537.08245268806172</v>
      </c>
      <c r="BN48" s="20">
        <f ca="1">IF(ISNUMBER(tblData[Days'# UK]),tblData[[#This Row],[UK LogiP(t)]]/$BL$9,"")</f>
        <v>6.4983503058830658</v>
      </c>
      <c r="BO48" s="137">
        <f ca="1">IF(AND(ISNUMBER(tblData[UK]),tblData[Date]&gt;StartDt2UK),(tblData[UK]-AVERAGE(tblData[UK]))^2,"")</f>
        <v>9516343.5918367337</v>
      </c>
      <c r="BP48" s="11">
        <f>tblData[[#This Row],[Date]]-UK100dt</f>
        <v>-13</v>
      </c>
      <c r="BQ48" s="11">
        <f ca="1">IF(ISNUMBER(tblData[Days'# China]),betaChina/(deltaChina+betaPodeltaChina*EXP(-betaChina*tblData[Days'# China])),"")</f>
        <v>80072.072886398309</v>
      </c>
      <c r="BR48" s="11">
        <f ca="1">IF(ISNUMBER(tblData[China]),(tblData[[#This Row],[China LogiP(t)]]-tblData[[#This Row],[China]])^2,"")</f>
        <v>1308902.7693917591</v>
      </c>
      <c r="BS48" s="11">
        <f ca="1">tblData[[#This Row],[China LogiP(t)]]/$BQ$9</f>
        <v>556.31730831908601</v>
      </c>
      <c r="BT48" s="137">
        <f ca="1">IF(AND(ISNUMBER(tblData[China]),tblData[Date]&gt;StartDt2China),(tblData[China]-AVERAGE(tblData[China]))^2,"")</f>
        <v>353403989.64967263</v>
      </c>
      <c r="BU48" s="11">
        <f>tblData[[#This Row],[Date]]-China100dt</f>
        <v>37</v>
      </c>
      <c r="BV48" s="106">
        <f>IF(ISNUMBER(tblData[Day'# Singapore]),betaSingapore/(deltaSingapore+betaPodeltaSingapore*EXP(-betaSingapore*tblData[Day'# Singapore])),"")</f>
        <v>75.3354379888236</v>
      </c>
      <c r="BW48" s="11">
        <f>IF(AND(ISNUMBER(tblData[Singapore]),tblData[Date]&gt;=StartDt2Singapore),(tblData[[#This Row],[Singapore LogiP(t)]]-tblData[[#This Row],[Singapore]])^2,"")</f>
        <v>312.03675104669645</v>
      </c>
      <c r="BX48" s="106">
        <f>IF(ISNUMBER(tblData[Day'# Singapore]),tblData[Singapore LogiP(t)]/$BV$9,"")</f>
        <v>128.77852647662155</v>
      </c>
      <c r="BY48" s="106">
        <f>IF(AND(ISNUMBER(tblData[Singapore]),tblData[Date]&gt;StartDt2Singapore),(tblData[Singapore]-AVERAGE(tblData[Singapore]))^2,"")</f>
        <v>11221.075381868677</v>
      </c>
      <c r="BZ48" s="11">
        <f>tblData[[#This Row],[Date]]-Singapore100dt+1</f>
        <v>18</v>
      </c>
      <c r="CA48" s="11">
        <f ca="1">IF(AND(tblData[Date]&gt;StartDt2Generic,ISNUMBER(tblData[Day'# Generic])),betaGeneric/(deltaGeneric+betaPodeltaGeneric*EXP(-betaGeneric*tblData[Day'# Generic])),"")</f>
        <v>1.4568937918666067</v>
      </c>
      <c r="CB48" s="106">
        <f ca="1">IF(AND(ISNUMBER(tblData[Generic]),tblData[Date]&gt;StartDt2Generic),(tblData[Generic LogiP(t)]-tblData[[#This Row],[Generic]])^2,"")</f>
        <v>0.20875193704624614</v>
      </c>
      <c r="CC48" s="11">
        <f ca="1">IF(AND(ISNUMBER(tblData[Generic]),tblData[Date]&gt;StartDt2Generic),tblData[Generic LogiP(t)]/$CA$9,"")</f>
        <v>2.7856477855958062</v>
      </c>
      <c r="CD48" s="106">
        <f ca="1">IF(AND(ISNUMBER(tblData[Generic]),tblData[Date]&gt;StartDt2Generic),(tblData[Generic]-AVERAGE(tblData[Generic]))^2,"")</f>
        <v>15178.240000000002</v>
      </c>
      <c r="CE48" s="11">
        <f>tblData[[#This Row],[Date]]-Generic100dt+1</f>
        <v>-21</v>
      </c>
      <c r="CG48" s="11"/>
      <c r="CH48" s="11" t="str">
        <f>IF(ISNUMBER(tblData[[#This Row],[Tests]]),tblData[[#This Row],[Tests]]-CH47,"")</f>
        <v/>
      </c>
      <c r="CI48" s="11" t="str">
        <f>IF(ISNUMBER(tblData[[#This Row],[NSW Under Investigation'']]),tblData[[#This Row],[NSW Under Investigation'']]-CG47,"")</f>
        <v/>
      </c>
      <c r="CJ48" s="11"/>
      <c r="CK48" s="11" t="str">
        <f>IF(AND(tblData[[#This Row],[NSW Test Day Number]]&gt;0,ISNUMBER(tblData[[#This Row],[NSW Test Day Number]])),betaTests/(deltaTests+betaPodeltaTests*EXP(-betaTests*tblData[[#This Row],[NSW Test Day Number]])),"")</f>
        <v/>
      </c>
      <c r="CL48" s="11" t="str">
        <f>IF(tblData[Tests]&gt;0,(tblData[[#This Row],[Tests]]-tblData[[#This Row],[NSW Test Logi]])^2,"")</f>
        <v/>
      </c>
      <c r="CM48" s="106" t="str">
        <f>IF(AND(ISNUMBER(tblData[Tests]),tblData[Date]&gt;StartDt2Tests),(tblData[Tests]-AVERAGE(tblData[Tests]))^2,"")</f>
        <v/>
      </c>
      <c r="CN48" s="11" t="str">
        <f>IF(ISNUMBER(tblData[Tests]),tblData[Tests]/$CN$9/100,"")</f>
        <v/>
      </c>
      <c r="CO48" s="11" t="str">
        <f>IF(AND(tblData[[#This Row],[NSW Test Day Number]]&gt;0,ISNUMBER(tblData[[#This Row],[NSW Test Day Number]])),TestsLogestB*TestsLogestM^tblData[[#This Row],[NSW Test Day Number]],"")</f>
        <v/>
      </c>
      <c r="CP48" s="11" t="str">
        <f>IF(AND(tblData[[#This Row],[NSW Test Day Number]]&gt;0,ISNUMBER(tblData[Tests])),(tblData[Tests]-tblData[[#This Row],[NSW Test Per Capita]])^2,"")</f>
        <v/>
      </c>
      <c r="CQ48" s="39">
        <f ca="1">IF(AND(tblData[Day '# NSW]&gt;0,ISNUMBER(tblData[[#This Row],[Day '# NSW]])),NSWLogestB*NSWLogestM^tblData[[#This Row],[Day '# NSW]]/$CR$9,"")</f>
        <v>37.749866879010447</v>
      </c>
      <c r="CR48" s="39">
        <f ca="1">IF(AND(ISNUMBER(tblData[NSW]),tblData[Date]&gt;StartDt2NSW),(tblData[NSW]/$CR$9-tblData[[#This Row],[NSW Cases LogEst]])^2,"")</f>
        <v>1075.7987924101587</v>
      </c>
      <c r="CS48" s="11"/>
      <c r="CT48" s="11"/>
      <c r="CW48" s="25"/>
      <c r="CX48"/>
      <c r="DK48" s="25"/>
      <c r="DL48" s="25"/>
      <c r="DM48" s="25"/>
      <c r="DR48"/>
      <c r="DS48"/>
      <c r="DT48"/>
      <c r="DU48"/>
      <c r="EB48" s="25"/>
      <c r="EC48" s="25"/>
      <c r="ED48" s="25"/>
      <c r="EE48" s="25"/>
      <c r="EK48"/>
      <c r="EL48"/>
      <c r="EM48"/>
      <c r="EN48"/>
      <c r="EO48"/>
      <c r="EP48" s="25"/>
      <c r="ER48" s="25"/>
      <c r="ES48" s="25"/>
      <c r="ET48"/>
      <c r="EU48" s="25" t="s">
        <v>153</v>
      </c>
      <c r="EV48" s="69">
        <v>43913.581608796296</v>
      </c>
      <c r="EW48" s="26">
        <v>43855</v>
      </c>
      <c r="EX48" s="26">
        <v>43855</v>
      </c>
      <c r="EY48" s="25">
        <v>1</v>
      </c>
      <c r="EZ48" s="25">
        <v>0.19304193258457727</v>
      </c>
      <c r="FA48" s="81">
        <v>7.741697041153024E-7</v>
      </c>
      <c r="FB48" s="21">
        <v>9.08799853365907E-3</v>
      </c>
      <c r="FC48" s="82">
        <v>249353.50939001123</v>
      </c>
      <c r="FD48" s="82">
        <v>4.8079620372406442</v>
      </c>
      <c r="FE48" s="25">
        <v>21.241412488564777</v>
      </c>
      <c r="FF48" s="84">
        <v>7.7416970411530242E-4</v>
      </c>
      <c r="FG48" s="26">
        <v>43913</v>
      </c>
      <c r="FH48" s="25" t="s">
        <v>1261</v>
      </c>
      <c r="FI48" s="84">
        <v>249353.50939001123</v>
      </c>
      <c r="FJ48" s="84">
        <v>669</v>
      </c>
      <c r="FK48" s="25" t="s">
        <v>1262</v>
      </c>
      <c r="FL48" s="26">
        <v>43913</v>
      </c>
      <c r="FM48" s="25">
        <v>59</v>
      </c>
      <c r="FN48" s="25" t="s">
        <v>1263</v>
      </c>
      <c r="FO48" s="25"/>
      <c r="FP48" s="25" t="s">
        <v>1264</v>
      </c>
      <c r="FR48" s="25" t="s">
        <v>1265</v>
      </c>
      <c r="FS48" s="19">
        <v>827.97029702970292</v>
      </c>
      <c r="FT48" s="72"/>
      <c r="FU48" s="25"/>
      <c r="FV48" s="148"/>
      <c r="FX48" s="25" t="s">
        <v>1260</v>
      </c>
      <c r="FZ48" s="25"/>
      <c r="GC48" s="25"/>
    </row>
    <row r="49" spans="2:220" x14ac:dyDescent="0.25">
      <c r="B49" s="1">
        <v>43890</v>
      </c>
      <c r="C49">
        <v>0</v>
      </c>
      <c r="D49" s="25">
        <v>0</v>
      </c>
      <c r="E49">
        <v>4</v>
      </c>
      <c r="F49">
        <v>0</v>
      </c>
      <c r="G49">
        <v>9</v>
      </c>
      <c r="H49">
        <v>3</v>
      </c>
      <c r="I49">
        <v>0</v>
      </c>
      <c r="J49">
        <v>7</v>
      </c>
      <c r="K49">
        <v>2</v>
      </c>
      <c r="L49" s="12">
        <f>IF(ISNUMBER(tblData[[#This Row],[NSW]]),tblData[[#This Row],[New South Wales]]/$L$9,"")</f>
        <v>4.9504950495049505</v>
      </c>
      <c r="M49" s="25">
        <v>1128</v>
      </c>
      <c r="N49" s="106">
        <f>IF(ISNUMBER(tblData[Italy]),tblData[Italy]/$N$9,"")</f>
        <v>186.49251880631562</v>
      </c>
      <c r="O49">
        <v>68</v>
      </c>
      <c r="P49" s="106">
        <f>IF(ISNUMBER(tblData[US]),tblData[US]/$P$9,"")</f>
        <v>2.0654395270804424</v>
      </c>
      <c r="Q49">
        <v>3150</v>
      </c>
      <c r="R49" s="106">
        <f>IF(ISNUMBER(tblData[SKorea]),tblData[SKorea]/$R$9,"")</f>
        <v>612.84046692607012</v>
      </c>
      <c r="S49">
        <v>23</v>
      </c>
      <c r="T49" s="106">
        <f>IF(ISNUMBER(tblData[UK]),tblData[UK]/$T$9,"")</f>
        <v>3.4617700180614088</v>
      </c>
      <c r="U49">
        <v>79356</v>
      </c>
      <c r="V49" s="106">
        <f>IF(ISNUMBER(tblData[China]),tblData[China]/$V$9,"")</f>
        <v>551.34224365095179</v>
      </c>
      <c r="W49">
        <v>102</v>
      </c>
      <c r="X49" s="106">
        <f>IF(ISNUMBER(tblData[Singapore]),tblData[Singapore]/$X$9,"")</f>
        <v>174.35897435897436</v>
      </c>
      <c r="Y49">
        <v>1</v>
      </c>
      <c r="Z49" s="20">
        <f>IF(AND(LEN(tblData[Generic])&gt;0,ISNUMBER(tblData[Generic])),tblData[Generic]/$Z$9,"")</f>
        <v>1.9120458891013383</v>
      </c>
      <c r="AA49" s="25">
        <f ca="1">IF(tblData[[#This Row],[Date]]&lt;StartDt2Italy,"",tblData[[#This Row],[Date]]-ItalyStart)</f>
        <v>30</v>
      </c>
      <c r="AB49" s="25">
        <f ca="1">IF(tblData[[#This Row],[Date]]&lt;=StartDt2US,"",tblData[[#This Row],[Date]]-USStart)</f>
        <v>38</v>
      </c>
      <c r="AC49" s="25">
        <f ca="1">IF(tblData[[#This Row],[Date]]&lt;StartDt2China,"",tblData[[#This Row],[Date]]-ChinaStart)</f>
        <v>38</v>
      </c>
      <c r="AD49" s="25">
        <f>IF(tblData[[#This Row],[Date]]&lt;=SKoreaStart,"",tblData[[#This Row],[Date]]-SKoreaStart)</f>
        <v>38</v>
      </c>
      <c r="AE49" s="25">
        <f ca="1">IF(tblData[[#This Row],[Date]]&lt;=StartDt2UK,"",tblData[[#This Row],[Date]]-UKStart)</f>
        <v>30</v>
      </c>
      <c r="AF49" s="25">
        <f>IF(tblData[[#This Row],[Date]]&lt;StartDt2Singapore,"",tblData[[#This Row],[Date]]-SingaporeStart)</f>
        <v>37</v>
      </c>
      <c r="AG49" s="25">
        <f ca="1">IF(tblData[[#This Row],[Date]]&lt;StartDt2Generic,"",tblData[[#This Row],[Date]]-GenericStart)</f>
        <v>38</v>
      </c>
      <c r="AH49">
        <f ca="1">IF(tblData[Date]&gt;StartDt2Au,tblData[Date]-AuStart,"")</f>
        <v>35</v>
      </c>
      <c r="AI49" s="25">
        <f>IF(tblData[New South Wales]&gt;=0,SUM(tblData[[#This Row],[Australian Capital Territory]:[Western Australia]]),"")</f>
        <v>25</v>
      </c>
      <c r="AJ49" s="12">
        <f>IF(ISNUMBER(tblData[Au]),tblData[Au]/$AE$9,"")</f>
        <v>9.856489512695159</v>
      </c>
      <c r="AK49" s="19">
        <f ca="1">IF(ISNUMBER(tblData[[#This Row],[Day'# Aust]]),betaAu/(deltaAu+betaPodeltaAu*EXP(-betaAu*tblData[[#This Row],[Day'# Aust]])),"")</f>
        <v>7.0213381488106634</v>
      </c>
      <c r="AL49" s="62">
        <f ca="1">IF(ISNUMBER(tblData[Day'# Aust]),tblData[Au LogiP(t)]/$AJ$9,"")</f>
        <v>2.7682298331535495</v>
      </c>
      <c r="AM49" s="11">
        <f ca="1">IF(AND(tblData[Date]&gt;StartDt2Au,ISNUMBER(tblData[NSW])),(tblData[[#This Row],[Au LogiP(t)]]-tblData[[#This Row],[Au]])^2,"")</f>
        <v>323.23228195941078</v>
      </c>
      <c r="AN49" s="11">
        <f ca="1">IF(AND(ISNUMBER(tblData[Au]),tblData[Date]&gt;StartDt2Au),(tblData[Au]-AVERAGE(tblData[Au]))^2,"")</f>
        <v>175021.54964866865</v>
      </c>
      <c r="AO49" s="11">
        <f>tblData[[#This Row],[Date]]-Au100dt</f>
        <v>-14</v>
      </c>
      <c r="AP49" s="25">
        <f ca="1">IF(tblData[Date]&gt;StartDt2NSW,tblData[Date]-StartDt2NSW,"")</f>
        <v>35</v>
      </c>
      <c r="AQ49" s="25">
        <f>IF(tblData[[#This Row],[New South Wales]]&gt;0,tblData[[#This Row],[New South Wales]],"")</f>
        <v>4</v>
      </c>
      <c r="AR49" s="44">
        <f ca="1">IF(tblData[Date]&gt;StartDt2NSW,betaNSW/(deltaNSW+betaPodeltaNSW*EXP(-betaNSW*tblData[[#This Row],[Day '# NSW]])),"")</f>
        <v>4.1118602853710842</v>
      </c>
      <c r="AS49" s="12">
        <f ca="1">IF(AND(ISNUMBER(tblData[NSW]),tblData[Date]&gt;StartDt2NSW),(tblData[[#This Row],[NSW LogiP(t)]]-tblData[[#This Row],[NSW]])^2,"")</f>
        <v>1.2512723443300386E-2</v>
      </c>
      <c r="AT49" s="12">
        <f ca="1">IF(AND(tblData[Date]&gt;StartDt2NSW,ISNUMBER(tblData[Day'# Aust])),tblData[NSW LogiP(t)]/$AR$9,"")</f>
        <v>5.0889359967463914</v>
      </c>
      <c r="AU49" s="11">
        <f>tblData[[#This Row],[Date]]-NSW100dt+1</f>
        <v>-10</v>
      </c>
      <c r="AV49" s="11">
        <f ca="1">IF(AND(ISNUMBER(tblData[NSW]),tblData[Date]&gt;StartDt2NSW),(tblData[NSW]-AVERAGE(tblData[NSW]))^2,"")</f>
        <v>83990.760134425553</v>
      </c>
      <c r="AW49" s="39">
        <f ca="1">IF(AND(tblData[Date]&gt;StartDt2Italy,ISNUMBER(tblData[Days'# Italy])),betaItaly/(deltaItaly+betaPodeltaItaly*EXP(-betaItaly*tblData[Days'# Italy])),"")</f>
        <v>968.0596822336986</v>
      </c>
      <c r="AX49" s="11">
        <f ca="1">IF(AND(tblData[Date]&gt;StartDt2Italy,ISNUMBER(tblData[Italy])),(tblData[[#This Row],[Italy LogiP(t)]]-tblData[[#This Row],[Italy]])^2,"")</f>
        <v>25580.90524718547</v>
      </c>
      <c r="AY49" s="39">
        <f ca="1">IF(AND(tblData[Date]&gt;StartDt2Italy,ISNUMBER(tblData[Days'# Italy])),tblData[[#This Row],[Italy LogiP(t)]]/$AW$9,"")</f>
        <v>160.04954653776946</v>
      </c>
      <c r="AZ49" s="39">
        <f ca="1">IF(AND(ISNUMBER(tblData[Italy]),tblData[Date]&gt;StartDt2Italy),(tblData[Italy]-AVERAGE(tblData[Italy]))^2,"")</f>
        <v>394053378.38271606</v>
      </c>
      <c r="BA49" s="11">
        <f>tblData[[#This Row],[Date]]-Italy100dt+1</f>
        <v>3</v>
      </c>
      <c r="BB49" s="11">
        <f ca="1">IF(AND(tblData[Date]&gt;StartDt2US,ISNUMBER(tblData[[#This Row],[Days'# US]])),betaUS/(deltaUS+betaPodeltaUS*EXP(-betaUS*tblData[Days'# US])),"")</f>
        <v>48.201777592067138</v>
      </c>
      <c r="BC49" s="11">
        <f ca="1">IF(AND(tblData[Date]&gt;StartDt2US,ISNUMBER(tblData[US])),(tblData[[#This Row],[US LogiP(t)]]-tblData[US])^2,"")</f>
        <v>391.96961051397489</v>
      </c>
      <c r="BD49" s="137">
        <f ca="1">IF(AND(tblData[Date]&gt;=StartDt2US,ISNUMBER(tblData[[#This Row],[Days'# US]])),tblData[[#This Row],[US LogiP(t)]]/$BB$9,"")</f>
        <v>1.4640861281499387</v>
      </c>
      <c r="BE49" s="137">
        <f ca="1">IF(AND(ISNUMBER(tblData[US]),tblData[Date]&gt;StartDt2US),(tblData[US]-AVERAGE(tblData[US]))^2,"")</f>
        <v>332940159.12398332</v>
      </c>
      <c r="BF49" s="11">
        <f>tblData[[#This Row],[Date]]-US100dt+1</f>
        <v>-13</v>
      </c>
      <c r="BG49" s="20">
        <f ca="1">IF(tblData[Date]&gt;StartDt2SKorea,betaSKorea/(deltaSKorea+betaPodeltaSKorea*EXP(-betaSKorea*(tblData[Date]-StartDt2SKorea))),"")</f>
        <v>2987.7181208421748</v>
      </c>
      <c r="BH49" s="20">
        <f ca="1">IF(AND(tblData[Date]&gt;StartDt2SKorea,ISNUMBER(tblData[SKorea])),(tblData[[#This Row],[SKorea LogiP(t)]]-tblData[[#This Row],[SKorea]])^2,"")</f>
        <v>26335.408302994976</v>
      </c>
      <c r="BI49" s="20">
        <f ca="1">IF(tblData[Date]&gt;StartDt2SKorea,tblData[[#This Row],[SKorea LogiP(t)]]/$BG$9,"")</f>
        <v>581.26811689536476</v>
      </c>
      <c r="BJ49" s="137">
        <f ca="1">IF(AND(ISNUMBER(tblData[SKorea]),tblData[Date]&gt;StartDt2SKorea),(tblData[SKorea]-AVERAGE(tblData[SKorea]))^2,"")</f>
        <v>372254.66395556432</v>
      </c>
      <c r="BK49" s="11">
        <f>tblData[[#This Row],[Date]]-SKorea100dt+1</f>
        <v>8</v>
      </c>
      <c r="BL49" s="137">
        <f ca="1">IF(AND(tblData[Date]&gt;StartDt2UK,ISNUMBER(tblData[Days'# UK])),betaUK/(deltaUK+betaPodeltaUK*EXP(-betaUK*tblData[Days'# UK])),"")</f>
        <v>53.452873245273011</v>
      </c>
      <c r="BM49" s="20">
        <f ca="1">IF(AND(tblData[Date]&gt;StartDt2UK,ISNUMBER(tblData[UK])),(tblData[[#This Row],[UK LogiP(t)]]-tblData[[#This Row],[UK]])^2,"")</f>
        <v>927.37748889266481</v>
      </c>
      <c r="BN49" s="20">
        <f ca="1">IF(ISNUMBER(tblData[Days'# UK]),tblData[[#This Row],[UK LogiP(t)]]/$BL$9,"")</f>
        <v>8.0452849556401276</v>
      </c>
      <c r="BO49" s="137">
        <f ca="1">IF(AND(ISNUMBER(tblData[UK]),tblData[Date]&gt;StartDt2UK),(tblData[UK]-AVERAGE(tblData[UK]))^2,"")</f>
        <v>9497843.4489795901</v>
      </c>
      <c r="BP49" s="11">
        <f>tblData[[#This Row],[Date]]-UK100dt</f>
        <v>-12</v>
      </c>
      <c r="BQ49" s="11">
        <f ca="1">IF(ISNUMBER(tblData[Days'# China]),betaChina/(deltaChina+betaPodeltaChina*EXP(-betaChina*tblData[Days'# China])),"")</f>
        <v>80297.739293360864</v>
      </c>
      <c r="BR49" s="11">
        <f ca="1">IF(ISNUMBER(tblData[China]),(tblData[[#This Row],[China LogiP(t)]]-tblData[[#This Row],[China]])^2,"")</f>
        <v>886872.89665982022</v>
      </c>
      <c r="BS49" s="11">
        <f ca="1">tblData[[#This Row],[China LogiP(t)]]/$BQ$9</f>
        <v>557.8851724141939</v>
      </c>
      <c r="BT49" s="137">
        <f ca="1">IF(AND(ISNUMBER(tblData[China]),tblData[Date]&gt;StartDt2China),(tblData[China]-AVERAGE(tblData[China]))^2,"")</f>
        <v>369679153.81868672</v>
      </c>
      <c r="BU49" s="11">
        <f>tblData[[#This Row],[Date]]-China100dt</f>
        <v>38</v>
      </c>
      <c r="BV49" s="106">
        <f>IF(ISNUMBER(tblData[Day'# Singapore]),betaSingapore/(deltaSingapore+betaPodeltaSingapore*EXP(-betaSingapore*tblData[Day'# Singapore])),"")</f>
        <v>81.572767659444182</v>
      </c>
      <c r="BW49" s="11">
        <f>IF(AND(ISNUMBER(tblData[Singapore]),tblData[Date]&gt;=StartDt2Singapore),(tblData[[#This Row],[Singapore LogiP(t)]]-tblData[[#This Row],[Singapore]])^2,"")</f>
        <v>417.27182109504952</v>
      </c>
      <c r="BX49" s="106">
        <f>IF(ISNUMBER(tblData[Day'# Singapore]),tblData[Singapore LogiP(t)]/$BV$9,"")</f>
        <v>139.44062847768237</v>
      </c>
      <c r="BY49" s="106">
        <f>IF(AND(ISNUMBER(tblData[Singapore]),tblData[Date]&gt;StartDt2Singapore),(tblData[Singapore]-AVERAGE(tblData[Singapore]))^2,"")</f>
        <v>9395.3429875024794</v>
      </c>
      <c r="BZ49" s="11">
        <f>tblData[[#This Row],[Date]]-Singapore100dt+1</f>
        <v>19</v>
      </c>
      <c r="CA49" s="11">
        <f ca="1">IF(AND(tblData[Date]&gt;StartDt2Generic,ISNUMBER(tblData[Day'# Generic])),betaGeneric/(deltaGeneric+betaPodeltaGeneric*EXP(-betaGeneric*tblData[Day'# Generic])),"")</f>
        <v>1.7737481452878221</v>
      </c>
      <c r="CB49" s="106">
        <f ca="1">IF(AND(ISNUMBER(tblData[Generic]),tblData[Date]&gt;StartDt2Generic),(tblData[Generic LogiP(t)]-tblData[[#This Row],[Generic]])^2,"")</f>
        <v>0.59868619233634468</v>
      </c>
      <c r="CC49" s="11">
        <f ca="1">IF(AND(ISNUMBER(tblData[Generic]),tblData[Date]&gt;StartDt2Generic),tblData[Generic LogiP(t)]/$CA$9,"")</f>
        <v>3.3914878494987035</v>
      </c>
      <c r="CD49" s="106">
        <f ca="1">IF(AND(ISNUMBER(tblData[Generic]),tblData[Date]&gt;StartDt2Generic),(tblData[Generic]-AVERAGE(tblData[Generic]))^2,"")</f>
        <v>15178.240000000002</v>
      </c>
      <c r="CE49" s="11">
        <f>tblData[[#This Row],[Date]]-Generic100dt+1</f>
        <v>-20</v>
      </c>
      <c r="CG49" s="11"/>
      <c r="CH49" s="11" t="str">
        <f>IF(ISNUMBER(tblData[[#This Row],[Tests]]),tblData[[#This Row],[Tests]]-CH48,"")</f>
        <v/>
      </c>
      <c r="CI49" s="11" t="str">
        <f>IF(ISNUMBER(tblData[[#This Row],[NSW Under Investigation'']]),tblData[[#This Row],[NSW Under Investigation'']]-CG48,"")</f>
        <v/>
      </c>
      <c r="CJ49" s="11"/>
      <c r="CK49" s="11" t="str">
        <f>IF(AND(tblData[[#This Row],[NSW Test Day Number]]&gt;0,ISNUMBER(tblData[[#This Row],[NSW Test Day Number]])),betaTests/(deltaTests+betaPodeltaTests*EXP(-betaTests*tblData[[#This Row],[NSW Test Day Number]])),"")</f>
        <v/>
      </c>
      <c r="CL49" s="11" t="str">
        <f>IF(tblData[Tests]&gt;0,(tblData[[#This Row],[Tests]]-tblData[[#This Row],[NSW Test Logi]])^2,"")</f>
        <v/>
      </c>
      <c r="CM49" s="106" t="str">
        <f>IF(AND(ISNUMBER(tblData[Tests]),tblData[Date]&gt;StartDt2Tests),(tblData[Tests]-AVERAGE(tblData[Tests]))^2,"")</f>
        <v/>
      </c>
      <c r="CN49" s="11" t="str">
        <f>IF(ISNUMBER(tblData[Tests]),tblData[Tests]/$CN$9/100,"")</f>
        <v/>
      </c>
      <c r="CO49" s="11" t="str">
        <f>IF(AND(tblData[[#This Row],[NSW Test Day Number]]&gt;0,ISNUMBER(tblData[[#This Row],[NSW Test Day Number]])),TestsLogestB*TestsLogestM^tblData[[#This Row],[NSW Test Day Number]],"")</f>
        <v/>
      </c>
      <c r="CP49" s="11" t="str">
        <f>IF(AND(tblData[[#This Row],[NSW Test Day Number]]&gt;0,ISNUMBER(tblData[Tests])),(tblData[Tests]-tblData[[#This Row],[NSW Test Per Capita]])^2,"")</f>
        <v/>
      </c>
      <c r="CQ49" s="39">
        <f ca="1">IF(AND(tblData[Day '# NSW]&gt;0,ISNUMBER(tblData[[#This Row],[Day '# NSW]])),NSWLogestB*NSWLogestM^tblData[[#This Row],[Day '# NSW]]/$CR$9,"")</f>
        <v>42.013294318722025</v>
      </c>
      <c r="CR49" s="39">
        <f ca="1">IF(AND(ISNUMBER(tblData[NSW]),tblData[Date]&gt;StartDt2NSW),(tblData[NSW]/$CR$9-tblData[[#This Row],[NSW Cases LogEst]])^2,"")</f>
        <v>1373.6510896702775</v>
      </c>
      <c r="CS49" s="11"/>
      <c r="CT49" s="11"/>
      <c r="CW49" s="25"/>
      <c r="CX49"/>
      <c r="DK49" s="25"/>
      <c r="DL49" s="25"/>
      <c r="DM49" s="25"/>
      <c r="DR49"/>
      <c r="DS49"/>
      <c r="DT49"/>
      <c r="DU49"/>
      <c r="EB49" s="25"/>
      <c r="EC49" s="25"/>
      <c r="ED49" s="25"/>
      <c r="EE49" s="25"/>
      <c r="EK49"/>
      <c r="EL49"/>
      <c r="EM49"/>
      <c r="EN49"/>
      <c r="EO49"/>
      <c r="EP49" s="25"/>
      <c r="ER49" s="25"/>
      <c r="ES49" s="25"/>
      <c r="ET49"/>
      <c r="EU49" s="25" t="s">
        <v>153</v>
      </c>
      <c r="EV49" s="69">
        <v>43913.686701388891</v>
      </c>
      <c r="EW49" s="26">
        <v>43855</v>
      </c>
      <c r="EX49" s="26">
        <v>43855</v>
      </c>
      <c r="EY49" s="25">
        <v>1</v>
      </c>
      <c r="EZ49" s="25">
        <v>0.19304193258456839</v>
      </c>
      <c r="FA49" s="81">
        <v>7.7143821954333995E-7</v>
      </c>
      <c r="FB49" s="21">
        <v>9.0879985336590873E-3</v>
      </c>
      <c r="FC49" s="82">
        <v>250236.41257862665</v>
      </c>
      <c r="FD49" s="82">
        <v>4.8079619102153499</v>
      </c>
      <c r="FE49" s="25">
        <v>21.241412491295243</v>
      </c>
      <c r="FF49" s="84">
        <v>7.7143821954333994E-4</v>
      </c>
      <c r="FG49" s="26">
        <v>43913</v>
      </c>
      <c r="FH49" s="25" t="s">
        <v>1291</v>
      </c>
      <c r="FI49" s="84">
        <v>250236.41257862665</v>
      </c>
      <c r="FJ49" s="84">
        <v>669</v>
      </c>
      <c r="FK49" s="25" t="s">
        <v>1292</v>
      </c>
      <c r="FL49" s="26">
        <v>43913</v>
      </c>
      <c r="FM49" s="25">
        <v>59</v>
      </c>
      <c r="FN49" s="25" t="s">
        <v>1293</v>
      </c>
      <c r="FO49" s="25"/>
      <c r="FP49" s="25" t="s">
        <v>1294</v>
      </c>
      <c r="FR49" s="25" t="s">
        <v>1295</v>
      </c>
      <c r="FS49" s="19">
        <v>827.97029702970292</v>
      </c>
      <c r="FT49" s="72"/>
      <c r="FU49" s="25"/>
      <c r="FV49" s="148"/>
      <c r="FX49" s="25" t="s">
        <v>1290</v>
      </c>
      <c r="FZ49" s="25"/>
      <c r="GC49" s="25"/>
    </row>
    <row r="50" spans="2:220" x14ac:dyDescent="0.25">
      <c r="B50" s="1">
        <v>43891</v>
      </c>
      <c r="C50">
        <v>0</v>
      </c>
      <c r="D50" s="25">
        <v>0</v>
      </c>
      <c r="E50">
        <v>6</v>
      </c>
      <c r="F50">
        <v>0</v>
      </c>
      <c r="G50">
        <v>9</v>
      </c>
      <c r="H50">
        <v>3</v>
      </c>
      <c r="I50">
        <v>0</v>
      </c>
      <c r="J50">
        <v>7</v>
      </c>
      <c r="K50">
        <v>2</v>
      </c>
      <c r="L50" s="12">
        <f>IF(ISNUMBER(tblData[[#This Row],[NSW]]),tblData[[#This Row],[New South Wales]]/$L$9,"")</f>
        <v>7.4257425742574252</v>
      </c>
      <c r="M50" s="25">
        <v>1694</v>
      </c>
      <c r="N50" s="106">
        <f>IF(ISNUMBER(tblData[Italy]),tblData[Italy]/$N$9,"")</f>
        <v>280.06943870381087</v>
      </c>
      <c r="O50">
        <v>74</v>
      </c>
      <c r="P50" s="106">
        <f>IF(ISNUMBER(tblData[US]),tblData[US]/$P$9,"")</f>
        <v>2.2476841912345993</v>
      </c>
      <c r="Q50">
        <v>3736</v>
      </c>
      <c r="R50" s="106">
        <f>IF(ISNUMBER(tblData[SKorea]),tblData[SKorea]/$R$9,"")</f>
        <v>726.84824902723744</v>
      </c>
      <c r="S50">
        <v>36</v>
      </c>
      <c r="T50" s="106">
        <f>IF(ISNUMBER(tblData[UK]),tblData[UK]/$T$9,"")</f>
        <v>5.4184226369656834</v>
      </c>
      <c r="U50">
        <v>79932</v>
      </c>
      <c r="V50" s="106">
        <f>IF(ISNUMBER(tblData[China]),tblData[China]/$V$9,"")</f>
        <v>555.34412293346293</v>
      </c>
      <c r="W50">
        <v>106</v>
      </c>
      <c r="X50" s="106">
        <f>IF(ISNUMBER(tblData[Singapore]),tblData[Singapore]/$X$9,"")</f>
        <v>181.19658119658121</v>
      </c>
      <c r="Y50">
        <v>1</v>
      </c>
      <c r="Z50" s="20">
        <f>IF(AND(LEN(tblData[Generic])&gt;0,ISNUMBER(tblData[Generic])),tblData[Generic]/$Z$9,"")</f>
        <v>1.9120458891013383</v>
      </c>
      <c r="AA50" s="25">
        <f ca="1">IF(tblData[[#This Row],[Date]]&lt;StartDt2Italy,"",tblData[[#This Row],[Date]]-ItalyStart)</f>
        <v>31</v>
      </c>
      <c r="AB50" s="25">
        <f ca="1">IF(tblData[[#This Row],[Date]]&lt;=StartDt2US,"",tblData[[#This Row],[Date]]-USStart)</f>
        <v>39</v>
      </c>
      <c r="AC50" s="25">
        <f ca="1">IF(tblData[[#This Row],[Date]]&lt;StartDt2China,"",tblData[[#This Row],[Date]]-ChinaStart)</f>
        <v>39</v>
      </c>
      <c r="AD50" s="25">
        <f>IF(tblData[[#This Row],[Date]]&lt;=SKoreaStart,"",tblData[[#This Row],[Date]]-SKoreaStart)</f>
        <v>39</v>
      </c>
      <c r="AE50" s="25">
        <f ca="1">IF(tblData[[#This Row],[Date]]&lt;=StartDt2UK,"",tblData[[#This Row],[Date]]-UKStart)</f>
        <v>31</v>
      </c>
      <c r="AF50" s="25">
        <f>IF(tblData[[#This Row],[Date]]&lt;StartDt2Singapore,"",tblData[[#This Row],[Date]]-SingaporeStart)</f>
        <v>38</v>
      </c>
      <c r="AG50" s="25">
        <f ca="1">IF(tblData[[#This Row],[Date]]&lt;StartDt2Generic,"",tblData[[#This Row],[Date]]-GenericStart)</f>
        <v>39</v>
      </c>
      <c r="AH50">
        <f ca="1">IF(tblData[Date]&gt;StartDt2Au,tblData[Date]-AuStart,"")</f>
        <v>36</v>
      </c>
      <c r="AI50" s="25">
        <f>IF(tblData[New South Wales]&gt;=0,SUM(tblData[[#This Row],[Australian Capital Territory]:[Western Australia]]),"")</f>
        <v>27</v>
      </c>
      <c r="AJ50" s="12">
        <f>IF(ISNUMBER(tblData[Au]),tblData[Au]/$AE$9,"")</f>
        <v>10.645008673710771</v>
      </c>
      <c r="AK50" s="19">
        <f ca="1">IF(ISNUMBER(tblData[[#This Row],[Day'# Aust]]),betaAu/(deltaAu+betaPodeltaAu*EXP(-betaAu*tblData[[#This Row],[Day'# Aust]])),"")</f>
        <v>9.040441115241423</v>
      </c>
      <c r="AL50" s="62">
        <f ca="1">IF(ISNUMBER(tblData[Day'# Aust]),tblData[Au LogiP(t)]/$AJ$9,"")</f>
        <v>3.5642805217006082</v>
      </c>
      <c r="AM50" s="11">
        <f ca="1">IF(AND(tblData[Date]&gt;StartDt2Au,ISNUMBER(tblData[NSW])),(tblData[[#This Row],[Au LogiP(t)]]-tblData[[#This Row],[Au]])^2,"")</f>
        <v>322.54575533511081</v>
      </c>
      <c r="AN50" s="11">
        <f ca="1">IF(AND(ISNUMBER(tblData[Au]),tblData[Date]&gt;StartDt2Au),(tblData[Au]-AVERAGE(tblData[Au]))^2,"")</f>
        <v>173352.12657174555</v>
      </c>
      <c r="AO50" s="11">
        <f>tblData[[#This Row],[Date]]-Au100dt</f>
        <v>-13</v>
      </c>
      <c r="AP50" s="25">
        <f ca="1">IF(tblData[Date]&gt;StartDt2NSW,tblData[Date]-StartDt2NSW,"")</f>
        <v>36</v>
      </c>
      <c r="AQ50" s="25">
        <f>IF(tblData[[#This Row],[New South Wales]]&gt;0,tblData[[#This Row],[New South Wales]],"")</f>
        <v>6</v>
      </c>
      <c r="AR50" s="44">
        <f ca="1">IF(tblData[Date]&gt;StartDt2NSW,betaNSW/(deltaNSW+betaPodeltaNSW*EXP(-betaNSW*tblData[[#This Row],[Day '# NSW]])),"")</f>
        <v>5.2137937335661597</v>
      </c>
      <c r="AS50" s="12">
        <f ca="1">IF(AND(ISNUMBER(tblData[NSW]),tblData[Date]&gt;StartDt2NSW),(tblData[[#This Row],[NSW LogiP(t)]]-tblData[[#This Row],[NSW]])^2,"")</f>
        <v>0.61812029337983865</v>
      </c>
      <c r="AT50" s="12">
        <f ca="1">IF(AND(tblData[Date]&gt;StartDt2NSW,ISNUMBER(tblData[Day'# Aust])),tblData[NSW LogiP(t)]/$AR$9,"")</f>
        <v>6.4527150167898011</v>
      </c>
      <c r="AU50" s="11">
        <f>tblData[[#This Row],[Date]]-NSW100dt+1</f>
        <v>-9</v>
      </c>
      <c r="AV50" s="11">
        <f ca="1">IF(AND(ISNUMBER(tblData[NSW]),tblData[Date]&gt;StartDt2NSW),(tblData[NSW]-AVERAGE(tblData[NSW]))^2,"")</f>
        <v>82835.513757613953</v>
      </c>
      <c r="AW50" s="39">
        <f ca="1">IF(AND(tblData[Date]&gt;StartDt2Italy,ISNUMBER(tblData[Days'# Italy])),betaItaly/(deltaItaly+betaPodeltaItaly*EXP(-betaItaly*tblData[Days'# Italy])),"")</f>
        <v>1247.6550567264121</v>
      </c>
      <c r="AX50" s="11">
        <f ca="1">IF(AND(tblData[Date]&gt;StartDt2Italy,ISNUMBER(tblData[Italy])),(tblData[[#This Row],[Italy LogiP(t)]]-tblData[[#This Row],[Italy]])^2,"")</f>
        <v>199223.80838590238</v>
      </c>
      <c r="AY50" s="39">
        <f ca="1">IF(AND(tblData[Date]&gt;StartDt2Italy,ISNUMBER(tblData[Days'# Italy])),tblData[[#This Row],[Italy LogiP(t)]]/$AW$9,"")</f>
        <v>206.27511890988049</v>
      </c>
      <c r="AZ50" s="39">
        <f ca="1">IF(AND(ISNUMBER(tblData[Italy]),tblData[Date]&gt;StartDt2Italy),(tblData[Italy]-AVERAGE(tblData[Italy]))^2,"")</f>
        <v>371902653.93827158</v>
      </c>
      <c r="BA50" s="11">
        <f>tblData[[#This Row],[Date]]-Italy100dt+1</f>
        <v>4</v>
      </c>
      <c r="BB50" s="11">
        <f ca="1">IF(AND(tblData[Date]&gt;StartDt2US,ISNUMBER(tblData[[#This Row],[Days'# US]])),betaUS/(deltaUS+betaPodeltaUS*EXP(-betaUS*tblData[Days'# US])),"")</f>
        <v>64.016448657087992</v>
      </c>
      <c r="BC50" s="11">
        <f ca="1">IF(AND(tblData[Date]&gt;StartDt2US,ISNUMBER(tblData[US])),(tblData[[#This Row],[US LogiP(t)]]-tblData[US])^2,"")</f>
        <v>99.671297416560165</v>
      </c>
      <c r="BD50" s="137">
        <f ca="1">IF(AND(tblData[Date]&gt;=StartDt2US,ISNUMBER(tblData[[#This Row],[Days'# US]])),tblData[[#This Row],[US LogiP(t)]]/$BB$9,"")</f>
        <v>1.9444426976421361</v>
      </c>
      <c r="BE50" s="137">
        <f ca="1">IF(AND(ISNUMBER(tblData[US]),tblData[Date]&gt;StartDt2US),(tblData[US]-AVERAGE(tblData[US]))^2,"")</f>
        <v>332721235.34933543</v>
      </c>
      <c r="BF50" s="11">
        <f>tblData[[#This Row],[Date]]-US100dt+1</f>
        <v>-12</v>
      </c>
      <c r="BG50" s="20">
        <f ca="1">IF(tblData[Date]&gt;StartDt2SKorea,betaSKorea/(deltaSKorea+betaPodeltaSKorea*EXP(-betaSKorea*(tblData[Date]-StartDt2SKorea))),"")</f>
        <v>3531.5024784899369</v>
      </c>
      <c r="BH50" s="20">
        <f ca="1">IF(AND(tblData[Date]&gt;StartDt2SKorea,ISNUMBER(tblData[SKorea])),(tblData[[#This Row],[SKorea LogiP(t)]]-tblData[[#This Row],[SKorea]])^2,"")</f>
        <v>41819.236303758698</v>
      </c>
      <c r="BI50" s="20">
        <f ca="1">IF(tblData[Date]&gt;StartDt2SKorea,tblData[[#This Row],[SKorea LogiP(t)]]/$BG$9,"")</f>
        <v>687.06273900582437</v>
      </c>
      <c r="BJ50" s="137">
        <f ca="1">IF(AND(ISNUMBER(tblData[SKorea]),tblData[Date]&gt;StartDt2SKorea),(tblData[SKorea]-AVERAGE(tblData[SKorea]))^2,"")</f>
        <v>582.10057528267953</v>
      </c>
      <c r="BK50" s="11">
        <f>tblData[[#This Row],[Date]]-SKorea100dt+1</f>
        <v>9</v>
      </c>
      <c r="BL50" s="137">
        <f ca="1">IF(AND(tblData[Date]&gt;StartDt2UK,ISNUMBER(tblData[Days'# UK])),betaUK/(deltaUK+betaPodeltaUK*EXP(-betaUK*tblData[Days'# UK])),"")</f>
        <v>66.175176134033663</v>
      </c>
      <c r="BM50" s="20">
        <f ca="1">IF(AND(tblData[Date]&gt;StartDt2UK,ISNUMBER(tblData[UK])),(tblData[[#This Row],[UK LogiP(t)]]-tblData[[#This Row],[UK]])^2,"")</f>
        <v>910.54125471995474</v>
      </c>
      <c r="BN50" s="20">
        <f ca="1">IF(ISNUMBER(tblData[Days'# UK]),tblData[[#This Row],[UK LogiP(t)]]/$BL$9,"")</f>
        <v>9.9601408991622016</v>
      </c>
      <c r="BO50" s="137">
        <f ca="1">IF(AND(ISNUMBER(tblData[UK]),tblData[Date]&gt;StartDt2UK),(tblData[UK]-AVERAGE(tblData[UK]))^2,"")</f>
        <v>9417884.1632653046</v>
      </c>
      <c r="BP50" s="11">
        <f>tblData[[#This Row],[Date]]-UK100dt</f>
        <v>-11</v>
      </c>
      <c r="BQ50" s="11">
        <f ca="1">IF(ISNUMBER(tblData[Days'# China]),betaChina/(deltaChina+betaPodeltaChina*EXP(-betaChina*tblData[Days'# China])),"")</f>
        <v>80479.606000715969</v>
      </c>
      <c r="BR50" s="11">
        <f ca="1">IF(ISNUMBER(tblData[China]),(tblData[[#This Row],[China LogiP(t)]]-tblData[[#This Row],[China]])^2,"")</f>
        <v>299872.33202013734</v>
      </c>
      <c r="BS50" s="11">
        <f ca="1">tblData[[#This Row],[China LogiP(t)]]/$BQ$9</f>
        <v>559.14872902590037</v>
      </c>
      <c r="BT50" s="137">
        <f ca="1">IF(AND(ISNUMBER(tblData[China]),tblData[Date]&gt;StartDt2China),(tblData[China]-AVERAGE(tblData[China]))^2,"")</f>
        <v>392160482.49474305</v>
      </c>
      <c r="BU50" s="11">
        <f>tblData[[#This Row],[Date]]-China100dt</f>
        <v>39</v>
      </c>
      <c r="BV50" s="106">
        <f>IF(ISNUMBER(tblData[Day'# Singapore]),betaSingapore/(deltaSingapore+betaPodeltaSingapore*EXP(-betaSingapore*tblData[Day'# Singapore])),"")</f>
        <v>88.326187098240766</v>
      </c>
      <c r="BW50" s="11">
        <f>IF(AND(ISNUMBER(tblData[Singapore]),tblData[Date]&gt;=StartDt2Singapore),(tblData[[#This Row],[Singapore LogiP(t)]]-tblData[[#This Row],[Singapore]])^2,"")</f>
        <v>312.36366248639115</v>
      </c>
      <c r="BX50" s="106">
        <f>IF(ISNUMBER(tblData[Day'# Singapore]),tblData[Singapore LogiP(t)]/$BV$9,"")</f>
        <v>150.984935210668</v>
      </c>
      <c r="BY50" s="106">
        <f>IF(AND(ISNUMBER(tblData[Singapore]),tblData[Date]&gt;StartDt2Singapore),(tblData[Singapore]-AVERAGE(tblData[Singapore]))^2,"")</f>
        <v>8635.9063677841696</v>
      </c>
      <c r="BZ50" s="11">
        <f>tblData[[#This Row],[Date]]-Singapore100dt+1</f>
        <v>20</v>
      </c>
      <c r="CA50" s="11">
        <f ca="1">IF(AND(tblData[Date]&gt;StartDt2Generic,ISNUMBER(tblData[Day'# Generic])),betaGeneric/(deltaGeneric+betaPodeltaGeneric*EXP(-betaGeneric*tblData[Day'# Generic])),"")</f>
        <v>2.1594719952803536</v>
      </c>
      <c r="CB50" s="106">
        <f ca="1">IF(AND(ISNUMBER(tblData[Generic]),tblData[Date]&gt;StartDt2Generic),(tblData[Generic LogiP(t)]-tblData[[#This Row],[Generic]])^2,"")</f>
        <v>1.3443753078394043</v>
      </c>
      <c r="CC50" s="11">
        <f ca="1">IF(AND(ISNUMBER(tblData[Generic]),tblData[Date]&gt;StartDt2Generic),tblData[Generic LogiP(t)]/$CA$9,"")</f>
        <v>4.1290095512052645</v>
      </c>
      <c r="CD50" s="106">
        <f ca="1">IF(AND(ISNUMBER(tblData[Generic]),tblData[Date]&gt;StartDt2Generic),(tblData[Generic]-AVERAGE(tblData[Generic]))^2,"")</f>
        <v>15178.240000000002</v>
      </c>
      <c r="CE50" s="11">
        <f>tblData[[#This Row],[Date]]-Generic100dt+1</f>
        <v>-19</v>
      </c>
      <c r="CG50" s="11"/>
      <c r="CH50" s="11" t="str">
        <f>IF(ISNUMBER(tblData[[#This Row],[Tests]]),tblData[[#This Row],[Tests]]-CH49,"")</f>
        <v/>
      </c>
      <c r="CI50" s="11" t="str">
        <f>IF(ISNUMBER(tblData[[#This Row],[NSW Under Investigation'']]),tblData[[#This Row],[NSW Under Investigation'']]-CG49,"")</f>
        <v/>
      </c>
      <c r="CJ50" s="11"/>
      <c r="CK50" s="11" t="str">
        <f>IF(AND(tblData[[#This Row],[NSW Test Day Number]]&gt;0,ISNUMBER(tblData[[#This Row],[NSW Test Day Number]])),betaTests/(deltaTests+betaPodeltaTests*EXP(-betaTests*tblData[[#This Row],[NSW Test Day Number]])),"")</f>
        <v/>
      </c>
      <c r="CL50" s="11" t="str">
        <f>IF(tblData[Tests]&gt;0,(tblData[[#This Row],[Tests]]-tblData[[#This Row],[NSW Test Logi]])^2,"")</f>
        <v/>
      </c>
      <c r="CM50" s="106" t="str">
        <f>IF(AND(ISNUMBER(tblData[Tests]),tblData[Date]&gt;StartDt2Tests),(tblData[Tests]-AVERAGE(tblData[Tests]))^2,"")</f>
        <v/>
      </c>
      <c r="CN50" s="11" t="str">
        <f>IF(ISNUMBER(tblData[Tests]),tblData[Tests]/$CN$9/100,"")</f>
        <v/>
      </c>
      <c r="CO50" s="11" t="str">
        <f>IF(AND(tblData[[#This Row],[NSW Test Day Number]]&gt;0,ISNUMBER(tblData[[#This Row],[NSW Test Day Number]])),TestsLogestB*TestsLogestM^tblData[[#This Row],[NSW Test Day Number]],"")</f>
        <v/>
      </c>
      <c r="CP50" s="11" t="str">
        <f>IF(AND(tblData[[#This Row],[NSW Test Day Number]]&gt;0,ISNUMBER(tblData[Tests])),(tblData[Tests]-tblData[[#This Row],[NSW Test Per Capita]])^2,"")</f>
        <v/>
      </c>
      <c r="CQ50" s="39">
        <f ca="1">IF(AND(tblData[Day '# NSW]&gt;0,ISNUMBER(tblData[[#This Row],[Day '# NSW]])),NSWLogestB*NSWLogestM^tblData[[#This Row],[Day '# NSW]]/$CR$9,"")</f>
        <v>46.758228450680825</v>
      </c>
      <c r="CR50" s="39">
        <f ca="1">IF(AND(ISNUMBER(tblData[NSW]),tblData[Date]&gt;StartDt2NSW),(tblData[NSW]/$CR$9-tblData[[#This Row],[NSW Cases LogEst]])^2,"")</f>
        <v>1547.0444452190461</v>
      </c>
      <c r="CS50" s="11"/>
      <c r="CT50" s="11"/>
      <c r="CW50" s="25"/>
      <c r="CX50"/>
      <c r="DK50" s="25"/>
      <c r="DL50" s="25"/>
      <c r="DM50" s="25"/>
      <c r="DR50"/>
      <c r="DS50"/>
      <c r="DT50"/>
      <c r="DU50"/>
      <c r="EB50" s="25"/>
      <c r="EC50" s="25"/>
      <c r="ED50" s="25"/>
      <c r="EE50" s="25"/>
      <c r="EK50"/>
      <c r="EL50"/>
      <c r="EM50"/>
      <c r="EN50"/>
      <c r="EO50"/>
      <c r="EP50" s="25"/>
      <c r="ER50" s="25"/>
      <c r="ES50" s="25"/>
      <c r="ET50"/>
      <c r="EU50" s="25" t="s">
        <v>153</v>
      </c>
      <c r="EV50" s="69">
        <v>43913.916145833333</v>
      </c>
      <c r="EW50" s="26">
        <v>43855</v>
      </c>
      <c r="EX50" s="26">
        <v>43855</v>
      </c>
      <c r="EY50" s="25">
        <v>1</v>
      </c>
      <c r="EZ50" s="25">
        <v>0.19833894448440331</v>
      </c>
      <c r="FA50" s="25">
        <v>1.0000000000276037E-12</v>
      </c>
      <c r="FB50" s="21">
        <v>6.8604805376862562E-3</v>
      </c>
      <c r="FC50" s="82">
        <v>198338944478.92844</v>
      </c>
      <c r="FD50" s="82">
        <v>6.5477230241247009</v>
      </c>
      <c r="FE50" s="25">
        <v>28.910357429756317</v>
      </c>
      <c r="FF50" s="84">
        <v>1.0000000000276037E-9</v>
      </c>
      <c r="FG50" s="26">
        <v>43913</v>
      </c>
      <c r="FH50" s="25" t="s">
        <v>1316</v>
      </c>
      <c r="FI50" s="84">
        <v>198338944478.92786</v>
      </c>
      <c r="FJ50" s="84">
        <v>704</v>
      </c>
      <c r="FK50" s="25" t="s">
        <v>1317</v>
      </c>
      <c r="FL50" s="26">
        <v>43913</v>
      </c>
      <c r="FM50" s="25">
        <v>59</v>
      </c>
      <c r="FN50" s="25" t="s">
        <v>1318</v>
      </c>
      <c r="FO50" s="25"/>
      <c r="FP50" s="25" t="s">
        <v>1319</v>
      </c>
      <c r="FR50" s="25" t="s">
        <v>1320</v>
      </c>
      <c r="FS50" s="19">
        <v>871.28712871287121</v>
      </c>
      <c r="FT50" s="72"/>
      <c r="FU50" s="25"/>
      <c r="FV50" s="142"/>
      <c r="FW50" s="25"/>
      <c r="FX50" s="25" t="s">
        <v>1315</v>
      </c>
      <c r="FY50" s="25"/>
      <c r="FZ50" s="25"/>
      <c r="GA50" s="25"/>
      <c r="GC50" s="25"/>
    </row>
    <row r="51" spans="2:220" x14ac:dyDescent="0.25">
      <c r="B51" s="1">
        <v>43892</v>
      </c>
      <c r="C51">
        <v>0</v>
      </c>
      <c r="D51" s="25">
        <v>0</v>
      </c>
      <c r="E51">
        <v>6</v>
      </c>
      <c r="F51">
        <v>0</v>
      </c>
      <c r="G51">
        <v>9</v>
      </c>
      <c r="H51">
        <v>3</v>
      </c>
      <c r="I51">
        <v>1</v>
      </c>
      <c r="J51">
        <v>9</v>
      </c>
      <c r="K51">
        <v>2</v>
      </c>
      <c r="L51" s="12">
        <f>IF(ISNUMBER(tblData[[#This Row],[NSW]]),tblData[[#This Row],[New South Wales]]/$L$9,"")</f>
        <v>7.4257425742574252</v>
      </c>
      <c r="M51" s="25">
        <v>2036</v>
      </c>
      <c r="N51" s="106">
        <f>IF(ISNUMBER(tblData[Italy]),tblData[Italy]/$N$9,"")</f>
        <v>336.61238323551294</v>
      </c>
      <c r="O51">
        <v>98</v>
      </c>
      <c r="P51" s="106">
        <f>IF(ISNUMBER(tblData[US]),tblData[US]/$P$9,"")</f>
        <v>2.9766628478512263</v>
      </c>
      <c r="Q51">
        <v>4335</v>
      </c>
      <c r="R51" s="106">
        <f>IF(ISNUMBER(tblData[SKorea]),tblData[SKorea]/$R$9,"")</f>
        <v>843.38521400778211</v>
      </c>
      <c r="S51">
        <v>40</v>
      </c>
      <c r="T51" s="106">
        <f>IF(ISNUMBER(tblData[UK]),tblData[UK]/$T$9,"")</f>
        <v>6.0204695966285371</v>
      </c>
      <c r="U51">
        <v>80136</v>
      </c>
      <c r="V51" s="106">
        <f>IF(ISNUMBER(tblData[China]),tblData[China]/$V$9,"")</f>
        <v>556.7614551793522</v>
      </c>
      <c r="W51">
        <v>108</v>
      </c>
      <c r="X51" s="106">
        <f>IF(ISNUMBER(tblData[Singapore]),tblData[Singapore]/$X$9,"")</f>
        <v>184.61538461538461</v>
      </c>
      <c r="Y51">
        <v>1</v>
      </c>
      <c r="Z51" s="20">
        <f>IF(AND(LEN(tblData[Generic])&gt;0,ISNUMBER(tblData[Generic])),tblData[Generic]/$Z$9,"")</f>
        <v>1.9120458891013383</v>
      </c>
      <c r="AA51" s="25">
        <f ca="1">IF(tblData[[#This Row],[Date]]&lt;StartDt2Italy,"",tblData[[#This Row],[Date]]-ItalyStart)</f>
        <v>32</v>
      </c>
      <c r="AB51" s="25">
        <f ca="1">IF(tblData[[#This Row],[Date]]&lt;=StartDt2US,"",tblData[[#This Row],[Date]]-USStart)</f>
        <v>40</v>
      </c>
      <c r="AC51" s="25">
        <f ca="1">IF(tblData[[#This Row],[Date]]&lt;StartDt2China,"",tblData[[#This Row],[Date]]-ChinaStart)</f>
        <v>40</v>
      </c>
      <c r="AD51" s="25">
        <f>IF(tblData[[#This Row],[Date]]&lt;=SKoreaStart,"",tblData[[#This Row],[Date]]-SKoreaStart)</f>
        <v>40</v>
      </c>
      <c r="AE51" s="25">
        <f ca="1">IF(tblData[[#This Row],[Date]]&lt;=StartDt2UK,"",tblData[[#This Row],[Date]]-UKStart)</f>
        <v>32</v>
      </c>
      <c r="AF51" s="25">
        <f>IF(tblData[[#This Row],[Date]]&lt;StartDt2Singapore,"",tblData[[#This Row],[Date]]-SingaporeStart)</f>
        <v>39</v>
      </c>
      <c r="AG51" s="25">
        <f ca="1">IF(tblData[[#This Row],[Date]]&lt;StartDt2Generic,"",tblData[[#This Row],[Date]]-GenericStart)</f>
        <v>40</v>
      </c>
      <c r="AH51">
        <f ca="1">IF(tblData[Date]&gt;StartDt2Au,tblData[Date]-AuStart,"")</f>
        <v>37</v>
      </c>
      <c r="AI51" s="25">
        <f>IF(tblData[New South Wales]&gt;=0,SUM(tblData[[#This Row],[Australian Capital Territory]:[Western Australia]]),"")</f>
        <v>30</v>
      </c>
      <c r="AJ51" s="12">
        <f>IF(ISNUMBER(tblData[Au]),tblData[Au]/$AE$9,"")</f>
        <v>11.827787415234191</v>
      </c>
      <c r="AK51" s="19">
        <f ca="1">IF(ISNUMBER(tblData[[#This Row],[Day'# Aust]]),betaAu/(deltaAu+betaPodeltaAu*EXP(-betaAu*tblData[[#This Row],[Day'# Aust]])),"")</f>
        <v>11.639076014159642</v>
      </c>
      <c r="AL51" s="62">
        <f ca="1">IF(ISNUMBER(tblData[Day'# Aust]),tblData[Au LogiP(t)]/$AJ$9,"")</f>
        <v>4.5888172268410514</v>
      </c>
      <c r="AM51" s="11">
        <f ca="1">IF(AND(tblData[Date]&gt;StartDt2Au,ISNUMBER(tblData[NSW])),(tblData[[#This Row],[Au LogiP(t)]]-tblData[[#This Row],[Au]])^2,"")</f>
        <v>337.12352961380782</v>
      </c>
      <c r="AN51" s="11">
        <f ca="1">IF(AND(ISNUMBER(tblData[Au]),tblData[Date]&gt;StartDt2Au),(tblData[Au]-AVERAGE(tblData[Au]))^2,"")</f>
        <v>170862.99195636093</v>
      </c>
      <c r="AO51" s="11">
        <f>tblData[[#This Row],[Date]]-Au100dt</f>
        <v>-12</v>
      </c>
      <c r="AP51" s="25">
        <f ca="1">IF(tblData[Date]&gt;StartDt2NSW,tblData[Date]-StartDt2NSW,"")</f>
        <v>37</v>
      </c>
      <c r="AQ51" s="25">
        <f>IF(tblData[[#This Row],[New South Wales]]&gt;0,tblData[[#This Row],[New South Wales]],"")</f>
        <v>6</v>
      </c>
      <c r="AR51" s="44">
        <f ca="1">IF(tblData[Date]&gt;StartDt2NSW,betaNSW/(deltaNSW+betaPodeltaNSW*EXP(-betaNSW*tblData[[#This Row],[Day '# NSW]])),"")</f>
        <v>6.6103817255137125</v>
      </c>
      <c r="AS51" s="12">
        <f ca="1">IF(AND(ISNUMBER(tblData[NSW]),tblData[Date]&gt;StartDt2NSW),(tblData[[#This Row],[NSW LogiP(t)]]-tblData[[#This Row],[NSW]])^2,"")</f>
        <v>0.37256585084109706</v>
      </c>
      <c r="AT51" s="12">
        <f ca="1">IF(AND(tblData[Date]&gt;StartDt2NSW,ISNUMBER(tblData[Day'# Aust])),tblData[NSW LogiP(t)]/$AR$9,"")</f>
        <v>8.1811655018734069</v>
      </c>
      <c r="AU51" s="11">
        <f>tblData[[#This Row],[Date]]-NSW100dt+1</f>
        <v>-8</v>
      </c>
      <c r="AV51" s="11">
        <f ca="1">IF(AND(ISNUMBER(tblData[NSW]),tblData[Date]&gt;StartDt2NSW),(tblData[NSW]-AVERAGE(tblData[NSW]))^2,"")</f>
        <v>82835.513757613953</v>
      </c>
      <c r="AW51" s="39">
        <f ca="1">IF(AND(tblData[Date]&gt;StartDt2Italy,ISNUMBER(tblData[Days'# Italy])),betaItaly/(deltaItaly+betaPodeltaItaly*EXP(-betaItaly*tblData[Days'# Italy])),"")</f>
        <v>1606.6560307420957</v>
      </c>
      <c r="AX51" s="11">
        <f ca="1">IF(AND(tblData[Date]&gt;StartDt2Italy,ISNUMBER(tblData[Italy])),(tblData[[#This Row],[Italy LogiP(t)]]-tblData[[#This Row],[Italy]])^2,"")</f>
        <v>184336.24393813228</v>
      </c>
      <c r="AY51" s="39">
        <f ca="1">IF(AND(tblData[Date]&gt;StartDt2Italy,ISNUMBER(tblData[Days'# Italy])),tblData[[#This Row],[Italy LogiP(t)]]/$AW$9,"")</f>
        <v>265.62883867770449</v>
      </c>
      <c r="AZ51" s="39">
        <f ca="1">IF(AND(ISNUMBER(tblData[Italy]),tblData[Date]&gt;StartDt2Italy),(tblData[Italy]-AVERAGE(tblData[Italy]))^2,"")</f>
        <v>358828829.93827158</v>
      </c>
      <c r="BA51" s="11">
        <f>tblData[[#This Row],[Date]]-Italy100dt+1</f>
        <v>5</v>
      </c>
      <c r="BB51" s="11">
        <f ca="1">IF(AND(tblData[Date]&gt;StartDt2US,ISNUMBER(tblData[[#This Row],[Days'# US]])),betaUS/(deltaUS+betaPodeltaUS*EXP(-betaUS*tblData[Days'# US])),"")</f>
        <v>85.019107559863002</v>
      </c>
      <c r="BC51" s="11">
        <f ca="1">IF(AND(tblData[Date]&gt;StartDt2US,ISNUMBER(tblData[US])),(tblData[[#This Row],[US LogiP(t)]]-tblData[US])^2,"")</f>
        <v>168.50356854240587</v>
      </c>
      <c r="BD51" s="137">
        <f ca="1">IF(AND(tblData[Date]&gt;=StartDt2US,ISNUMBER(tblData[[#This Row],[Days'# US]])),tblData[[#This Row],[US LogiP(t)]]/$BB$9,"")</f>
        <v>2.5823797839888929</v>
      </c>
      <c r="BE51" s="137">
        <f ca="1">IF(AND(ISNUMBER(tblData[US]),tblData[Date]&gt;StartDt2US),(tblData[US]-AVERAGE(tblData[US]))^2,"")</f>
        <v>331846260.25074387</v>
      </c>
      <c r="BF51" s="11">
        <f>tblData[[#This Row],[Date]]-US100dt+1</f>
        <v>-11</v>
      </c>
      <c r="BG51" s="20">
        <f ca="1">IF(tblData[Date]&gt;StartDt2SKorea,betaSKorea/(deltaSKorea+betaPodeltaSKorea*EXP(-betaSKorea*(tblData[Date]-StartDt2SKorea))),"")</f>
        <v>4107.0671343819295</v>
      </c>
      <c r="BH51" s="20">
        <f ca="1">IF(AND(tblData[Date]&gt;StartDt2SKorea,ISNUMBER(tblData[SKorea])),(tblData[[#This Row],[SKorea LogiP(t)]]-tblData[[#This Row],[SKorea]])^2,"")</f>
        <v>51953.391228865403</v>
      </c>
      <c r="BI51" s="20">
        <f ca="1">IF(tblData[Date]&gt;StartDt2SKorea,tblData[[#This Row],[SKorea LogiP(t)]]/$BG$9,"")</f>
        <v>799.04029851788516</v>
      </c>
      <c r="BJ51" s="137">
        <f ca="1">IF(AND(ISNUMBER(tblData[SKorea]),tblData[Date]&gt;StartDt2SKorea),(tblData[SKorea]-AVERAGE(tblData[SKorea]))^2,"")</f>
        <v>330479.24142035318</v>
      </c>
      <c r="BK51" s="11">
        <f>tblData[[#This Row],[Date]]-SKorea100dt+1</f>
        <v>10</v>
      </c>
      <c r="BL51" s="137">
        <f ca="1">IF(AND(tblData[Date]&gt;StartDt2UK,ISNUMBER(tblData[Days'# UK])),betaUK/(deltaUK+betaPodeltaUK*EXP(-betaUK*tblData[Days'# UK])),"")</f>
        <v>81.922180874704722</v>
      </c>
      <c r="BM51" s="20">
        <f ca="1">IF(AND(tblData[Date]&gt;StartDt2UK,ISNUMBER(tblData[UK])),(tblData[[#This Row],[UK LogiP(t)]]-tblData[[#This Row],[UK]])^2,"")</f>
        <v>1757.4692492914585</v>
      </c>
      <c r="BN51" s="20">
        <f ca="1">IF(ISNUMBER(tblData[Days'# UK]),tblData[[#This Row],[UK LogiP(t)]]/$BL$9,"")</f>
        <v>12.33024998114159</v>
      </c>
      <c r="BO51" s="137">
        <f ca="1">IF(AND(ISNUMBER(tblData[UK]),tblData[Date]&gt;StartDt2UK),(tblData[UK]-AVERAGE(tblData[UK]))^2,"")</f>
        <v>9393349.3061224483</v>
      </c>
      <c r="BP51" s="11">
        <f>tblData[[#This Row],[Date]]-UK100dt</f>
        <v>-10</v>
      </c>
      <c r="BQ51" s="11">
        <f ca="1">IF(ISNUMBER(tblData[Days'# China]),betaChina/(deltaChina+betaPodeltaChina*EXP(-betaChina*tblData[Days'# China])),"")</f>
        <v>80626.028114236615</v>
      </c>
      <c r="BR51" s="11">
        <f ca="1">IF(ISNUMBER(tblData[China]),(tblData[[#This Row],[China LogiP(t)]]-tblData[[#This Row],[China]])^2,"")</f>
        <v>240127.55274229278</v>
      </c>
      <c r="BS51" s="11">
        <f ca="1">tblData[[#This Row],[China LogiP(t)]]/$BQ$9</f>
        <v>560.1660269818027</v>
      </c>
      <c r="BT51" s="137">
        <f ca="1">IF(AND(ISNUMBER(tblData[China]),tblData[Date]&gt;StartDt2China),(tblData[China]-AVERAGE(tblData[China]))^2,"")</f>
        <v>400281739.73417968</v>
      </c>
      <c r="BU51" s="11">
        <f>tblData[[#This Row],[Date]]-China100dt</f>
        <v>40</v>
      </c>
      <c r="BV51" s="106">
        <f>IF(ISNUMBER(tblData[Day'# Singapore]),betaSingapore/(deltaSingapore+betaPodeltaSingapore*EXP(-betaSingapore*tblData[Day'# Singapore])),"")</f>
        <v>95.638342737959647</v>
      </c>
      <c r="BW51" s="11">
        <f>IF(AND(ISNUMBER(tblData[Singapore]),tblData[Date]&gt;=StartDt2Singapore),(tblData[[#This Row],[Singapore LogiP(t)]]-tblData[[#This Row],[Singapore]])^2,"")</f>
        <v>152.81057026415499</v>
      </c>
      <c r="BX51" s="106">
        <f>IF(ISNUMBER(tblData[Day'# Singapore]),tblData[Singapore LogiP(t)]/$BV$9,"")</f>
        <v>163.4843465606148</v>
      </c>
      <c r="BY51" s="106">
        <f>IF(AND(ISNUMBER(tblData[Singapore]),tblData[Date]&gt;StartDt2Singapore),(tblData[Singapore]-AVERAGE(tblData[Singapore]))^2,"")</f>
        <v>8268.1880579250155</v>
      </c>
      <c r="BZ51" s="11">
        <f>tblData[[#This Row],[Date]]-Singapore100dt+1</f>
        <v>21</v>
      </c>
      <c r="CA51" s="11">
        <f ca="1">IF(AND(tblData[Date]&gt;StartDt2Generic,ISNUMBER(tblData[Day'# Generic])),betaGeneric/(deltaGeneric+betaPodeltaGeneric*EXP(-betaGeneric*tblData[Day'# Generic])),"")</f>
        <v>2.62901415564192</v>
      </c>
      <c r="CB51" s="106">
        <f ca="1">IF(AND(ISNUMBER(tblData[Generic]),tblData[Date]&gt;StartDt2Generic),(tblData[Generic LogiP(t)]-tblData[[#This Row],[Generic]])^2,"")</f>
        <v>2.6536871192817575</v>
      </c>
      <c r="CC51" s="11">
        <f ca="1">IF(AND(ISNUMBER(tblData[Generic]),tblData[Date]&gt;StartDt2Generic),tblData[Generic LogiP(t)]/$CA$9,"")</f>
        <v>5.0267957086843591</v>
      </c>
      <c r="CD51" s="106">
        <f ca="1">IF(AND(ISNUMBER(tblData[Generic]),tblData[Date]&gt;StartDt2Generic),(tblData[Generic]-AVERAGE(tblData[Generic]))^2,"")</f>
        <v>15178.240000000002</v>
      </c>
      <c r="CE51" s="11">
        <f>tblData[[#This Row],[Date]]-Generic100dt+1</f>
        <v>-18</v>
      </c>
      <c r="CG51" s="11"/>
      <c r="CH51" s="11" t="str">
        <f>IF(ISNUMBER(tblData[[#This Row],[Tests]]),tblData[[#This Row],[Tests]]-CH50,"")</f>
        <v/>
      </c>
      <c r="CI51" s="11" t="str">
        <f>IF(ISNUMBER(tblData[[#This Row],[NSW Under Investigation'']]),tblData[[#This Row],[NSW Under Investigation'']]-CG50,"")</f>
        <v/>
      </c>
      <c r="CJ51" s="11"/>
      <c r="CK51" s="11" t="str">
        <f>IF(AND(tblData[[#This Row],[NSW Test Day Number]]&gt;0,ISNUMBER(tblData[[#This Row],[NSW Test Day Number]])),betaTests/(deltaTests+betaPodeltaTests*EXP(-betaTests*tblData[[#This Row],[NSW Test Day Number]])),"")</f>
        <v/>
      </c>
      <c r="CL51" s="11" t="str">
        <f>IF(tblData[Tests]&gt;0,(tblData[[#This Row],[Tests]]-tblData[[#This Row],[NSW Test Logi]])^2,"")</f>
        <v/>
      </c>
      <c r="CM51" s="106" t="str">
        <f>IF(AND(ISNUMBER(tblData[Tests]),tblData[Date]&gt;StartDt2Tests),(tblData[Tests]-AVERAGE(tblData[Tests]))^2,"")</f>
        <v/>
      </c>
      <c r="CN51" s="11" t="str">
        <f>IF(ISNUMBER(tblData[Tests]),tblData[Tests]/$CN$9/100,"")</f>
        <v/>
      </c>
      <c r="CO51" s="11" t="str">
        <f>IF(AND(tblData[[#This Row],[NSW Test Day Number]]&gt;0,ISNUMBER(tblData[[#This Row],[NSW Test Day Number]])),TestsLogestB*TestsLogestM^tblData[[#This Row],[NSW Test Day Number]],"")</f>
        <v/>
      </c>
      <c r="CP51" s="11" t="str">
        <f>IF(AND(tblData[[#This Row],[NSW Test Day Number]]&gt;0,ISNUMBER(tblData[Tests])),(tblData[Tests]-tblData[[#This Row],[NSW Test Per Capita]])^2,"")</f>
        <v/>
      </c>
      <c r="CQ51" s="39">
        <f ca="1">IF(AND(tblData[Day '# NSW]&gt;0,ISNUMBER(tblData[[#This Row],[Day '# NSW]])),NSWLogestB*NSWLogestM^tblData[[#This Row],[Day '# NSW]]/$CR$9,"")</f>
        <v>52.039050098287142</v>
      </c>
      <c r="CR51" s="39">
        <f ca="1">IF(AND(ISNUMBER(tblData[NSW]),tblData[Date]&gt;StartDt2NSW),(tblData[NSW]/$CR$9-tblData[[#This Row],[NSW Cases LogEst]])^2,"")</f>
        <v>1990.3472082336464</v>
      </c>
      <c r="CS51" s="11"/>
      <c r="CT51" s="11"/>
      <c r="CW51" s="25"/>
      <c r="CX51"/>
      <c r="DK51" s="25"/>
      <c r="DL51" s="25"/>
      <c r="DM51" s="25"/>
      <c r="DR51"/>
      <c r="DS51"/>
      <c r="DT51"/>
      <c r="DU51"/>
      <c r="EB51" s="25"/>
      <c r="EC51" s="25"/>
      <c r="ED51" s="25"/>
      <c r="EE51" s="25"/>
      <c r="EK51"/>
      <c r="EL51"/>
      <c r="EM51"/>
      <c r="EN51"/>
      <c r="EO51"/>
      <c r="EP51" s="25"/>
      <c r="ER51" s="25"/>
      <c r="ES51" s="25"/>
      <c r="ET51"/>
      <c r="EU51" s="25" t="s">
        <v>153</v>
      </c>
      <c r="EV51" s="69">
        <v>43914.307824074072</v>
      </c>
      <c r="EW51" s="26">
        <v>43855</v>
      </c>
      <c r="EX51" s="26">
        <v>43855</v>
      </c>
      <c r="EY51" s="25">
        <v>1</v>
      </c>
      <c r="EZ51" s="25">
        <v>0.1983387068698996</v>
      </c>
      <c r="FA51" s="25">
        <v>1.0000000000276037E-12</v>
      </c>
      <c r="FB51" s="21">
        <v>6.8604801032473477E-3</v>
      </c>
      <c r="FC51" s="82">
        <v>198338706864.42471</v>
      </c>
      <c r="FD51" s="82">
        <v>6.5477226922036946</v>
      </c>
      <c r="FE51" s="25">
        <v>28.910324625241735</v>
      </c>
      <c r="FF51" s="84">
        <v>1.0000000000276037E-9</v>
      </c>
      <c r="FG51" s="26">
        <v>43913</v>
      </c>
      <c r="FH51" s="25" t="s">
        <v>1316</v>
      </c>
      <c r="FI51" s="84">
        <v>198338706864.42416</v>
      </c>
      <c r="FJ51" s="84">
        <v>704</v>
      </c>
      <c r="FK51" s="25" t="s">
        <v>1317</v>
      </c>
      <c r="FL51" s="26">
        <v>43913</v>
      </c>
      <c r="FM51" s="25">
        <v>59</v>
      </c>
      <c r="FN51" s="25" t="s">
        <v>1318</v>
      </c>
      <c r="FO51" s="25"/>
      <c r="FP51" s="25" t="s">
        <v>1319</v>
      </c>
      <c r="FR51" s="25" t="s">
        <v>1320</v>
      </c>
      <c r="FS51" s="19">
        <v>871.28712871287121</v>
      </c>
      <c r="FT51" s="72"/>
      <c r="FU51" s="25"/>
      <c r="FV51" s="142"/>
      <c r="FW51" s="25"/>
      <c r="FX51" s="25" t="s">
        <v>1315</v>
      </c>
      <c r="FY51" s="25"/>
      <c r="FZ51" s="25"/>
      <c r="GA51" s="25"/>
      <c r="GC51" s="25"/>
    </row>
    <row r="52" spans="2:220" x14ac:dyDescent="0.25">
      <c r="B52" s="1">
        <v>43893</v>
      </c>
      <c r="C52">
        <v>0</v>
      </c>
      <c r="D52" s="25">
        <v>0</v>
      </c>
      <c r="E52">
        <v>13</v>
      </c>
      <c r="F52">
        <v>0</v>
      </c>
      <c r="G52">
        <v>11</v>
      </c>
      <c r="H52">
        <v>3</v>
      </c>
      <c r="I52">
        <v>1</v>
      </c>
      <c r="J52">
        <v>9</v>
      </c>
      <c r="K52">
        <v>2</v>
      </c>
      <c r="L52" s="12">
        <f>IF(ISNUMBER(tblData[[#This Row],[NSW]]),tblData[[#This Row],[New South Wales]]/$L$9,"")</f>
        <v>16.089108910891088</v>
      </c>
      <c r="M52" s="25">
        <v>2502</v>
      </c>
      <c r="N52" s="106">
        <f>IF(ISNUMBER(tblData[Italy]),tblData[Italy]/$N$9,"")</f>
        <v>413.65627841613627</v>
      </c>
      <c r="O52">
        <v>118</v>
      </c>
      <c r="P52" s="106">
        <f>IF(ISNUMBER(tblData[US]),tblData[US]/$P$9,"")</f>
        <v>3.5841450616984152</v>
      </c>
      <c r="Q52">
        <v>5186</v>
      </c>
      <c r="R52" s="106">
        <f>IF(ISNUMBER(tblData[SKorea]),tblData[SKorea]/$R$9,"")</f>
        <v>1008.9494163424125</v>
      </c>
      <c r="S52">
        <v>51</v>
      </c>
      <c r="T52" s="106">
        <f>IF(ISNUMBER(tblData[UK]),tblData[UK]/$T$9,"")</f>
        <v>7.6760987357013848</v>
      </c>
      <c r="U52">
        <v>80261</v>
      </c>
      <c r="V52" s="106">
        <f>IF(ISNUMBER(tblData[China]),tblData[China]/$V$9,"")</f>
        <v>557.6299185653138</v>
      </c>
      <c r="W52">
        <v>110</v>
      </c>
      <c r="X52" s="106">
        <f>IF(ISNUMBER(tblData[Singapore]),tblData[Singapore]/$X$9,"")</f>
        <v>188.03418803418805</v>
      </c>
      <c r="Y52">
        <v>1</v>
      </c>
      <c r="Z52" s="20">
        <f>IF(AND(LEN(tblData[Generic])&gt;0,ISNUMBER(tblData[Generic])),tblData[Generic]/$Z$9,"")</f>
        <v>1.9120458891013383</v>
      </c>
      <c r="AA52" s="25">
        <f ca="1">IF(tblData[[#This Row],[Date]]&lt;StartDt2Italy,"",tblData[[#This Row],[Date]]-ItalyStart)</f>
        <v>33</v>
      </c>
      <c r="AB52" s="25">
        <f ca="1">IF(tblData[[#This Row],[Date]]&lt;=StartDt2US,"",tblData[[#This Row],[Date]]-USStart)</f>
        <v>41</v>
      </c>
      <c r="AC52" s="25">
        <f ca="1">IF(tblData[[#This Row],[Date]]&lt;StartDt2China,"",tblData[[#This Row],[Date]]-ChinaStart)</f>
        <v>41</v>
      </c>
      <c r="AD52" s="25">
        <f>IF(tblData[[#This Row],[Date]]&lt;=SKoreaStart,"",tblData[[#This Row],[Date]]-SKoreaStart)</f>
        <v>41</v>
      </c>
      <c r="AE52" s="25">
        <f ca="1">IF(tblData[[#This Row],[Date]]&lt;=StartDt2UK,"",tblData[[#This Row],[Date]]-UKStart)</f>
        <v>33</v>
      </c>
      <c r="AF52" s="25">
        <f>IF(tblData[[#This Row],[Date]]&lt;StartDt2Singapore,"",tblData[[#This Row],[Date]]-SingaporeStart)</f>
        <v>40</v>
      </c>
      <c r="AG52" s="25">
        <f ca="1">IF(tblData[[#This Row],[Date]]&lt;StartDt2Generic,"",tblData[[#This Row],[Date]]-GenericStart)</f>
        <v>41</v>
      </c>
      <c r="AH52">
        <f ca="1">IF(tblData[Date]&gt;StartDt2Au,tblData[Date]-AuStart,"")</f>
        <v>38</v>
      </c>
      <c r="AI52" s="25">
        <f>IF(tblData[New South Wales]&gt;=0,SUM(tblData[[#This Row],[Australian Capital Territory]:[Western Australia]]),"")</f>
        <v>39</v>
      </c>
      <c r="AJ52" s="12">
        <f>IF(ISNUMBER(tblData[Au]),tblData[Au]/$AE$9,"")</f>
        <v>15.376123639804447</v>
      </c>
      <c r="AK52" s="19">
        <f ca="1">IF(ISNUMBER(tblData[[#This Row],[Day'# Aust]]),betaAu/(deltaAu+betaPodeltaAu*EXP(-betaAu*tblData[[#This Row],[Day'# Aust]])),"")</f>
        <v>14.982863342646766</v>
      </c>
      <c r="AL52" s="62">
        <f ca="1">IF(ISNUMBER(tblData[Day'# Aust]),tblData[Au LogiP(t)]/$AJ$9,"")</f>
        <v>5.9071374162777035</v>
      </c>
      <c r="AM52" s="11">
        <f ca="1">IF(AND(tblData[Date]&gt;StartDt2Au,ISNUMBER(tblData[NSW])),(tblData[[#This Row],[Au LogiP(t)]]-tblData[[#This Row],[Au]])^2,"")</f>
        <v>576.82285321798042</v>
      </c>
      <c r="AN52" s="11">
        <f ca="1">IF(AND(ISNUMBER(tblData[Au]),tblData[Date]&gt;StartDt2Au),(tblData[Au]-AVERAGE(tblData[Au]))^2,"")</f>
        <v>163503.58811020709</v>
      </c>
      <c r="AO52" s="11">
        <f>tblData[[#This Row],[Date]]-Au100dt</f>
        <v>-11</v>
      </c>
      <c r="AP52">
        <f ca="1">IF(tblData[Date]&gt;StartDt2NSW,tblData[Date]-StartDt2NSW,"")</f>
        <v>38</v>
      </c>
      <c r="AQ52" s="25">
        <f>IF(tblData[[#This Row],[New South Wales]]&gt;0,tblData[[#This Row],[New South Wales]],"")</f>
        <v>13</v>
      </c>
      <c r="AR52" s="44">
        <f ca="1">IF(tblData[Date]&gt;StartDt2NSW,betaNSW/(deltaNSW+betaPodeltaNSW*EXP(-betaNSW*tblData[[#This Row],[Day '# NSW]])),"")</f>
        <v>8.3800187515323294</v>
      </c>
      <c r="AS52" s="12">
        <f ca="1">IF(AND(ISNUMBER(tblData[NSW]),tblData[Date]&gt;StartDt2NSW),(tblData[[#This Row],[NSW LogiP(t)]]-tblData[[#This Row],[NSW]])^2,"")</f>
        <v>21.344226736192894</v>
      </c>
      <c r="AT52" s="12">
        <f ca="1">IF(AND(tblData[Date]&gt;StartDt2NSW,ISNUMBER(tblData[Day'# Aust])),tblData[NSW LogiP(t)]/$AR$9,"")</f>
        <v>10.371310336054863</v>
      </c>
      <c r="AU52" s="11">
        <f>tblData[[#This Row],[Date]]-NSW100dt+1</f>
        <v>-7</v>
      </c>
      <c r="AV52" s="11">
        <f ca="1">IF(AND(ISNUMBER(tblData[NSW]),tblData[Date]&gt;StartDt2NSW),(tblData[NSW]-AVERAGE(tblData[NSW]))^2,"")</f>
        <v>78855.151438773377</v>
      </c>
      <c r="AW52" s="39">
        <f ca="1">IF(AND(tblData[Date]&gt;StartDt2Italy,ISNUMBER(tblData[Days'# Italy])),betaItaly/(deltaItaly+betaPodeltaItaly*EXP(-betaItaly*tblData[Days'# Italy])),"")</f>
        <v>2066.7327888404598</v>
      </c>
      <c r="AX52" s="11">
        <f ca="1">IF(AND(tblData[Date]&gt;StartDt2Italy,ISNUMBER(tblData[Italy])),(tblData[[#This Row],[Italy LogiP(t)]]-tblData[[#This Row],[Italy]])^2,"")</f>
        <v>189457.54511060379</v>
      </c>
      <c r="AY52" s="39">
        <f ca="1">IF(AND(tblData[Date]&gt;StartDt2Italy,ISNUMBER(tblData[Days'# Italy])),tblData[[#This Row],[Italy LogiP(t)]]/$AW$9,"")</f>
        <v>341.69344281069021</v>
      </c>
      <c r="AZ52" s="39">
        <f ca="1">IF(AND(ISNUMBER(tblData[Italy]),tblData[Date]&gt;StartDt2Italy),(tblData[Italy]-AVERAGE(tblData[Italy]))^2,"")</f>
        <v>341391317.04938269</v>
      </c>
      <c r="BA52" s="11">
        <f>tblData[[#This Row],[Date]]-Italy100dt+1</f>
        <v>6</v>
      </c>
      <c r="BB52" s="11">
        <f ca="1">IF(AND(tblData[Date]&gt;StartDt2US,ISNUMBER(tblData[[#This Row],[Days'# US]])),betaUS/(deltaUS+betaPodeltaUS*EXP(-betaUS*tblData[Days'# US])),"")</f>
        <v>112.91113663351361</v>
      </c>
      <c r="BC52" s="11">
        <f ca="1">IF(AND(tblData[Date]&gt;StartDt2US,ISNUMBER(tblData[US])),(tblData[[#This Row],[US LogiP(t)]]-tblData[US])^2,"")</f>
        <v>25.896530362767226</v>
      </c>
      <c r="BD52" s="137">
        <f ca="1">IF(AND(tblData[Date]&gt;=StartDt2US,ISNUMBER(tblData[[#This Row],[Days'# US]])),tblData[[#This Row],[US LogiP(t)]]/$BB$9,"")</f>
        <v>3.4295753625064642</v>
      </c>
      <c r="BE52" s="137">
        <f ca="1">IF(AND(ISNUMBER(tblData[US]),tblData[Date]&gt;StartDt2US),(tblData[US]-AVERAGE(tblData[US]))^2,"")</f>
        <v>331117994.33525091</v>
      </c>
      <c r="BF52" s="11">
        <f>tblData[[#This Row],[Date]]-US100dt+1</f>
        <v>-10</v>
      </c>
      <c r="BG52" s="20">
        <f ca="1">IF(tblData[Date]&gt;StartDt2SKorea,betaSKorea/(deltaSKorea+betaPodeltaSKorea*EXP(-betaSKorea*(tblData[Date]-StartDt2SKorea))),"")</f>
        <v>4696.4221051585318</v>
      </c>
      <c r="BH52" s="20">
        <f ca="1">IF(AND(tblData[Date]&gt;StartDt2SKorea,ISNUMBER(tblData[SKorea])),(tblData[[#This Row],[SKorea LogiP(t)]]-tblData[[#This Row],[SKorea]])^2,"")</f>
        <v>239686.51511740364</v>
      </c>
      <c r="BI52" s="20">
        <f ca="1">IF(tblData[Date]&gt;StartDt2SKorea,tblData[[#This Row],[SKorea LogiP(t)]]/$BG$9,"")</f>
        <v>913.70079866897515</v>
      </c>
      <c r="BJ52" s="137">
        <f ca="1">IF(AND(ISNUMBER(tblData[SKorea]),tblData[Date]&gt;StartDt2SKorea),(tblData[SKorea]-AVERAGE(tblData[SKorea]))^2,"")</f>
        <v>2033114.49494148</v>
      </c>
      <c r="BK52" s="11">
        <f>tblData[[#This Row],[Date]]-SKorea100dt+1</f>
        <v>11</v>
      </c>
      <c r="BL52" s="137">
        <f ca="1">IF(AND(tblData[Date]&gt;StartDt2UK,ISNUMBER(tblData[Days'# UK])),betaUK/(deltaUK+betaPodeltaUK*EXP(-betaUK*tblData[Days'# UK])),"")</f>
        <v>101.41123161305624</v>
      </c>
      <c r="BM52" s="20">
        <f ca="1">IF(AND(tblData[Date]&gt;StartDt2UK,ISNUMBER(tblData[UK])),(tblData[[#This Row],[UK LogiP(t)]]-tblData[[#This Row],[UK]])^2,"")</f>
        <v>2541.2922727452014</v>
      </c>
      <c r="BN52" s="20">
        <f ca="1">IF(ISNUMBER(tblData[Days'# UK]),tblData[[#This Row],[UK LogiP(t)]]/$BL$9,"")</f>
        <v>15.263580917076496</v>
      </c>
      <c r="BO52" s="137">
        <f ca="1">IF(AND(ISNUMBER(tblData[UK]),tblData[Date]&gt;StartDt2UK),(tblData[UK]-AVERAGE(tblData[UK]))^2,"")</f>
        <v>9326043.4489795901</v>
      </c>
      <c r="BP52" s="11">
        <f>tblData[[#This Row],[Date]]-UK100dt</f>
        <v>-9</v>
      </c>
      <c r="BQ52" s="11">
        <f ca="1">IF(ISNUMBER(tblData[Days'# China]),betaChina/(deltaChina+betaPodeltaChina*EXP(-betaChina*tblData[Days'# China])),"")</f>
        <v>80743.818986098486</v>
      </c>
      <c r="BR52" s="11">
        <f ca="1">IF(ISNUMBER(tblData[China]),(tblData[[#This Row],[China LogiP(t)]]-tblData[[#This Row],[China]])^2,"")</f>
        <v>233114.17333716978</v>
      </c>
      <c r="BS52" s="11">
        <f ca="1">tblData[[#This Row],[China LogiP(t)]]/$BQ$9</f>
        <v>560.98440345710299</v>
      </c>
      <c r="BT52" s="137">
        <f ca="1">IF(AND(ISNUMBER(tblData[China]),tblData[Date]&gt;StartDt2China),(tblData[China]-AVERAGE(tblData[China]))^2,"")</f>
        <v>405299125.29755998</v>
      </c>
      <c r="BU52" s="11">
        <f>tblData[[#This Row],[Date]]-China100dt</f>
        <v>41</v>
      </c>
      <c r="BV52" s="106">
        <f>IF(ISNUMBER(tblData[Day'# Singapore]),betaSingapore/(deltaSingapore+betaPodeltaSingapore*EXP(-betaSingapore*tblData[Day'# Singapore])),"")</f>
        <v>103.55539540531051</v>
      </c>
      <c r="BW52" s="11">
        <f>IF(AND(ISNUMBER(tblData[Singapore]),tblData[Date]&gt;=StartDt2Singapore),(tblData[[#This Row],[Singapore LogiP(t)]]-tblData[[#This Row],[Singapore]])^2,"")</f>
        <v>41.532928381892937</v>
      </c>
      <c r="BX52" s="106">
        <f>IF(ISNUMBER(tblData[Day'# Singapore]),tblData[Singapore LogiP(t)]/$BV$9,"")</f>
        <v>177.01776992360772</v>
      </c>
      <c r="BY52" s="106">
        <f>IF(AND(ISNUMBER(tblData[Singapore]),tblData[Date]&gt;StartDt2Singapore),(tblData[Singapore]-AVERAGE(tblData[Singapore]))^2,"")</f>
        <v>7908.4697480658606</v>
      </c>
      <c r="BZ52" s="11">
        <f>tblData[[#This Row],[Date]]-Singapore100dt+1</f>
        <v>22</v>
      </c>
      <c r="CA52" s="11">
        <f ca="1">IF(AND(tblData[Date]&gt;StartDt2Generic,ISNUMBER(tblData[Day'# Generic])),betaGeneric/(deltaGeneric+betaPodeltaGeneric*EXP(-betaGeneric*tblData[Day'# Generic])),"")</f>
        <v>3.2005584779878529</v>
      </c>
      <c r="CB52" s="106">
        <f ca="1">IF(AND(ISNUMBER(tblData[Generic]),tblData[Date]&gt;StartDt2Generic),(tblData[Generic LogiP(t)]-tblData[[#This Row],[Generic]])^2,"")</f>
        <v>4.8424576150442151</v>
      </c>
      <c r="CC52" s="11">
        <f ca="1">IF(AND(ISNUMBER(tblData[Generic]),tblData[Date]&gt;StartDt2Generic),tblData[Generic LogiP(t)]/$CA$9,"")</f>
        <v>6.1196146806651104</v>
      </c>
      <c r="CD52" s="106">
        <f ca="1">IF(AND(ISNUMBER(tblData[Generic]),tblData[Date]&gt;StartDt2Generic),(tblData[Generic]-AVERAGE(tblData[Generic]))^2,"")</f>
        <v>15178.240000000002</v>
      </c>
      <c r="CE52" s="11">
        <f>tblData[[#This Row],[Date]]-Generic100dt+1</f>
        <v>-17</v>
      </c>
      <c r="CG52" s="11"/>
      <c r="CH52" s="11" t="str">
        <f>IF(ISNUMBER(tblData[[#This Row],[Tests]]),tblData[[#This Row],[Tests]]-CH51,"")</f>
        <v/>
      </c>
      <c r="CI52" s="11" t="str">
        <f>IF(ISNUMBER(tblData[[#This Row],[NSW Under Investigation'']]),tblData[[#This Row],[NSW Under Investigation'']]-CG51,"")</f>
        <v/>
      </c>
      <c r="CJ52" s="11"/>
      <c r="CK52" s="11" t="str">
        <f>IF(AND(tblData[[#This Row],[NSW Test Day Number]]&gt;0,ISNUMBER(tblData[[#This Row],[NSW Test Day Number]])),betaTests/(deltaTests+betaPodeltaTests*EXP(-betaTests*tblData[[#This Row],[NSW Test Day Number]])),"")</f>
        <v/>
      </c>
      <c r="CL52" s="11" t="str">
        <f>IF(tblData[Tests]&gt;0,(tblData[[#This Row],[Tests]]-tblData[[#This Row],[NSW Test Logi]])^2,"")</f>
        <v/>
      </c>
      <c r="CM52" s="106" t="str">
        <f>IF(AND(ISNUMBER(tblData[Tests]),tblData[Date]&gt;StartDt2Tests),(tblData[Tests]-AVERAGE(tblData[Tests]))^2,"")</f>
        <v/>
      </c>
      <c r="CN52" s="11" t="str">
        <f>IF(ISNUMBER(tblData[Tests]),tblData[Tests]/$CN$9/100,"")</f>
        <v/>
      </c>
      <c r="CO52" s="11" t="str">
        <f>IF(AND(tblData[[#This Row],[NSW Test Day Number]]&gt;0,ISNUMBER(tblData[[#This Row],[NSW Test Day Number]])),TestsLogestB*TestsLogestM^tblData[[#This Row],[NSW Test Day Number]],"")</f>
        <v/>
      </c>
      <c r="CP52" s="11" t="str">
        <f>IF(AND(tblData[[#This Row],[NSW Test Day Number]]&gt;0,ISNUMBER(tblData[Tests])),(tblData[Tests]-tblData[[#This Row],[NSW Test Per Capita]])^2,"")</f>
        <v/>
      </c>
      <c r="CQ52" s="39">
        <f ca="1">IF(AND(tblData[Day '# NSW]&gt;0,ISNUMBER(tblData[[#This Row],[Day '# NSW]])),NSWLogestB*NSWLogestM^tblData[[#This Row],[Day '# NSW]]/$CR$9,"")</f>
        <v>57.916281793875527</v>
      </c>
      <c r="CR52" s="39">
        <f ca="1">IF(AND(ISNUMBER(tblData[NSW]),tblData[Date]&gt;StartDt2NSW),(tblData[NSW]/$CR$9-tblData[[#This Row],[NSW Cases LogEst]])^2,"")</f>
        <v>1749.5123913830691</v>
      </c>
      <c r="CS52" s="11"/>
      <c r="CT52" s="11"/>
      <c r="CW52" s="25"/>
      <c r="CX52"/>
      <c r="DK52" s="25"/>
      <c r="DL52" s="25"/>
      <c r="DM52" s="25"/>
      <c r="DR52"/>
      <c r="DS52"/>
      <c r="DT52"/>
      <c r="DU52"/>
      <c r="EB52" s="25"/>
      <c r="EC52" s="25"/>
      <c r="ED52" s="25"/>
      <c r="EE52" s="25"/>
      <c r="EK52"/>
      <c r="EL52"/>
      <c r="EM52"/>
      <c r="EN52"/>
      <c r="EO52"/>
      <c r="EP52" s="25"/>
      <c r="ER52" s="25"/>
      <c r="ES52" s="25"/>
      <c r="ET52"/>
      <c r="EU52" s="26" t="s">
        <v>153</v>
      </c>
      <c r="EV52" s="69">
        <v>43914.450960648152</v>
      </c>
      <c r="EW52" s="26">
        <v>43855</v>
      </c>
      <c r="EX52" s="26">
        <v>43855</v>
      </c>
      <c r="EY52" s="25">
        <v>1</v>
      </c>
      <c r="EZ52" s="25">
        <v>0.19833870533418094</v>
      </c>
      <c r="FA52" s="25">
        <v>1.448335037648097E-6</v>
      </c>
      <c r="FB52" s="21">
        <v>6.8604800987280834E-3</v>
      </c>
      <c r="FC52" s="82">
        <v>136942.55830215677</v>
      </c>
      <c r="FD52" s="82">
        <v>6.5849197221904419</v>
      </c>
      <c r="FE52" s="25">
        <v>28.910322972102019</v>
      </c>
      <c r="FF52" s="84">
        <v>1.4483350376480969E-3</v>
      </c>
      <c r="FG52" s="26">
        <v>43914</v>
      </c>
      <c r="FH52" s="25" t="s">
        <v>1341</v>
      </c>
      <c r="FI52" s="84">
        <v>136942.55830215677</v>
      </c>
      <c r="FJ52" s="84">
        <v>818</v>
      </c>
      <c r="FK52" s="25" t="s">
        <v>1342</v>
      </c>
      <c r="FL52" s="26">
        <v>43914</v>
      </c>
      <c r="FM52" s="25">
        <v>60</v>
      </c>
      <c r="FN52" s="25" t="s">
        <v>1343</v>
      </c>
      <c r="FO52" s="25"/>
      <c r="FP52" s="25" t="s">
        <v>1344</v>
      </c>
      <c r="FR52" s="72" t="s">
        <v>1345</v>
      </c>
      <c r="FS52" s="19">
        <v>1012.3762376237623</v>
      </c>
      <c r="FT52" s="72"/>
      <c r="FU52" s="25"/>
      <c r="FV52" s="142"/>
      <c r="FW52" s="25"/>
      <c r="FX52" s="25" t="s">
        <v>1340</v>
      </c>
      <c r="FY52" s="25"/>
      <c r="FZ52" s="25"/>
      <c r="GC52" s="25"/>
    </row>
    <row r="53" spans="2:220" x14ac:dyDescent="0.25">
      <c r="B53" s="1">
        <v>43894</v>
      </c>
      <c r="C53">
        <v>0</v>
      </c>
      <c r="D53" s="25">
        <v>0</v>
      </c>
      <c r="E53">
        <v>22</v>
      </c>
      <c r="F53">
        <v>1</v>
      </c>
      <c r="G53">
        <v>11</v>
      </c>
      <c r="H53">
        <v>5</v>
      </c>
      <c r="I53">
        <v>1</v>
      </c>
      <c r="J53">
        <v>10</v>
      </c>
      <c r="K53">
        <v>2</v>
      </c>
      <c r="L53" s="12">
        <f>IF(ISNUMBER(tblData[[#This Row],[NSW]]),tblData[[#This Row],[New South Wales]]/$L$9,"")</f>
        <v>27.227722772277225</v>
      </c>
      <c r="M53" s="25">
        <v>3089</v>
      </c>
      <c r="N53" s="106">
        <f>IF(ISNUMBER(tblData[Italy]),tblData[Italy]/$N$9,"")</f>
        <v>510.70513350417463</v>
      </c>
      <c r="O53">
        <v>149</v>
      </c>
      <c r="P53" s="106">
        <f>IF(ISNUMBER(tblData[US]),tblData[US]/$P$9,"")</f>
        <v>4.525742493161558</v>
      </c>
      <c r="Q53">
        <v>5621</v>
      </c>
      <c r="R53" s="106">
        <f>IF(ISNUMBER(tblData[SKorea]),tblData[SKorea]/$R$9,"")</f>
        <v>1093.5797665369651</v>
      </c>
      <c r="S53">
        <v>86</v>
      </c>
      <c r="T53" s="106">
        <f>IF(ISNUMBER(tblData[UK]),tblData[UK]/$T$9,"")</f>
        <v>12.944009632751355</v>
      </c>
      <c r="U53">
        <v>80386</v>
      </c>
      <c r="V53" s="106">
        <f>IF(ISNUMBER(tblData[China]),tblData[China]/$V$9,"")</f>
        <v>558.49838195127541</v>
      </c>
      <c r="W53">
        <v>110</v>
      </c>
      <c r="X53" s="106">
        <f>IF(ISNUMBER(tblData[Singapore]),tblData[Singapore]/$X$9,"")</f>
        <v>188.03418803418805</v>
      </c>
      <c r="Y53">
        <v>3</v>
      </c>
      <c r="Z53" s="20">
        <f>IF(AND(LEN(tblData[Generic])&gt;0,ISNUMBER(tblData[Generic])),tblData[Generic]/$Z$9,"")</f>
        <v>5.736137667304015</v>
      </c>
      <c r="AA53" s="25">
        <f ca="1">IF(tblData[[#This Row],[Date]]&lt;StartDt2Italy,"",tblData[[#This Row],[Date]]-ItalyStart)</f>
        <v>34</v>
      </c>
      <c r="AB53" s="25">
        <f ca="1">IF(tblData[[#This Row],[Date]]&lt;=StartDt2US,"",tblData[[#This Row],[Date]]-USStart)</f>
        <v>42</v>
      </c>
      <c r="AC53" s="25">
        <f ca="1">IF(tblData[[#This Row],[Date]]&lt;StartDt2China,"",tblData[[#This Row],[Date]]-ChinaStart)</f>
        <v>42</v>
      </c>
      <c r="AD53" s="25">
        <f>IF(tblData[[#This Row],[Date]]&lt;=SKoreaStart,"",tblData[[#This Row],[Date]]-SKoreaStart)</f>
        <v>42</v>
      </c>
      <c r="AE53" s="25">
        <f ca="1">IF(tblData[[#This Row],[Date]]&lt;=StartDt2UK,"",tblData[[#This Row],[Date]]-UKStart)</f>
        <v>34</v>
      </c>
      <c r="AF53" s="25">
        <f>IF(tblData[[#This Row],[Date]]&lt;StartDt2Singapore,"",tblData[[#This Row],[Date]]-SingaporeStart)</f>
        <v>41</v>
      </c>
      <c r="AG53" s="25">
        <f ca="1">IF(tblData[[#This Row],[Date]]&lt;StartDt2Generic,"",tblData[[#This Row],[Date]]-GenericStart)</f>
        <v>42</v>
      </c>
      <c r="AH53">
        <f ca="1">IF(tblData[Date]&gt;StartDt2Au,tblData[Date]-AuStart,"")</f>
        <v>39</v>
      </c>
      <c r="AI53" s="25">
        <f>IF(tblData[New South Wales]&gt;=0,SUM(tblData[[#This Row],[Australian Capital Territory]:[Western Australia]]),"")</f>
        <v>52</v>
      </c>
      <c r="AJ53" s="12">
        <f>IF(ISNUMBER(tblData[Au]),tblData[Au]/$AE$9,"")</f>
        <v>20.501498186405929</v>
      </c>
      <c r="AK53" s="19">
        <f ca="1">IF(ISNUMBER(tblData[[#This Row],[Day'# Aust]]),betaAu/(deltaAu+betaPodeltaAu*EXP(-betaAu*tblData[[#This Row],[Day'# Aust]])),"")</f>
        <v>19.28428310524674</v>
      </c>
      <c r="AL53" s="62">
        <f ca="1">IF(ISNUMBER(tblData[Day'# Aust]),tblData[Au LogiP(t)]/$AJ$9,"")</f>
        <v>7.6030133674683569</v>
      </c>
      <c r="AM53" s="11">
        <f ca="1">IF(AND(tblData[Date]&gt;StartDt2Au,ISNUMBER(tblData[NSW])),(tblData[[#This Row],[Au LogiP(t)]]-tblData[[#This Row],[Au]])^2,"")</f>
        <v>1070.3181319376438</v>
      </c>
      <c r="AN53" s="11">
        <f ca="1">IF(AND(ISNUMBER(tblData[Au]),tblData[Date]&gt;StartDt2Au),(tblData[Au]-AVERAGE(tblData[Au]))^2,"")</f>
        <v>153159.33811020709</v>
      </c>
      <c r="AO53" s="11">
        <f>tblData[[#This Row],[Date]]-Au100dt</f>
        <v>-10</v>
      </c>
      <c r="AP53">
        <f ca="1">IF(tblData[Date]&gt;StartDt2NSW,tblData[Date]-StartDt2NSW,"")</f>
        <v>39</v>
      </c>
      <c r="AQ53" s="25">
        <f>IF(tblData[[#This Row],[New South Wales]]&gt;0,tblData[[#This Row],[New South Wales]],"")</f>
        <v>22</v>
      </c>
      <c r="AR53" s="44">
        <f ca="1">IF(tblData[Date]&gt;StartDt2NSW,betaNSW/(deltaNSW+betaPodeltaNSW*EXP(-betaNSW*tblData[[#This Row],[Day '# NSW]])),"")</f>
        <v>10.621716863146958</v>
      </c>
      <c r="AS53" s="12">
        <f ca="1">IF(AND(ISNUMBER(tblData[NSW]),tblData[Date]&gt;StartDt2NSW),(tblData[[#This Row],[NSW LogiP(t)]]-tblData[[#This Row],[NSW]])^2,"")</f>
        <v>129.4653271423943</v>
      </c>
      <c r="AT53" s="12">
        <f ca="1">IF(AND(tblData[Date]&gt;StartDt2NSW,ISNUMBER(tblData[Day'# Aust])),tblData[NSW LogiP(t)]/$AR$9,"")</f>
        <v>13.145689187063066</v>
      </c>
      <c r="AU53" s="11">
        <f>tblData[[#This Row],[Date]]-NSW100dt+1</f>
        <v>-6</v>
      </c>
      <c r="AV53" s="11">
        <f ca="1">IF(AND(ISNUMBER(tblData[NSW]),tblData[Date]&gt;StartDt2NSW),(tblData[NSW]-AVERAGE(tblData[NSW]))^2,"")</f>
        <v>73881.542743121201</v>
      </c>
      <c r="AW53" s="39">
        <f ca="1">IF(AND(tblData[Date]&gt;StartDt2Italy,ISNUMBER(tblData[Days'# Italy])),betaItaly/(deltaItaly+betaPodeltaItaly*EXP(-betaItaly*tblData[Days'# Italy])),"")</f>
        <v>2654.899325511954</v>
      </c>
      <c r="AX53" s="11">
        <f ca="1">IF(AND(tblData[Date]&gt;StartDt2Italy,ISNUMBER(tblData[Italy])),(tblData[[#This Row],[Italy LogiP(t)]]-tblData[[#This Row],[Italy]])^2,"")</f>
        <v>188443.39559097649</v>
      </c>
      <c r="AY53" s="39">
        <f ca="1">IF(AND(tblData[Date]&gt;StartDt2Italy,ISNUMBER(tblData[Days'# Italy])),tblData[[#This Row],[Italy LogiP(t)]]/$AW$9,"")</f>
        <v>438.93516169495808</v>
      </c>
      <c r="AZ53" s="39">
        <f ca="1">IF(AND(ISNUMBER(tblData[Italy]),tblData[Date]&gt;StartDt2Italy),(tblData[Italy]-AVERAGE(tblData[Italy]))^2,"")</f>
        <v>320044148.93827158</v>
      </c>
      <c r="BA53" s="11">
        <f>tblData[[#This Row],[Date]]-Italy100dt+1</f>
        <v>7</v>
      </c>
      <c r="BB53" s="11">
        <f ca="1">IF(AND(tblData[Date]&gt;StartDt2US,ISNUMBER(tblData[[#This Row],[Days'# US]])),betaUS/(deltaUS+betaPodeltaUS*EXP(-betaUS*tblData[Days'# US])),"")</f>
        <v>149.9514741574084</v>
      </c>
      <c r="BC53" s="11">
        <f ca="1">IF(AND(tblData[Date]&gt;StartDt2US,ISNUMBER(tblData[US])),(tblData[[#This Row],[US LogiP(t)]]-tblData[US])^2,"")</f>
        <v>0.9053030722160218</v>
      </c>
      <c r="BD53" s="137">
        <f ca="1">IF(AND(tblData[Date]&gt;=StartDt2US,ISNUMBER(tblData[[#This Row],[Days'# US]])),tblData[[#This Row],[US LogiP(t)]]/$BB$9,"")</f>
        <v>4.5546426745396005</v>
      </c>
      <c r="BE53" s="137">
        <f ca="1">IF(AND(ISNUMBER(tblData[US]),tblData[Date]&gt;StartDt2US),(tblData[US]-AVERAGE(tblData[US]))^2,"")</f>
        <v>329990763.16623682</v>
      </c>
      <c r="BF53" s="11">
        <f>tblData[[#This Row],[Date]]-US100dt+1</f>
        <v>-9</v>
      </c>
      <c r="BG53" s="20">
        <f ca="1">IF(tblData[Date]&gt;StartDt2SKorea,betaSKorea/(deltaSKorea+betaPodeltaSKorea*EXP(-betaSKorea*(tblData[Date]-StartDt2SKorea))),"")</f>
        <v>5279.7816933681761</v>
      </c>
      <c r="BH53" s="20">
        <f ca="1">IF(AND(tblData[Date]&gt;StartDt2SKorea,ISNUMBER(tblData[SKorea])),(tblData[[#This Row],[SKorea LogiP(t)]]-tblData[[#This Row],[SKorea]])^2,"")</f>
        <v>116429.9327806894</v>
      </c>
      <c r="BI53" s="20">
        <f ca="1">IF(tblData[Date]&gt;StartDt2SKorea,tblData[[#This Row],[SKorea LogiP(t)]]/$BG$9,"")</f>
        <v>1027.1948819782444</v>
      </c>
      <c r="BJ53" s="137">
        <f ca="1">IF(AND(ISNUMBER(tblData[SKorea]),tblData[Date]&gt;StartDt2SKorea),(tblData[SKorea]-AVERAGE(tblData[SKorea]))^2,"")</f>
        <v>3462849.2132513393</v>
      </c>
      <c r="BK53" s="11">
        <f>tblData[[#This Row],[Date]]-SKorea100dt+1</f>
        <v>12</v>
      </c>
      <c r="BL53" s="137">
        <f ca="1">IF(AND(tblData[Date]&gt;StartDt2UK,ISNUMBER(tblData[Days'# UK])),betaUK/(deltaUK+betaPodeltaUK*EXP(-betaUK*tblData[Days'# UK])),"")</f>
        <v>125.52885611235675</v>
      </c>
      <c r="BM53" s="20">
        <f ca="1">IF(AND(tblData[Date]&gt;StartDt2UK,ISNUMBER(tblData[UK])),(tblData[[#This Row],[UK LogiP(t)]]-tblData[[#This Row],[UK]])^2,"")</f>
        <v>1562.5304655514035</v>
      </c>
      <c r="BN53" s="20">
        <f ca="1">IF(ISNUMBER(tblData[Days'# UK]),tblData[[#This Row],[UK LogiP(t)]]/$BL$9,"")</f>
        <v>18.893566543100054</v>
      </c>
      <c r="BO53" s="137">
        <f ca="1">IF(AND(ISNUMBER(tblData[UK]),tblData[Date]&gt;StartDt2UK),(tblData[UK]-AVERAGE(tblData[UK]))^2,"")</f>
        <v>9113498.4489795901</v>
      </c>
      <c r="BP53" s="11">
        <f>tblData[[#This Row],[Date]]-UK100dt</f>
        <v>-8</v>
      </c>
      <c r="BQ53" s="11">
        <f ca="1">IF(ISNUMBER(tblData[Days'# China]),betaChina/(deltaChina+betaPodeltaChina*EXP(-betaChina*tblData[Days'# China])),"")</f>
        <v>80838.515986554397</v>
      </c>
      <c r="BR53" s="11">
        <f ca="1">IF(ISNUMBER(tblData[China]),(tblData[[#This Row],[China LogiP(t)]]-tblData[[#This Row],[China]])^2,"")</f>
        <v>204770.71808729955</v>
      </c>
      <c r="BS53" s="11">
        <f ca="1">tblData[[#This Row],[China LogiP(t)]]/$BQ$9</f>
        <v>561.64233047835376</v>
      </c>
      <c r="BT53" s="137">
        <f ca="1">IF(AND(ISNUMBER(tblData[China]),tblData[Date]&gt;StartDt2China),(tblData[China]-AVERAGE(tblData[China]))^2,"")</f>
        <v>410347760.86094022</v>
      </c>
      <c r="BU53" s="11">
        <f>tblData[[#This Row],[Date]]-China100dt</f>
        <v>42</v>
      </c>
      <c r="BV53" s="106">
        <f>IF(ISNUMBER(tblData[Day'# Singapore]),betaSingapore/(deltaSingapore+betaPodeltaSingapore*EXP(-betaSingapore*tblData[Day'# Singapore])),"")</f>
        <v>112.12730827170176</v>
      </c>
      <c r="BW53" s="11">
        <f>IF(AND(ISNUMBER(tblData[Singapore]),tblData[Date]&gt;=StartDt2Singapore),(tblData[[#This Row],[Singapore LogiP(t)]]-tblData[[#This Row],[Singapore]])^2,"")</f>
        <v>4.5254404828507475</v>
      </c>
      <c r="BX53" s="106">
        <f>IF(ISNUMBER(tblData[Day'# Singapore]),tblData[Singapore LogiP(t)]/$BV$9,"")</f>
        <v>191.67061243025944</v>
      </c>
      <c r="BY53" s="106">
        <f>IF(AND(ISNUMBER(tblData[Singapore]),tblData[Date]&gt;StartDt2Singapore),(tblData[Singapore]-AVERAGE(tblData[Singapore]))^2,"")</f>
        <v>7908.4697480658606</v>
      </c>
      <c r="BZ53" s="11">
        <f>tblData[[#This Row],[Date]]-Singapore100dt+1</f>
        <v>23</v>
      </c>
      <c r="CA53" s="11">
        <f ca="1">IF(AND(tblData[Date]&gt;StartDt2Generic,ISNUMBER(tblData[Day'# Generic])),betaGeneric/(deltaGeneric+betaPodeltaGeneric*EXP(-betaGeneric*tblData[Day'# Generic])),"")</f>
        <v>3.8962192391562995</v>
      </c>
      <c r="CB53" s="106">
        <f ca="1">IF(AND(ISNUMBER(tblData[Generic]),tblData[Date]&gt;StartDt2Generic),(tblData[Generic LogiP(t)]-tblData[[#This Row],[Generic]])^2,"")</f>
        <v>0.80320892463389637</v>
      </c>
      <c r="CC53" s="11">
        <f ca="1">IF(AND(ISNUMBER(tblData[Generic]),tblData[Date]&gt;StartDt2Generic),tblData[Generic LogiP(t)]/$CA$9,"")</f>
        <v>7.4497499792663469</v>
      </c>
      <c r="CD53" s="106">
        <f ca="1">IF(AND(ISNUMBER(tblData[Generic]),tblData[Date]&gt;StartDt2Generic),(tblData[Generic]-AVERAGE(tblData[Generic]))^2,"")</f>
        <v>14689.44</v>
      </c>
      <c r="CE53" s="11">
        <f>tblData[[#This Row],[Date]]-Generic100dt+1</f>
        <v>-16</v>
      </c>
      <c r="CG53" s="11"/>
      <c r="CH53" s="11" t="str">
        <f>IF(ISNUMBER(tblData[[#This Row],[Tests]]),tblData[[#This Row],[Tests]]-CH52,"")</f>
        <v/>
      </c>
      <c r="CI53" s="11" t="str">
        <f>IF(ISNUMBER(tblData[[#This Row],[NSW Under Investigation'']]),tblData[[#This Row],[NSW Under Investigation'']]-CG52,"")</f>
        <v/>
      </c>
      <c r="CJ53" s="11"/>
      <c r="CK53" s="11" t="str">
        <f>IF(AND(tblData[[#This Row],[NSW Test Day Number]]&gt;0,ISNUMBER(tblData[[#This Row],[NSW Test Day Number]])),betaTests/(deltaTests+betaPodeltaTests*EXP(-betaTests*tblData[[#This Row],[NSW Test Day Number]])),"")</f>
        <v/>
      </c>
      <c r="CL53" s="11" t="str">
        <f>IF(tblData[Tests]&gt;0,(tblData[[#This Row],[Tests]]-tblData[[#This Row],[NSW Test Logi]])^2,"")</f>
        <v/>
      </c>
      <c r="CM53" s="106" t="str">
        <f>IF(AND(ISNUMBER(tblData[Tests]),tblData[Date]&gt;StartDt2Tests),(tblData[Tests]-AVERAGE(tblData[Tests]))^2,"")</f>
        <v/>
      </c>
      <c r="CN53" s="11" t="str">
        <f>IF(ISNUMBER(tblData[Tests]),tblData[Tests]/$CN$9/100,"")</f>
        <v/>
      </c>
      <c r="CO53" s="11" t="str">
        <f>IF(AND(tblData[[#This Row],[NSW Test Day Number]]&gt;0,ISNUMBER(tblData[[#This Row],[NSW Test Day Number]])),TestsLogestB*TestsLogestM^tblData[[#This Row],[NSW Test Day Number]],"")</f>
        <v/>
      </c>
      <c r="CP53" s="11" t="str">
        <f>IF(AND(tblData[[#This Row],[NSW Test Day Number]]&gt;0,ISNUMBER(tblData[Tests])),(tblData[Tests]-tblData[[#This Row],[NSW Test Per Capita]])^2,"")</f>
        <v/>
      </c>
      <c r="CQ53" s="39">
        <f ca="1">IF(AND(tblData[Day '# NSW]&gt;0,ISNUMBER(tblData[[#This Row],[Day '# NSW]])),NSWLogestB*NSWLogestM^tblData[[#This Row],[Day '# NSW]]/$CR$9,"")</f>
        <v>64.457281416403177</v>
      </c>
      <c r="CR53" s="39">
        <f ca="1">IF(AND(ISNUMBER(tblData[NSW]),tblData[Date]&gt;StartDt2NSW),(tblData[NSW]/$CR$9-tblData[[#This Row],[NSW Cases LogEst]])^2,"")</f>
        <v>1386.0400368364133</v>
      </c>
      <c r="CS53" s="11"/>
      <c r="CT53" s="11"/>
      <c r="CW53" s="25"/>
      <c r="CX53"/>
      <c r="DK53" s="25"/>
      <c r="DL53" s="25"/>
      <c r="DM53" s="25"/>
      <c r="DR53"/>
      <c r="DS53"/>
      <c r="DT53"/>
      <c r="DU53"/>
      <c r="EB53" s="25"/>
      <c r="EC53" s="25"/>
      <c r="ED53" s="25"/>
      <c r="EE53" s="25"/>
      <c r="EK53"/>
      <c r="EL53"/>
      <c r="EM53"/>
      <c r="EN53"/>
      <c r="EO53"/>
      <c r="EP53" s="25"/>
      <c r="ER53" s="25"/>
      <c r="ES53" s="25"/>
      <c r="ET53"/>
      <c r="EU53" s="26" t="s">
        <v>153</v>
      </c>
      <c r="EV53" s="69">
        <v>43915.900972222225</v>
      </c>
      <c r="EW53" s="26">
        <v>43855</v>
      </c>
      <c r="EX53" s="26">
        <v>43855</v>
      </c>
      <c r="EY53" s="25">
        <v>1</v>
      </c>
      <c r="EZ53" s="25">
        <v>0.19974190539273551</v>
      </c>
      <c r="FA53" s="25">
        <v>9.9999999981584546E-13</v>
      </c>
      <c r="FB53" s="21">
        <v>6.3441791267384584E-3</v>
      </c>
      <c r="FC53" s="82">
        <v>199741905429.51889</v>
      </c>
      <c r="FD53" s="82">
        <v>6.9145473337675369</v>
      </c>
      <c r="FE53" s="25">
        <v>31.484278959099388</v>
      </c>
      <c r="FF53" s="84">
        <v>9.9999999981584546E-10</v>
      </c>
      <c r="FG53" s="26">
        <v>43915</v>
      </c>
      <c r="FH53" s="25" t="s">
        <v>1509</v>
      </c>
      <c r="FI53" s="84">
        <v>199741905429.51849</v>
      </c>
      <c r="FJ53" s="84">
        <v>1029</v>
      </c>
      <c r="FK53" s="25" t="s">
        <v>1510</v>
      </c>
      <c r="FL53" s="26">
        <v>43915</v>
      </c>
      <c r="FM53" s="25">
        <v>61</v>
      </c>
      <c r="FN53" s="25" t="s">
        <v>1511</v>
      </c>
      <c r="FO53" s="25"/>
      <c r="FP53" s="25" t="s">
        <v>1512</v>
      </c>
      <c r="FR53" s="72" t="s">
        <v>1513</v>
      </c>
      <c r="FS53" s="19">
        <v>1273.5148514851485</v>
      </c>
      <c r="FT53" s="72"/>
      <c r="FU53" s="25"/>
      <c r="FV53" s="142"/>
      <c r="FW53" s="25"/>
      <c r="FX53" s="25" t="s">
        <v>1481</v>
      </c>
      <c r="FY53" s="25"/>
      <c r="FZ53" s="25"/>
      <c r="GA53" s="25"/>
      <c r="GC53" s="25"/>
    </row>
    <row r="54" spans="2:220" x14ac:dyDescent="0.25">
      <c r="B54" s="1">
        <v>43895</v>
      </c>
      <c r="C54">
        <v>0</v>
      </c>
      <c r="D54" s="25">
        <v>0</v>
      </c>
      <c r="E54">
        <v>22</v>
      </c>
      <c r="F54">
        <v>1</v>
      </c>
      <c r="G54">
        <v>13</v>
      </c>
      <c r="H54">
        <v>5</v>
      </c>
      <c r="I54">
        <v>1</v>
      </c>
      <c r="J54">
        <v>10</v>
      </c>
      <c r="K54">
        <v>3</v>
      </c>
      <c r="L54" s="12">
        <f>IF(ISNUMBER(tblData[[#This Row],[NSW]]),tblData[[#This Row],[New South Wales]]/$L$9,"")</f>
        <v>27.227722772277225</v>
      </c>
      <c r="M54" s="25">
        <v>3858</v>
      </c>
      <c r="N54" s="106">
        <f>IF(ISNUMBER(tblData[Italy]),tblData[Italy]/$N$9,"")</f>
        <v>637.84409357691993</v>
      </c>
      <c r="O54">
        <v>217</v>
      </c>
      <c r="P54" s="106">
        <f>IF(ISNUMBER(tblData[US]),tblData[US]/$P$9,"")</f>
        <v>6.5911820202420008</v>
      </c>
      <c r="Q54">
        <v>6088</v>
      </c>
      <c r="R54" s="106">
        <f>IF(ISNUMBER(tblData[SKorea]),tblData[SKorea]/$R$9,"")</f>
        <v>1184.4357976653698</v>
      </c>
      <c r="S54">
        <v>116</v>
      </c>
      <c r="T54" s="106">
        <f>IF(ISNUMBER(tblData[UK]),tblData[UK]/$T$9,"")</f>
        <v>17.459361830222758</v>
      </c>
      <c r="U54">
        <v>80537</v>
      </c>
      <c r="V54" s="106">
        <f>IF(ISNUMBER(tblData[China]),tblData[China]/$V$9,"")</f>
        <v>559.54748572151709</v>
      </c>
      <c r="W54">
        <v>117</v>
      </c>
      <c r="X54" s="106">
        <f>IF(ISNUMBER(tblData[Singapore]),tblData[Singapore]/$X$9,"")</f>
        <v>200</v>
      </c>
      <c r="Y54">
        <v>3</v>
      </c>
      <c r="Z54" s="20">
        <f>IF(AND(LEN(tblData[Generic])&gt;0,ISNUMBER(tblData[Generic])),tblData[Generic]/$Z$9,"")</f>
        <v>5.736137667304015</v>
      </c>
      <c r="AA54" s="25">
        <f ca="1">IF(tblData[[#This Row],[Date]]&lt;StartDt2Italy,"",tblData[[#This Row],[Date]]-ItalyStart)</f>
        <v>35</v>
      </c>
      <c r="AB54" s="25">
        <f ca="1">IF(tblData[[#This Row],[Date]]&lt;=StartDt2US,"",tblData[[#This Row],[Date]]-USStart)</f>
        <v>43</v>
      </c>
      <c r="AC54" s="25">
        <f ca="1">IF(tblData[[#This Row],[Date]]&lt;StartDt2China,"",tblData[[#This Row],[Date]]-ChinaStart)</f>
        <v>43</v>
      </c>
      <c r="AD54" s="25">
        <f>IF(tblData[[#This Row],[Date]]&lt;=SKoreaStart,"",tblData[[#This Row],[Date]]-SKoreaStart)</f>
        <v>43</v>
      </c>
      <c r="AE54" s="25">
        <f ca="1">IF(tblData[[#This Row],[Date]]&lt;=StartDt2UK,"",tblData[[#This Row],[Date]]-UKStart)</f>
        <v>35</v>
      </c>
      <c r="AF54" s="25">
        <f>IF(tblData[[#This Row],[Date]]&lt;StartDt2Singapore,"",tblData[[#This Row],[Date]]-SingaporeStart)</f>
        <v>42</v>
      </c>
      <c r="AG54" s="25">
        <f ca="1">IF(tblData[[#This Row],[Date]]&lt;StartDt2Generic,"",tblData[[#This Row],[Date]]-GenericStart)</f>
        <v>43</v>
      </c>
      <c r="AH54">
        <f ca="1">IF(tblData[Date]&gt;StartDt2Au,tblData[Date]-AuStart,"")</f>
        <v>40</v>
      </c>
      <c r="AI54" s="25">
        <f>IF(tblData[New South Wales]&gt;=0,SUM(tblData[[#This Row],[Australian Capital Territory]:[Western Australia]]),"")</f>
        <v>55</v>
      </c>
      <c r="AJ54" s="12">
        <f>IF(ISNUMBER(tblData[Au]),tblData[Au]/$AE$9,"")</f>
        <v>21.68427692792935</v>
      </c>
      <c r="AK54" s="19">
        <f ca="1">IF(ISNUMBER(tblData[[#This Row],[Day'# Aust]]),betaAu/(deltaAu+betaPodeltaAu*EXP(-betaAu*tblData[[#This Row],[Day'# Aust]])),"")</f>
        <v>24.815623469865709</v>
      </c>
      <c r="AL54" s="62">
        <f ca="1">IF(ISNUMBER(tblData[Day'# Aust]),tblData[Au LogiP(t)]/$AJ$9,"")</f>
        <v>9.7837972992689277</v>
      </c>
      <c r="AM54" s="11">
        <f ca="1">IF(AND(tblData[Date]&gt;StartDt2Au,ISNUMBER(tblData[NSW])),(tblData[[#This Row],[Au LogiP(t)]]-tblData[[#This Row],[Au]])^2,"")</f>
        <v>911.09658651292182</v>
      </c>
      <c r="AN54" s="11">
        <f ca="1">IF(AND(ISNUMBER(tblData[Au]),tblData[Date]&gt;StartDt2Au),(tblData[Au]-AVERAGE(tblData[Au]))^2,"")</f>
        <v>150820.20349482249</v>
      </c>
      <c r="AO54" s="11">
        <f>tblData[[#This Row],[Date]]-Au100dt</f>
        <v>-9</v>
      </c>
      <c r="AP54">
        <f ca="1">IF(tblData[Date]&gt;StartDt2NSW,tblData[Date]-StartDt2NSW,"")</f>
        <v>40</v>
      </c>
      <c r="AQ54" s="25">
        <f>IF(tblData[[#This Row],[New South Wales]]&gt;0,tblData[[#This Row],[New South Wales]],"")</f>
        <v>22</v>
      </c>
      <c r="AR54" s="44">
        <f ca="1">IF(tblData[Date]&gt;StartDt2NSW,betaNSW/(deltaNSW+betaPodeltaNSW*EXP(-betaNSW*tblData[[#This Row],[Day '# NSW]])),"")</f>
        <v>13.460382868636488</v>
      </c>
      <c r="AS54" s="12">
        <f ca="1">IF(AND(ISNUMBER(tblData[NSW]),tblData[Date]&gt;StartDt2NSW),(tblData[[#This Row],[NSW LogiP(t)]]-tblData[[#This Row],[NSW]])^2,"")</f>
        <v>72.925060750277169</v>
      </c>
      <c r="AT54" s="12">
        <f ca="1">IF(AND(tblData[Date]&gt;StartDt2NSW,ISNUMBER(tblData[Day'# Aust])),tblData[NSW LogiP(t)]/$AR$9,"")</f>
        <v>16.658889688906545</v>
      </c>
      <c r="AU54" s="11">
        <f>tblData[[#This Row],[Date]]-NSW100dt+1</f>
        <v>-5</v>
      </c>
      <c r="AV54" s="11">
        <f ca="1">IF(AND(ISNUMBER(tblData[NSW]),tblData[Date]&gt;StartDt2NSW),(tblData[NSW]-AVERAGE(tblData[NSW]))^2,"")</f>
        <v>73881.542743121201</v>
      </c>
      <c r="AW54" s="39">
        <f ca="1">IF(AND(tblData[Date]&gt;StartDt2Italy,ISNUMBER(tblData[Days'# Italy])),betaItaly/(deltaItaly+betaPodeltaItaly*EXP(-betaItaly*tblData[Days'# Italy])),"")</f>
        <v>3404.4650769166842</v>
      </c>
      <c r="AX54" s="11">
        <f ca="1">IF(AND(tblData[Date]&gt;StartDt2Italy,ISNUMBER(tblData[Italy])),(tblData[[#This Row],[Italy LogiP(t)]]-tblData[[#This Row],[Italy]])^2,"")</f>
        <v>205693.92645618916</v>
      </c>
      <c r="AY54" s="39">
        <f ca="1">IF(AND(tblData[Date]&gt;StartDt2Italy,ISNUMBER(tblData[Days'# Italy])),tblData[[#This Row],[Italy LogiP(t)]]/$AW$9,"")</f>
        <v>562.86105264390915</v>
      </c>
      <c r="AZ54" s="39">
        <f ca="1">IF(AND(ISNUMBER(tblData[Italy]),tblData[Date]&gt;StartDt2Italy),(tblData[Italy]-AVERAGE(tblData[Italy]))^2,"")</f>
        <v>293121031.71604937</v>
      </c>
      <c r="BA54" s="11">
        <f>tblData[[#This Row],[Date]]-Italy100dt+1</f>
        <v>8</v>
      </c>
      <c r="BB54" s="11">
        <f ca="1">IF(AND(tblData[Date]&gt;StartDt2US,ISNUMBER(tblData[[#This Row],[Days'# US]])),betaUS/(deltaUS+betaPodeltaUS*EXP(-betaUS*tblData[Days'# US])),"")</f>
        <v>199.1390193625501</v>
      </c>
      <c r="BC54" s="11">
        <f ca="1">IF(AND(tblData[Date]&gt;StartDt2US,ISNUMBER(tblData[US])),(tblData[[#This Row],[US LogiP(t)]]-tblData[US])^2,"")</f>
        <v>319.0146293313602</v>
      </c>
      <c r="BD54" s="137">
        <f ca="1">IF(AND(tblData[Date]&gt;=StartDt2US,ISNUMBER(tblData[[#This Row],[Days'# US]])),tblData[[#This Row],[US LogiP(t)]]/$BB$9,"")</f>
        <v>6.0486706172860085</v>
      </c>
      <c r="BE54" s="137">
        <f ca="1">IF(AND(ISNUMBER(tblData[US]),tblData[Date]&gt;StartDt2US),(tblData[US]-AVERAGE(tblData[US]))^2,"")</f>
        <v>327524859.05356079</v>
      </c>
      <c r="BF54" s="11">
        <f>tblData[[#This Row],[Date]]-US100dt+1</f>
        <v>-8</v>
      </c>
      <c r="BG54" s="20">
        <f ca="1">IF(tblData[Date]&gt;StartDt2SKorea,betaSKorea/(deltaSKorea+betaPodeltaSKorea*EXP(-betaSKorea*(tblData[Date]-StartDt2SKorea))),"")</f>
        <v>5838.1484819822235</v>
      </c>
      <c r="BH54" s="20">
        <f ca="1">IF(AND(tblData[Date]&gt;StartDt2SKorea,ISNUMBER(tblData[SKorea])),(tblData[[#This Row],[SKorea LogiP(t)]]-tblData[[#This Row],[SKorea]])^2,"")</f>
        <v>62425.78105578728</v>
      </c>
      <c r="BI54" s="20">
        <f ca="1">IF(tblData[Date]&gt;StartDt2SKorea,tblData[[#This Row],[SKorea LogiP(t)]]/$BG$9,"")</f>
        <v>1135.8265529148296</v>
      </c>
      <c r="BJ54" s="137">
        <f ca="1">IF(AND(ISNUMBER(tblData[SKorea]),tblData[Date]&gt;StartDt2SKorea),(tblData[SKorea]-AVERAGE(tblData[SKorea]))^2,"")</f>
        <v>5418993.818885142</v>
      </c>
      <c r="BK54" s="11">
        <f>tblData[[#This Row],[Date]]-SKorea100dt+1</f>
        <v>13</v>
      </c>
      <c r="BL54" s="137">
        <f ca="1">IF(AND(tblData[Date]&gt;StartDt2UK,ISNUMBER(tblData[Days'# UK])),betaUK/(deltaUK+betaPodeltaUK*EXP(-betaUK*tblData[Days'# UK])),"")</f>
        <v>155.37016564955113</v>
      </c>
      <c r="BM54" s="20">
        <f ca="1">IF(AND(tblData[Date]&gt;StartDt2UK,ISNUMBER(tblData[UK])),(tblData[[#This Row],[UK LogiP(t)]]-tblData[[#This Row],[UK]])^2,"")</f>
        <v>1550.0099432730954</v>
      </c>
      <c r="BN54" s="20">
        <f ca="1">IF(ISNUMBER(tblData[Days'# UK]),tblData[[#This Row],[UK LogiP(t)]]/$BL$9,"")</f>
        <v>23.385033962906551</v>
      </c>
      <c r="BO54" s="137">
        <f ca="1">IF(AND(ISNUMBER(tblData[UK]),tblData[Date]&gt;StartDt2UK),(tblData[UK]-AVERAGE(tblData[UK]))^2,"")</f>
        <v>8933267.0204081628</v>
      </c>
      <c r="BP54" s="11">
        <f>tblData[[#This Row],[Date]]-UK100dt</f>
        <v>-7</v>
      </c>
      <c r="BQ54" s="11">
        <f ca="1">IF(ISNUMBER(tblData[Days'# China]),betaChina/(deltaChina+betaPodeltaChina*EXP(-betaChina*tblData[Days'# China])),"")</f>
        <v>80914.607353693238</v>
      </c>
      <c r="BR54" s="11">
        <f ca="1">IF(ISNUMBER(tblData[China]),(tblData[[#This Row],[China LogiP(t)]]-tblData[[#This Row],[China]])^2,"")</f>
        <v>142587.31356321022</v>
      </c>
      <c r="BS54" s="11">
        <f ca="1">tblData[[#This Row],[China LogiP(t)]]/$BQ$9</f>
        <v>562.17099100913651</v>
      </c>
      <c r="BT54" s="137">
        <f ca="1">IF(AND(ISNUMBER(tblData[China]),tblData[Date]&gt;StartDt2China),(tblData[China]-AVERAGE(tblData[China]))^2,"")</f>
        <v>416488188.62150359</v>
      </c>
      <c r="BU54" s="11">
        <f>tblData[[#This Row],[Date]]-China100dt</f>
        <v>43</v>
      </c>
      <c r="BV54" s="106">
        <f>IF(ISNUMBER(tblData[Day'# Singapore]),betaSingapore/(deltaSingapore+betaPodeltaSingapore*EXP(-betaSingapore*tblData[Day'# Singapore])),"")</f>
        <v>121.40815811021615</v>
      </c>
      <c r="BW54" s="11">
        <f>IF(AND(ISNUMBER(tblData[Singapore]),tblData[Date]&gt;=StartDt2Singapore),(tblData[[#This Row],[Singapore LogiP(t)]]-tblData[[#This Row],[Singapore]])^2,"")</f>
        <v>19.431857924664413</v>
      </c>
      <c r="BX54" s="106">
        <f>IF(ISNUMBER(tblData[Day'# Singapore]),tblData[Singapore LogiP(t)]/$BV$9,"")</f>
        <v>207.53531300891652</v>
      </c>
      <c r="BY54" s="106">
        <f>IF(AND(ISNUMBER(tblData[Singapore]),tblData[Date]&gt;StartDt2Singapore),(tblData[Singapore]-AVERAGE(tblData[Singapore]))^2,"")</f>
        <v>6712.4556635588178</v>
      </c>
      <c r="BZ54" s="11">
        <f>tblData[[#This Row],[Date]]-Singapore100dt+1</f>
        <v>24</v>
      </c>
      <c r="CA54" s="11">
        <f ca="1">IF(AND(tblData[Date]&gt;StartDt2Generic,ISNUMBER(tblData[Day'# Generic])),betaGeneric/(deltaGeneric+betaPodeltaGeneric*EXP(-betaGeneric*tblData[Day'# Generic])),"")</f>
        <v>4.742883739667481</v>
      </c>
      <c r="CB54" s="106">
        <f ca="1">IF(AND(ISNUMBER(tblData[Generic]),tblData[Date]&gt;StartDt2Generic),(tblData[Generic LogiP(t)]-tblData[[#This Row],[Generic]])^2,"")</f>
        <v>3.0376437299973036</v>
      </c>
      <c r="CC54" s="11">
        <f ca="1">IF(AND(ISNUMBER(tblData[Generic]),tblData[Date]&gt;StartDt2Generic),tblData[Generic LogiP(t)]/$CA$9,"")</f>
        <v>9.0686113569167901</v>
      </c>
      <c r="CD54" s="106">
        <f ca="1">IF(AND(ISNUMBER(tblData[Generic]),tblData[Date]&gt;StartDt2Generic),(tblData[Generic]-AVERAGE(tblData[Generic]))^2,"")</f>
        <v>14689.44</v>
      </c>
      <c r="CE54" s="11">
        <f>tblData[[#This Row],[Date]]-Generic100dt+1</f>
        <v>-15</v>
      </c>
      <c r="CF54">
        <v>0</v>
      </c>
      <c r="CG54" s="11"/>
      <c r="CH54" s="11"/>
      <c r="CI54" s="11" t="str">
        <f>IF(ISNUMBER(tblData[[#This Row],[NSW Under Investigation'']]),tblData[[#This Row],[NSW Under Investigation'']]-CG53,"")</f>
        <v/>
      </c>
      <c r="CJ54" s="11"/>
      <c r="CK54" s="11" t="str">
        <f>IF(AND(tblData[[#This Row],[NSW Test Day Number]]&gt;0,ISNUMBER(tblData[[#This Row],[NSW Test Day Number]])),betaTests/(deltaTests+betaPodeltaTests*EXP(-betaTests*tblData[[#This Row],[NSW Test Day Number]])),"")</f>
        <v/>
      </c>
      <c r="CL54" s="11" t="str">
        <f>IF(tblData[Tests]&gt;0,(tblData[[#This Row],[Tests]]-tblData[[#This Row],[NSW Test Logi]])^2,"")</f>
        <v/>
      </c>
      <c r="CM54" s="106" t="str">
        <f>IF(AND(ISNUMBER(tblData[Tests]),tblData[Date]&gt;StartDt2Tests),(tblData[Tests]-AVERAGE(tblData[Tests]))^2,"")</f>
        <v/>
      </c>
      <c r="CN54" s="11">
        <f>IF(ISNUMBER(tblData[Tests]),tblData[Tests]/$CN$9/100,"")</f>
        <v>0</v>
      </c>
      <c r="CO54" s="11" t="str">
        <f>IF(AND(tblData[[#This Row],[NSW Test Day Number]]&gt;0,ISNUMBER(tblData[[#This Row],[NSW Test Day Number]])),TestsLogestB*TestsLogestM^tblData[[#This Row],[NSW Test Day Number]],"")</f>
        <v/>
      </c>
      <c r="CP54" s="11" t="str">
        <f>IF(AND(tblData[[#This Row],[NSW Test Day Number]]&gt;0,ISNUMBER(tblData[Tests])),(tblData[Tests]-tblData[[#This Row],[NSW Test Per Capita]])^2,"")</f>
        <v/>
      </c>
      <c r="CQ54" s="39">
        <f ca="1">IF(AND(tblData[Day '# NSW]&gt;0,ISNUMBER(tblData[[#This Row],[Day '# NSW]])),NSWLogestB*NSWLogestM^tblData[[#This Row],[Day '# NSW]]/$CR$9,"")</f>
        <v>71.737014167797398</v>
      </c>
      <c r="CR54" s="39">
        <f ca="1">IF(AND(ISNUMBER(tblData[NSW]),tblData[Date]&gt;StartDt2NSW),(tblData[NSW]/$CR$9-tblData[[#This Row],[NSW Cases LogEst]])^2,"")</f>
        <v>1981.0770205313261</v>
      </c>
      <c r="CS54" s="11"/>
      <c r="CT54" s="11"/>
      <c r="CW54" s="25"/>
      <c r="CX54"/>
      <c r="DK54" s="25"/>
      <c r="DL54" s="25"/>
      <c r="DM54" s="25"/>
      <c r="DR54"/>
      <c r="DS54"/>
      <c r="DT54"/>
      <c r="DU54"/>
      <c r="EB54" s="25"/>
      <c r="EC54" s="25"/>
      <c r="ED54" s="25"/>
      <c r="EE54" s="25"/>
      <c r="EK54"/>
      <c r="EL54"/>
      <c r="EM54"/>
      <c r="EN54"/>
      <c r="EO54"/>
      <c r="EP54" s="25"/>
      <c r="ER54" s="25"/>
      <c r="ES54" s="25"/>
      <c r="ET54"/>
      <c r="EU54" s="26" t="s">
        <v>153</v>
      </c>
      <c r="EV54" s="69">
        <v>43916.899039351854</v>
      </c>
      <c r="EW54" s="26">
        <v>43855</v>
      </c>
      <c r="EX54" s="26">
        <v>43855</v>
      </c>
      <c r="EY54" s="25">
        <v>1</v>
      </c>
      <c r="EZ54" s="25">
        <v>0.20855545594562394</v>
      </c>
      <c r="FA54" s="81">
        <v>2.1724930507479493E-5</v>
      </c>
      <c r="FB54" s="21">
        <v>4.178927841893056E-3</v>
      </c>
      <c r="FC54" s="82">
        <v>9599.8215448294359</v>
      </c>
      <c r="FD54" s="82">
        <v>15.099122382386785</v>
      </c>
      <c r="FE54" s="26">
        <v>49.906428885412708</v>
      </c>
      <c r="FF54" s="84">
        <v>2.1724930507479492E-2</v>
      </c>
      <c r="FG54" s="26">
        <v>43916</v>
      </c>
      <c r="FH54" s="84" t="s">
        <v>1560</v>
      </c>
      <c r="FI54" s="84">
        <v>9599.8215448294359</v>
      </c>
      <c r="FJ54" s="84">
        <v>1219</v>
      </c>
      <c r="FK54" s="25" t="s">
        <v>1489</v>
      </c>
      <c r="FL54" s="26">
        <v>43916</v>
      </c>
      <c r="FM54" s="25">
        <v>62</v>
      </c>
      <c r="FN54" s="25" t="s">
        <v>1561</v>
      </c>
      <c r="FO54" s="25"/>
      <c r="FP54" s="72" t="s">
        <v>1562</v>
      </c>
      <c r="FR54" s="72" t="s">
        <v>1563</v>
      </c>
      <c r="FS54" s="19">
        <v>1508.6633663366335</v>
      </c>
      <c r="FT54" s="72"/>
      <c r="FU54" s="25"/>
      <c r="FV54" s="142"/>
      <c r="FW54" s="25"/>
      <c r="FX54" s="25" t="s">
        <v>1544</v>
      </c>
      <c r="FY54" s="25"/>
      <c r="FZ54" s="25"/>
      <c r="GA54" s="25"/>
      <c r="GC54" s="25"/>
    </row>
    <row r="55" spans="2:220" x14ac:dyDescent="0.25">
      <c r="B55" s="1">
        <v>43896</v>
      </c>
      <c r="C55">
        <v>0</v>
      </c>
      <c r="D55" s="25">
        <v>0</v>
      </c>
      <c r="E55">
        <v>26</v>
      </c>
      <c r="F55">
        <v>0</v>
      </c>
      <c r="G55">
        <v>13</v>
      </c>
      <c r="H55">
        <v>7</v>
      </c>
      <c r="I55">
        <v>1</v>
      </c>
      <c r="J55">
        <v>10</v>
      </c>
      <c r="K55">
        <v>3</v>
      </c>
      <c r="L55" s="12">
        <f>IF(ISNUMBER(tblData[[#This Row],[NSW]]),tblData[[#This Row],[New South Wales]]/$L$9,"")</f>
        <v>32.178217821782177</v>
      </c>
      <c r="M55" s="25">
        <v>4636</v>
      </c>
      <c r="N55" s="106">
        <f>IF(ISNUMBER(tblData[Italy]),tblData[Italy]/$N$9,"")</f>
        <v>766.47102587418374</v>
      </c>
      <c r="O55">
        <v>262</v>
      </c>
      <c r="P55" s="106">
        <f>IF(ISNUMBER(tblData[US]),tblData[US]/$P$9,"")</f>
        <v>7.9580170013981757</v>
      </c>
      <c r="Q55">
        <v>6593</v>
      </c>
      <c r="R55" s="106">
        <f>IF(ISNUMBER(tblData[SKorea]),tblData[SKorea]/$R$9,"")</f>
        <v>1282.6848249027239</v>
      </c>
      <c r="S55">
        <v>164</v>
      </c>
      <c r="T55" s="106">
        <f>IF(ISNUMBER(tblData[UK]),tblData[UK]/$T$9,"")</f>
        <v>24.683925346177002</v>
      </c>
      <c r="U55">
        <v>80690</v>
      </c>
      <c r="V55" s="106">
        <f>IF(ISNUMBER(tblData[China]),tblData[China]/$V$9,"")</f>
        <v>560.61048490593407</v>
      </c>
      <c r="W55">
        <v>130</v>
      </c>
      <c r="X55" s="106">
        <f>IF(ISNUMBER(tblData[Singapore]),tblData[Singapore]/$X$9,"")</f>
        <v>222.22222222222223</v>
      </c>
      <c r="Y55">
        <v>4</v>
      </c>
      <c r="Z55" s="20">
        <f>IF(AND(LEN(tblData[Generic])&gt;0,ISNUMBER(tblData[Generic])),tblData[Generic]/$Z$9,"")</f>
        <v>7.6481835564053533</v>
      </c>
      <c r="AA55" s="25">
        <f ca="1">IF(tblData[[#This Row],[Date]]&lt;StartDt2Italy,"",tblData[[#This Row],[Date]]-ItalyStart)</f>
        <v>36</v>
      </c>
      <c r="AB55" s="25">
        <f ca="1">IF(tblData[[#This Row],[Date]]&lt;=StartDt2US,"",tblData[[#This Row],[Date]]-USStart)</f>
        <v>44</v>
      </c>
      <c r="AC55" s="25">
        <f ca="1">IF(tblData[[#This Row],[Date]]&lt;StartDt2China,"",tblData[[#This Row],[Date]]-ChinaStart)</f>
        <v>44</v>
      </c>
      <c r="AD55" s="25">
        <f>IF(tblData[[#This Row],[Date]]&lt;=SKoreaStart,"",tblData[[#This Row],[Date]]-SKoreaStart)</f>
        <v>44</v>
      </c>
      <c r="AE55" s="25">
        <f ca="1">IF(tblData[[#This Row],[Date]]&lt;=StartDt2UK,"",tblData[[#This Row],[Date]]-UKStart)</f>
        <v>36</v>
      </c>
      <c r="AF55" s="25">
        <f>IF(tblData[[#This Row],[Date]]&lt;StartDt2Singapore,"",tblData[[#This Row],[Date]]-SingaporeStart)</f>
        <v>43</v>
      </c>
      <c r="AG55" s="25">
        <f ca="1">IF(tblData[[#This Row],[Date]]&lt;StartDt2Generic,"",tblData[[#This Row],[Date]]-GenericStart)</f>
        <v>44</v>
      </c>
      <c r="AH55">
        <f ca="1">IF(tblData[Date]&gt;StartDt2Au,tblData[Date]-AuStart,"")</f>
        <v>41</v>
      </c>
      <c r="AI55" s="25">
        <f>IF(tblData[New South Wales]&gt;=0,SUM(tblData[[#This Row],[Australian Capital Territory]:[Western Australia]]),"")</f>
        <v>60</v>
      </c>
      <c r="AJ55" s="12">
        <f>IF(ISNUMBER(tblData[Au]),tblData[Au]/$AE$9,"")</f>
        <v>23.655574830468382</v>
      </c>
      <c r="AK55" s="19">
        <f ca="1">IF(ISNUMBER(tblData[[#This Row],[Day'# Aust]]),betaAu/(deltaAu+betaPodeltaAu*EXP(-betaAu*tblData[[#This Row],[Day'# Aust]])),"")</f>
        <v>31.925304505598309</v>
      </c>
      <c r="AL55" s="62">
        <f ca="1">IF(ISNUMBER(tblData[Day'# Aust]),tblData[Au LogiP(t)]/$AJ$9,"")</f>
        <v>12.586857161961168</v>
      </c>
      <c r="AM55" s="11">
        <f ca="1">IF(AND(tblData[Date]&gt;StartDt2Au,ISNUMBER(tblData[NSW])),(tblData[[#This Row],[Au LogiP(t)]]-tblData[[#This Row],[Au]])^2,"")</f>
        <v>788.18852710337865</v>
      </c>
      <c r="AN55" s="11">
        <f ca="1">IF(AND(ISNUMBER(tblData[Au]),tblData[Date]&gt;StartDt2Au),(tblData[Au]-AVERAGE(tblData[Au]))^2,"")</f>
        <v>146961.6458025148</v>
      </c>
      <c r="AO55" s="11">
        <f>tblData[[#This Row],[Date]]-Au100dt</f>
        <v>-8</v>
      </c>
      <c r="AP55">
        <f ca="1">IF(tblData[Date]&gt;StartDt2NSW,tblData[Date]-StartDt2NSW,"")</f>
        <v>41</v>
      </c>
      <c r="AQ55" s="25">
        <f>IF(tblData[[#This Row],[New South Wales]]&gt;0,tblData[[#This Row],[New South Wales]],"")</f>
        <v>26</v>
      </c>
      <c r="AR55" s="44">
        <f ca="1">IF(tblData[Date]&gt;StartDt2NSW,betaNSW/(deltaNSW+betaPodeltaNSW*EXP(-betaNSW*tblData[[#This Row],[Day '# NSW]])),"")</f>
        <v>17.053358236428981</v>
      </c>
      <c r="AS55" s="12">
        <f ca="1">IF(AND(ISNUMBER(tblData[NSW]),tblData[Date]&gt;StartDt2NSW),(tblData[[#This Row],[NSW LogiP(t)]]-tblData[[#This Row],[NSW]])^2,"")</f>
        <v>80.042398845673162</v>
      </c>
      <c r="AT55" s="12">
        <f ca="1">IF(AND(tblData[Date]&gt;StartDt2NSW,ISNUMBER(tblData[Day'# Aust])),tblData[NSW LogiP(t)]/$AR$9,"")</f>
        <v>21.105641381719035</v>
      </c>
      <c r="AU55" s="11">
        <f>tblData[[#This Row],[Date]]-NSW100dt+1</f>
        <v>-4</v>
      </c>
      <c r="AV55" s="11">
        <f ca="1">IF(AND(ISNUMBER(tblData[NSW]),tblData[Date]&gt;StartDt2NSW),(tblData[NSW]-AVERAGE(tblData[NSW]))^2,"")</f>
        <v>71723.049989498017</v>
      </c>
      <c r="AW55" s="39">
        <f ca="1">IF(AND(tblData[Date]&gt;StartDt2Italy,ISNUMBER(tblData[Days'# Italy])),betaItaly/(deltaItaly+betaPodeltaItaly*EXP(-betaItaly*tblData[Days'# Italy])),"")</f>
        <v>4355.9150219392213</v>
      </c>
      <c r="AX55" s="11">
        <f ca="1">IF(AND(tblData[Date]&gt;StartDt2Italy,ISNUMBER(tblData[Italy])),(tblData[[#This Row],[Italy LogiP(t)]]-tblData[[#This Row],[Italy]])^2,"")</f>
        <v>78447.594935306872</v>
      </c>
      <c r="AY55" s="39">
        <f ca="1">IF(AND(tblData[Date]&gt;StartDt2Italy,ISNUMBER(tblData[Days'# Italy])),tblData[[#This Row],[Italy LogiP(t)]]/$AW$9,"")</f>
        <v>720.16450722314983</v>
      </c>
      <c r="AZ55" s="39">
        <f ca="1">IF(AND(ISNUMBER(tblData[Italy]),tblData[Date]&gt;StartDt2Italy),(tblData[Italy]-AVERAGE(tblData[Italy]))^2,"")</f>
        <v>267086385.49382713</v>
      </c>
      <c r="BA55" s="11">
        <f>tblData[[#This Row],[Date]]-Italy100dt+1</f>
        <v>9</v>
      </c>
      <c r="BB55" s="11">
        <f ca="1">IF(AND(tblData[Date]&gt;StartDt2US,ISNUMBER(tblData[[#This Row],[Days'# US]])),betaUS/(deltaUS+betaPodeltaUS*EXP(-betaUS*tblData[Days'# US])),"")</f>
        <v>264.45447446062929</v>
      </c>
      <c r="BC55" s="11">
        <f ca="1">IF(AND(tblData[Date]&gt;StartDt2US,ISNUMBER(tblData[US])),(tblData[[#This Row],[US LogiP(t)]]-tblData[US])^2,"")</f>
        <v>6.0244448778814208</v>
      </c>
      <c r="BD55" s="137">
        <f ca="1">IF(AND(tblData[Date]&gt;=StartDt2US,ISNUMBER(tblData[[#This Row],[Days'# US]])),tblData[[#This Row],[US LogiP(t)]]/$BB$9,"")</f>
        <v>8.0325694803568997</v>
      </c>
      <c r="BE55" s="137">
        <f ca="1">IF(AND(ISNUMBER(tblData[US]),tblData[Date]&gt;StartDt2US),(tblData[US]-AVERAGE(tblData[US]))^2,"")</f>
        <v>325898095.74370164</v>
      </c>
      <c r="BF55" s="11">
        <f>tblData[[#This Row],[Date]]-US100dt+1</f>
        <v>-7</v>
      </c>
      <c r="BG55" s="20">
        <f ca="1">IF(tblData[Date]&gt;StartDt2SKorea,betaSKorea/(deltaSKorea+betaPodeltaSKorea*EXP(-betaSKorea*(tblData[Date]-StartDt2SKorea))),"")</f>
        <v>6355.6852641187043</v>
      </c>
      <c r="BH55" s="20">
        <f ca="1">IF(AND(tblData[Date]&gt;StartDt2SKorea,ISNUMBER(tblData[SKorea])),(tblData[[#This Row],[SKorea LogiP(t)]]-tblData[[#This Row],[SKorea]])^2,"")</f>
        <v>56318.283866409161</v>
      </c>
      <c r="BI55" s="20">
        <f ca="1">IF(tblData[Date]&gt;StartDt2SKorea,tblData[[#This Row],[SKorea LogiP(t)]]/$BG$9,"")</f>
        <v>1236.5146428246508</v>
      </c>
      <c r="BJ55" s="137">
        <f ca="1">IF(AND(ISNUMBER(tblData[SKorea]),tblData[Date]&gt;StartDt2SKorea),(tblData[SKorea]-AVERAGE(tblData[SKorea]))^2,"")</f>
        <v>8025170.7907161284</v>
      </c>
      <c r="BK55" s="11">
        <f>tblData[[#This Row],[Date]]-SKorea100dt+1</f>
        <v>14</v>
      </c>
      <c r="BL55" s="137">
        <f ca="1">IF(AND(tblData[Date]&gt;StartDt2UK,ISNUMBER(tblData[Days'# UK])),betaUK/(deltaUK+betaPodeltaUK*EXP(-betaUK*tblData[Days'# UK])),"")</f>
        <v>192.28716347705017</v>
      </c>
      <c r="BM55" s="20">
        <f ca="1">IF(AND(tblData[Date]&gt;StartDt2UK,ISNUMBER(tblData[UK])),(tblData[[#This Row],[UK LogiP(t)]]-tblData[[#This Row],[UK]])^2,"")</f>
        <v>800.16361757736115</v>
      </c>
      <c r="BN55" s="20">
        <f ca="1">IF(ISNUMBER(tblData[Days'# UK]),tblData[[#This Row],[UK LogiP(t)]]/$BL$9,"")</f>
        <v>28.941475538388044</v>
      </c>
      <c r="BO55" s="137">
        <f ca="1">IF(AND(ISNUMBER(tblData[UK]),tblData[Date]&gt;StartDt2UK),(tblData[UK]-AVERAGE(tblData[UK]))^2,"")</f>
        <v>8648640.7346938755</v>
      </c>
      <c r="BP55" s="11">
        <f>tblData[[#This Row],[Date]]-UK100dt</f>
        <v>-6</v>
      </c>
      <c r="BQ55" s="11">
        <f ca="1">IF(ISNUMBER(tblData[Days'# China]),betaChina/(deltaChina+betaPodeltaChina*EXP(-betaChina*tblData[Days'# China])),"")</f>
        <v>80975.723140878254</v>
      </c>
      <c r="BR55" s="11">
        <f ca="1">IF(ISNUMBER(tblData[China]),(tblData[[#This Row],[China LogiP(t)]]-tblData[[#This Row],[China]])^2,"")</f>
        <v>81637.713233334362</v>
      </c>
      <c r="BS55" s="11">
        <f ca="1">tblData[[#This Row],[China LogiP(t)]]/$BQ$9</f>
        <v>562.59560559693182</v>
      </c>
      <c r="BT55" s="137">
        <f ca="1">IF(AND(ISNUMBER(tblData[China]),tblData[Date]&gt;StartDt2China),(tblData[China]-AVERAGE(tblData[China]))^2,"")</f>
        <v>422756458.55108106</v>
      </c>
      <c r="BU55" s="11">
        <f>tblData[[#This Row],[Date]]-China100dt</f>
        <v>44</v>
      </c>
      <c r="BV55" s="106">
        <f>IF(ISNUMBER(tblData[Day'# Singapore]),betaSingapore/(deltaSingapore+betaPodeltaSingapore*EXP(-betaSingapore*tblData[Day'# Singapore])),"")</f>
        <v>131.45647169552785</v>
      </c>
      <c r="BW55" s="11">
        <f>IF(AND(ISNUMBER(tblData[Singapore]),tblData[Date]&gt;=StartDt2Singapore),(tblData[[#This Row],[Singapore LogiP(t)]]-tblData[[#This Row],[Singapore]])^2,"")</f>
        <v>2.121309799873778</v>
      </c>
      <c r="BX55" s="106">
        <f>IF(ISNUMBER(tblData[Day'# Singapore]),tblData[Singapore LogiP(t)]/$BV$9,"")</f>
        <v>224.71191742825275</v>
      </c>
      <c r="BY55" s="106">
        <f>IF(AND(ISNUMBER(tblData[Singapore]),tblData[Date]&gt;StartDt2Singapore),(tblData[Singapore]-AVERAGE(tblData[Singapore]))^2,"")</f>
        <v>4751.2866494743112</v>
      </c>
      <c r="BZ55" s="11">
        <f>tblData[[#This Row],[Date]]-Singapore100dt+1</f>
        <v>25</v>
      </c>
      <c r="CA55" s="11">
        <f ca="1">IF(AND(tblData[Date]&gt;StartDt2Generic,ISNUMBER(tblData[Day'# Generic])),betaGeneric/(deltaGeneric+betaPodeltaGeneric*EXP(-betaGeneric*tblData[Day'# Generic])),"")</f>
        <v>5.7732321819634578</v>
      </c>
      <c r="CB55" s="106">
        <f ca="1">IF(AND(ISNUMBER(tblData[Generic]),tblData[Date]&gt;StartDt2Generic),(tblData[Generic LogiP(t)]-tblData[[#This Row],[Generic]])^2,"")</f>
        <v>3.1443523711508856</v>
      </c>
      <c r="CC55" s="11">
        <f ca="1">IF(AND(ISNUMBER(tblData[Generic]),tblData[Date]&gt;StartDt2Generic),tblData[Generic LogiP(t)]/$CA$9,"")</f>
        <v>11.038684860350779</v>
      </c>
      <c r="CD55" s="106">
        <f ca="1">IF(AND(ISNUMBER(tblData[Generic]),tblData[Date]&gt;StartDt2Generic),(tblData[Generic]-AVERAGE(tblData[Generic]))^2,"")</f>
        <v>14448.04</v>
      </c>
      <c r="CE55" s="11">
        <f>tblData[[#This Row],[Date]]-Generic100dt+1</f>
        <v>-14</v>
      </c>
      <c r="CF55">
        <v>6217</v>
      </c>
      <c r="CG55" s="11">
        <v>545</v>
      </c>
      <c r="CH55" s="11">
        <v>0</v>
      </c>
      <c r="CI55" s="11">
        <f>IF(ISNUMBER(tblData[[#This Row],[NSW Under Investigation'']]),tblData[[#This Row],[NSW Under Investigation'']]-CG54,"")</f>
        <v>545</v>
      </c>
      <c r="CJ55" s="11">
        <f>IF(tblData[[#This Row],[Date]]&gt;myData!TestsStart,tblData[[#This Row],[Date]]-myData!TestsStart,"")</f>
        <v>1</v>
      </c>
      <c r="CK55" s="11">
        <f>IF(AND(tblData[[#This Row],[NSW Test Day Number]]&gt;0,ISNUMBER(tblData[[#This Row],[NSW Test Day Number]])),betaTests/(deltaTests+betaPodeltaTests*EXP(-betaTests*tblData[[#This Row],[NSW Test Day Number]])),"")</f>
        <v>5088.9634295604292</v>
      </c>
      <c r="CL55" s="11">
        <f>IF(tblData[Tests]&gt;0,(tblData[[#This Row],[Tests]]-tblData[[#This Row],[NSW Test Logi]])^2,"")</f>
        <v>1272466.5042490689</v>
      </c>
      <c r="CM55" s="106" t="str">
        <f>IF(AND(ISNUMBER(tblData[Tests]),tblData[Date]&gt;StartDt2Tests),(tblData[Tests]-AVERAGE(tblData[Tests]))^2,"")</f>
        <v/>
      </c>
      <c r="CN55" s="11">
        <f>IF(ISNUMBER(tblData[Tests]),tblData[Tests]/$CN$9/100,"")</f>
        <v>76.943069306930695</v>
      </c>
      <c r="CO55" s="106">
        <f ca="1">IF(AND(tblData[[#This Row],[NSW Test Day Number]]&gt;0,ISNUMBER(tblData[[#This Row],[NSW Test Day Number]])),TestsLogestB*TestsLogestM^tblData[[#This Row],[NSW Test Day Number]],"")</f>
        <v>6759.0222605434228</v>
      </c>
      <c r="CP55" s="106">
        <f>IF(AND(tblData[[#This Row],[NSW Test Day Number]]&gt;0,ISNUMBER(tblData[Tests])),(tblData[Tests]-tblData[[#This Row],[NSW Test Per Capita]])^2,"")</f>
        <v>37700299.112151995</v>
      </c>
      <c r="CQ55" s="39">
        <f ca="1">IF(AND(tblData[Day '# NSW]&gt;0,ISNUMBER(tblData[[#This Row],[Day '# NSW]])),NSWLogestB*NSWLogestM^tblData[[#This Row],[Day '# NSW]]/$CR$9,"")</f>
        <v>79.838911735442068</v>
      </c>
      <c r="CR55" s="39">
        <f ca="1">IF(AND(ISNUMBER(tblData[NSW]),tblData[Date]&gt;StartDt2NSW),(tblData[NSW]/$CR$9-tblData[[#This Row],[NSW Cases LogEst]])^2,"")</f>
        <v>2271.5417443315769</v>
      </c>
      <c r="CS55" s="106"/>
      <c r="CT55" s="11"/>
      <c r="CW55" s="25"/>
      <c r="CX55"/>
      <c r="DK55" s="25"/>
      <c r="DL55" s="25"/>
      <c r="DM55" s="25"/>
      <c r="DR55"/>
      <c r="DS55"/>
      <c r="DT55"/>
      <c r="DU55"/>
      <c r="EB55" s="25"/>
      <c r="EC55" s="25"/>
      <c r="ED55" s="25"/>
      <c r="EE55" s="25"/>
      <c r="EK55"/>
      <c r="EL55"/>
      <c r="EM55"/>
      <c r="EN55"/>
      <c r="EO55"/>
      <c r="EP55" s="25"/>
      <c r="ER55" s="25"/>
      <c r="ES55" s="25"/>
      <c r="ET55"/>
      <c r="EU55" s="26" t="s">
        <v>153</v>
      </c>
      <c r="EV55" s="69">
        <v>43918.900648148148</v>
      </c>
      <c r="EW55" s="26">
        <v>43855</v>
      </c>
      <c r="EX55" s="26">
        <v>43855</v>
      </c>
      <c r="EY55" s="25">
        <v>1</v>
      </c>
      <c r="EZ55" s="25">
        <v>0.22354413382130045</v>
      </c>
      <c r="FA55" s="81">
        <v>4.9579043392420022E-5</v>
      </c>
      <c r="FB55" s="21">
        <v>1.9499490006300471E-3</v>
      </c>
      <c r="FC55" s="82">
        <v>4508.8432233744425</v>
      </c>
      <c r="FD55" s="82">
        <v>15.455339831983526</v>
      </c>
      <c r="FE55" s="26">
        <v>114.64096603165781</v>
      </c>
      <c r="FF55" s="84">
        <v>4.9579043392420023E-2</v>
      </c>
      <c r="FG55" s="26">
        <v>43918</v>
      </c>
      <c r="FH55" s="84" t="s">
        <v>1843</v>
      </c>
      <c r="FI55" s="84">
        <v>4508.8432233744425</v>
      </c>
      <c r="FJ55" s="84">
        <v>1617</v>
      </c>
      <c r="FK55" s="25" t="s">
        <v>1844</v>
      </c>
      <c r="FL55" s="26">
        <v>43918</v>
      </c>
      <c r="FM55" s="25">
        <v>64</v>
      </c>
      <c r="FN55" s="25" t="s">
        <v>1845</v>
      </c>
      <c r="FO55" s="25"/>
      <c r="FP55" s="72" t="s">
        <v>1846</v>
      </c>
      <c r="FR55" s="72" t="s">
        <v>1847</v>
      </c>
      <c r="FS55" s="19">
        <v>2001.2376237623762</v>
      </c>
      <c r="FT55" s="72"/>
      <c r="FU55" s="25"/>
      <c r="FV55" s="142"/>
      <c r="FW55" s="25"/>
      <c r="FX55" s="25" t="s">
        <v>1819</v>
      </c>
      <c r="FY55" s="25"/>
      <c r="FZ55" s="25"/>
      <c r="GA55" s="25"/>
      <c r="GC55" s="25"/>
    </row>
    <row r="56" spans="2:220" x14ac:dyDescent="0.25">
      <c r="B56" s="1">
        <v>43897</v>
      </c>
      <c r="C56">
        <v>0</v>
      </c>
      <c r="D56" s="25">
        <v>0</v>
      </c>
      <c r="E56">
        <v>28</v>
      </c>
      <c r="F56">
        <v>0</v>
      </c>
      <c r="G56">
        <v>13</v>
      </c>
      <c r="H56">
        <v>7</v>
      </c>
      <c r="I56">
        <v>1</v>
      </c>
      <c r="J56">
        <v>11</v>
      </c>
      <c r="K56">
        <v>3</v>
      </c>
      <c r="L56" s="12">
        <f>IF(ISNUMBER(tblData[[#This Row],[NSW]]),tblData[[#This Row],[New South Wales]]/$L$9,"")</f>
        <v>34.653465346534652</v>
      </c>
      <c r="M56" s="25">
        <v>5883</v>
      </c>
      <c r="N56" s="106">
        <f>IF(ISNUMBER(tblData[Italy]),tblData[Italy]/$N$9,"")</f>
        <v>972.63784409357697</v>
      </c>
      <c r="O56">
        <v>402</v>
      </c>
      <c r="P56" s="106">
        <f>IF(ISNUMBER(tblData[US]),tblData[US]/$P$9,"")</f>
        <v>12.210392498328499</v>
      </c>
      <c r="Q56">
        <v>7041</v>
      </c>
      <c r="R56" s="106">
        <f>IF(ISNUMBER(tblData[SKorea]),tblData[SKorea]/$R$9,"")</f>
        <v>1369.8443579766538</v>
      </c>
      <c r="S56">
        <v>207</v>
      </c>
      <c r="T56" s="106">
        <f>IF(ISNUMBER(tblData[UK]),tblData[UK]/$T$9,"")</f>
        <v>31.155930162552679</v>
      </c>
      <c r="U56">
        <v>80770</v>
      </c>
      <c r="V56" s="106">
        <f>IF(ISNUMBER(tblData[China]),tblData[China]/$V$9,"")</f>
        <v>561.1663014729495</v>
      </c>
      <c r="W56">
        <v>138</v>
      </c>
      <c r="X56" s="106">
        <f>IF(ISNUMBER(tblData[Singapore]),tblData[Singapore]/$X$9,"")</f>
        <v>235.89743589743591</v>
      </c>
      <c r="Y56">
        <v>5</v>
      </c>
      <c r="Z56" s="20">
        <f>IF(AND(LEN(tblData[Generic])&gt;0,ISNUMBER(tblData[Generic])),tblData[Generic]/$Z$9,"")</f>
        <v>9.5602294455066925</v>
      </c>
      <c r="AA56" s="25">
        <f ca="1">IF(tblData[[#This Row],[Date]]&lt;StartDt2Italy,"",tblData[[#This Row],[Date]]-ItalyStart)</f>
        <v>37</v>
      </c>
      <c r="AB56" s="25">
        <f ca="1">IF(tblData[[#This Row],[Date]]&lt;=StartDt2US,"",tblData[[#This Row],[Date]]-USStart)</f>
        <v>45</v>
      </c>
      <c r="AC56" s="25">
        <f ca="1">IF(tblData[[#This Row],[Date]]&lt;StartDt2China,"",tblData[[#This Row],[Date]]-ChinaStart)</f>
        <v>45</v>
      </c>
      <c r="AD56" s="25">
        <f>IF(tblData[[#This Row],[Date]]&lt;=SKoreaStart,"",tblData[[#This Row],[Date]]-SKoreaStart)</f>
        <v>45</v>
      </c>
      <c r="AE56" s="25">
        <f ca="1">IF(tblData[[#This Row],[Date]]&lt;=StartDt2UK,"",tblData[[#This Row],[Date]]-UKStart)</f>
        <v>37</v>
      </c>
      <c r="AF56" s="25">
        <f>IF(tblData[[#This Row],[Date]]&lt;StartDt2Singapore,"",tblData[[#This Row],[Date]]-SingaporeStart)</f>
        <v>44</v>
      </c>
      <c r="AG56" s="25">
        <f ca="1">IF(tblData[[#This Row],[Date]]&lt;StartDt2Generic,"",tblData[[#This Row],[Date]]-GenericStart)</f>
        <v>45</v>
      </c>
      <c r="AH56">
        <f ca="1">IF(tblData[Date]&gt;StartDt2Au,tblData[Date]-AuStart,"")</f>
        <v>42</v>
      </c>
      <c r="AI56" s="25">
        <f>IF(tblData[New South Wales]&gt;=0,SUM(tblData[[#This Row],[Australian Capital Territory]:[Western Australia]]),"")</f>
        <v>63</v>
      </c>
      <c r="AJ56" s="12">
        <f>IF(ISNUMBER(tblData[Au]),tblData[Au]/$AE$9,"")</f>
        <v>24.838353571991799</v>
      </c>
      <c r="AK56" s="19">
        <f ca="1">IF(ISNUMBER(tblData[[#This Row],[Day'# Aust]]),betaAu/(deltaAu+betaPodeltaAu*EXP(-betaAu*tblData[[#This Row],[Day'# Aust]])),"")</f>
        <v>41.058322475263914</v>
      </c>
      <c r="AL56" s="62">
        <f ca="1">IF(ISNUMBER(tblData[Day'# Aust]),tblData[Au LogiP(t)]/$AJ$9,"")</f>
        <v>16.187636995451786</v>
      </c>
      <c r="AM56" s="11">
        <f ca="1">IF(AND(tblData[Date]&gt;StartDt2Au,ISNUMBER(tblData[NSW])),(tblData[[#This Row],[Au LogiP(t)]]-tblData[[#This Row],[Au]])^2,"")</f>
        <v>481.43721259950871</v>
      </c>
      <c r="AN56" s="11">
        <f ca="1">IF(AND(ISNUMBER(tblData[Au]),tblData[Date]&gt;StartDt2Au),(tblData[Au]-AVERAGE(tblData[Au]))^2,"")</f>
        <v>144670.51118713018</v>
      </c>
      <c r="AO56" s="11">
        <f>tblData[[#This Row],[Date]]-Au100dt</f>
        <v>-7</v>
      </c>
      <c r="AP56">
        <f ca="1">IF(tblData[Date]&gt;StartDt2NSW,tblData[Date]-StartDt2NSW,"")</f>
        <v>42</v>
      </c>
      <c r="AQ56" s="25">
        <f>IF(tblData[[#This Row],[New South Wales]]&gt;0,tblData[[#This Row],[New South Wales]],"")</f>
        <v>28</v>
      </c>
      <c r="AR56" s="44">
        <f ca="1">IF(tblData[Date]&gt;StartDt2NSW,betaNSW/(deltaNSW+betaPodeltaNSW*EXP(-betaNSW*tblData[[#This Row],[Day '# NSW]])),"")</f>
        <v>21.598469939497942</v>
      </c>
      <c r="AS56" s="12">
        <f ca="1">IF(AND(ISNUMBER(tblData[NSW]),tblData[Date]&gt;StartDt2NSW),(tblData[[#This Row],[NSW LogiP(t)]]-tblData[[#This Row],[NSW]])^2,"")</f>
        <v>40.979587115511478</v>
      </c>
      <c r="AT56" s="12">
        <f ca="1">IF(AND(tblData[Date]&gt;StartDt2NSW,ISNUMBER(tblData[Day'# Aust])),tblData[NSW LogiP(t)]/$AR$9,"")</f>
        <v>26.730779628091511</v>
      </c>
      <c r="AU56" s="11">
        <f>tblData[[#This Row],[Date]]-NSW100dt+1</f>
        <v>-3</v>
      </c>
      <c r="AV56" s="11">
        <f ca="1">IF(AND(ISNUMBER(tblData[NSW]),tblData[Date]&gt;StartDt2NSW),(tblData[NSW]-AVERAGE(tblData[NSW]))^2,"")</f>
        <v>70655.803612686417</v>
      </c>
      <c r="AW56" s="39">
        <f ca="1">IF(AND(tblData[Date]&gt;StartDt2Italy,ISNUMBER(tblData[Days'# Italy])),betaItaly/(deltaItaly+betaPodeltaItaly*EXP(-betaItaly*tblData[Days'# Italy])),"")</f>
        <v>5557.5243991912757</v>
      </c>
      <c r="AX56" s="11">
        <f ca="1">IF(AND(tblData[Date]&gt;StartDt2Italy,ISNUMBER(tblData[Italy])),(tblData[[#This Row],[Italy LogiP(t)]]-tblData[[#This Row],[Italy]])^2,"")</f>
        <v>105934.36672180003</v>
      </c>
      <c r="AY56" s="39">
        <f ca="1">IF(AND(tblData[Date]&gt;StartDt2Italy,ISNUMBER(tblData[Days'# Italy])),tblData[[#This Row],[Italy LogiP(t)]]/$AW$9,"")</f>
        <v>918.82688256448307</v>
      </c>
      <c r="AZ56" s="39">
        <f ca="1">IF(AND(ISNUMBER(tblData[Italy]),tblData[Date]&gt;StartDt2Italy),(tblData[Italy]-AVERAGE(tblData[Italy]))^2,"")</f>
        <v>227882506.71604937</v>
      </c>
      <c r="BA56" s="11">
        <f>tblData[[#This Row],[Date]]-Italy100dt+1</f>
        <v>10</v>
      </c>
      <c r="BB56" s="11">
        <f ca="1">IF(AND(tblData[Date]&gt;StartDt2US,ISNUMBER(tblData[[#This Row],[Days'# US]])),betaUS/(deltaUS+betaPodeltaUS*EXP(-betaUS*tblData[Days'# US])),"")</f>
        <v>351.18081034619439</v>
      </c>
      <c r="BC56" s="11">
        <f ca="1">IF(AND(tblData[Date]&gt;StartDt2US,ISNUMBER(tblData[US])),(tblData[[#This Row],[US LogiP(t)]]-tblData[US])^2,"")</f>
        <v>2582.5900370694631</v>
      </c>
      <c r="BD56" s="137">
        <f ca="1">IF(AND(tblData[Date]&gt;=StartDt2US,ISNUMBER(tblData[[#This Row],[Days'# US]])),tblData[[#This Row],[US LogiP(t)]]/$BB$9,"")</f>
        <v>10.666804806487798</v>
      </c>
      <c r="BE56" s="137">
        <f ca="1">IF(AND(ISNUMBER(tblData[US]),tblData[Date]&gt;StartDt2US),(tblData[US]-AVERAGE(tblData[US]))^2,"")</f>
        <v>320862954.33525091</v>
      </c>
      <c r="BF56" s="11">
        <f>tblData[[#This Row],[Date]]-US100dt+1</f>
        <v>-6</v>
      </c>
      <c r="BG56" s="20">
        <f ca="1">IF(tblData[Date]&gt;StartDt2SKorea,betaSKorea/(deltaSKorea+betaPodeltaSKorea*EXP(-betaSKorea*(tblData[Date]-StartDt2SKorea))),"")</f>
        <v>6821.2789943731723</v>
      </c>
      <c r="BH56" s="20">
        <f ca="1">IF(AND(tblData[Date]&gt;StartDt2SKorea,ISNUMBER(tblData[SKorea])),(tblData[[#This Row],[SKorea LogiP(t)]]-tblData[[#This Row],[SKorea]])^2,"")</f>
        <v>48277.320313664459</v>
      </c>
      <c r="BI56" s="20">
        <f ca="1">IF(tblData[Date]&gt;StartDt2SKorea,tblData[[#This Row],[SKorea LogiP(t)]]/$BG$9,"")</f>
        <v>1327.0970806173489</v>
      </c>
      <c r="BJ56" s="137">
        <f ca="1">IF(AND(ISNUMBER(tblData[SKorea]),tblData[Date]&gt;StartDt2SKorea),(tblData[SKorea]-AVERAGE(tblData[SKorea]))^2,"")</f>
        <v>10764129.213251339</v>
      </c>
      <c r="BK56" s="11">
        <f>tblData[[#This Row],[Date]]-SKorea100dt+1</f>
        <v>15</v>
      </c>
      <c r="BL56" s="137">
        <f ca="1">IF(AND(tblData[Date]&gt;StartDt2UK,ISNUMBER(tblData[Days'# UK])),betaUK/(deltaUK+betaPodeltaUK*EXP(-betaUK*tblData[Days'# UK])),"")</f>
        <v>237.94783336109921</v>
      </c>
      <c r="BM56" s="20">
        <f ca="1">IF(AND(tblData[Date]&gt;StartDt2UK,ISNUMBER(tblData[UK])),(tblData[[#This Row],[UK LogiP(t)]]-tblData[[#This Row],[UK]])^2,"")</f>
        <v>957.76838974636541</v>
      </c>
      <c r="BN56" s="20">
        <f ca="1">IF(ISNUMBER(tblData[Days'# UK]),tblData[[#This Row],[UK LogiP(t)]]/$BL$9,"")</f>
        <v>35.813942408353284</v>
      </c>
      <c r="BO56" s="137">
        <f ca="1">IF(AND(ISNUMBER(tblData[UK]),tblData[Date]&gt;StartDt2UK),(tblData[UK]-AVERAGE(tblData[UK]))^2,"")</f>
        <v>8397576.0204081628</v>
      </c>
      <c r="BP56" s="11">
        <f>tblData[[#This Row],[Date]]-UK100dt</f>
        <v>-5</v>
      </c>
      <c r="BQ56" s="11">
        <f ca="1">IF(ISNUMBER(tblData[Days'# China]),betaChina/(deltaChina+betaPodeltaChina*EXP(-betaChina*tblData[Days'# China])),"")</f>
        <v>81024.794256961366</v>
      </c>
      <c r="BR56" s="11">
        <f ca="1">IF(ISNUMBER(tblData[China]),(tblData[[#This Row],[China LogiP(t)]]-tblData[[#This Row],[China]])^2,"")</f>
        <v>64920.113380494629</v>
      </c>
      <c r="BS56" s="11">
        <f ca="1">tblData[[#This Row],[China LogiP(t)]]/$BQ$9</f>
        <v>562.93653733794338</v>
      </c>
      <c r="BT56" s="137">
        <f ca="1">IF(AND(ISNUMBER(tblData[China]),tblData[Date]&gt;StartDt2China),(tblData[China]-AVERAGE(tblData[China]))^2,"")</f>
        <v>426052625.31164443</v>
      </c>
      <c r="BU56" s="11">
        <f>tblData[[#This Row],[Date]]-China100dt</f>
        <v>45</v>
      </c>
      <c r="BV56" s="106">
        <f>IF(ISNUMBER(tblData[Day'# Singapore]),betaSingapore/(deltaSingapore+betaPodeltaSingapore*EXP(-betaSingapore*tblData[Day'# Singapore])),"")</f>
        <v>142.33558931954113</v>
      </c>
      <c r="BW56" s="11">
        <f>IF(AND(ISNUMBER(tblData[Singapore]),tblData[Date]&gt;=StartDt2Singapore),(tblData[[#This Row],[Singapore LogiP(t)]]-tblData[[#This Row],[Singapore]])^2,"")</f>
        <v>18.797334747719106</v>
      </c>
      <c r="BX56" s="106">
        <f>IF(ISNUMBER(tblData[Day'# Singapore]),tblData[Singapore LogiP(t)]/$BV$9,"")</f>
        <v>243.30869969152332</v>
      </c>
      <c r="BY56" s="106">
        <f>IF(AND(ISNUMBER(tblData[Singapore]),tblData[Date]&gt;StartDt2Singapore),(tblData[Singapore]-AVERAGE(tblData[Singapore]))^2,"")</f>
        <v>3712.4134100376914</v>
      </c>
      <c r="BZ56" s="11">
        <f>tblData[[#This Row],[Date]]-Singapore100dt+1</f>
        <v>26</v>
      </c>
      <c r="CA56" s="11">
        <f ca="1">IF(AND(tblData[Date]&gt;StartDt2Generic,ISNUMBER(tblData[Day'# Generic])),betaGeneric/(deltaGeneric+betaPodeltaGeneric*EXP(-betaGeneric*tblData[Day'# Generic])),"")</f>
        <v>7.0269705049100688</v>
      </c>
      <c r="CB56" s="106">
        <f ca="1">IF(AND(ISNUMBER(tblData[Generic]),tblData[Date]&gt;StartDt2Generic),(tblData[Generic LogiP(t)]-tblData[[#This Row],[Generic]])^2,"")</f>
        <v>4.1086094277753791</v>
      </c>
      <c r="CC56" s="11">
        <f ca="1">IF(AND(ISNUMBER(tblData[Generic]),tblData[Date]&gt;StartDt2Generic),tblData[Generic LogiP(t)]/$CA$9,"")</f>
        <v>13.435890066749653</v>
      </c>
      <c r="CD56" s="106">
        <f ca="1">IF(AND(ISNUMBER(tblData[Generic]),tblData[Date]&gt;StartDt2Generic),(tblData[Generic]-AVERAGE(tblData[Generic]))^2,"")</f>
        <v>14208.640000000001</v>
      </c>
      <c r="CE56" s="11">
        <f>tblData[[#This Row],[Date]]-Generic100dt+1</f>
        <v>-13</v>
      </c>
      <c r="CF56">
        <v>6690</v>
      </c>
      <c r="CG56" s="11">
        <v>488</v>
      </c>
      <c r="CH56" s="11">
        <f>IF(ISNUMBER(tblData[[#This Row],[Tests]]),tblData[[#This Row],[Tests]]-CF55,"")</f>
        <v>473</v>
      </c>
      <c r="CI56" s="11">
        <f>IF(ISNUMBER(tblData[[#This Row],[NSW Under Investigation'']]),tblData[[#This Row],[NSW Under Investigation'']]-CG55,"")</f>
        <v>-57</v>
      </c>
      <c r="CJ56" s="11">
        <f>IF(tblData[[#This Row],[Date]]&gt;myData!TestsStart,tblData[[#This Row],[Date]]-myData!TestsStart,"")</f>
        <v>2</v>
      </c>
      <c r="CK56" s="11">
        <f>IF(AND(tblData[[#This Row],[NSW Test Day Number]]&gt;0,ISNUMBER(tblData[[#This Row],[NSW Test Day Number]])),betaTests/(deltaTests+betaPodeltaTests*EXP(-betaTests*tblData[[#This Row],[NSW Test Day Number]])),"")</f>
        <v>6022.6995341718393</v>
      </c>
      <c r="CL56" s="11">
        <f>IF(tblData[Tests]&gt;0,(tblData[[#This Row],[Tests]]-tblData[[#This Row],[NSW Test Logi]])^2,"")</f>
        <v>445289.91169448022</v>
      </c>
      <c r="CM56" s="106">
        <f>IF(AND(ISNUMBER(tblData[Tests]),tblData[Date]&gt;StartDt2Tests),(tblData[Tests]-AVERAGE(tblData[Tests]))^2,"")</f>
        <v>1437474010.75981</v>
      </c>
      <c r="CN56" s="11">
        <f>IF(ISNUMBER(tblData[Tests]),tblData[Tests]/$CN$9/100,"")</f>
        <v>82.797029702970292</v>
      </c>
      <c r="CO56" s="106">
        <f ca="1">IF(AND(tblData[[#This Row],[NSW Test Day Number]]&gt;0,ISNUMBER(tblData[[#This Row],[NSW Test Day Number]])),TestsLogestB*TestsLogestM^tblData[[#This Row],[NSW Test Day Number]],"")</f>
        <v>7583.8908730084522</v>
      </c>
      <c r="CP56" s="106">
        <f>IF(AND(tblData[[#This Row],[NSW Test Day Number]]&gt;0,ISNUMBER(tblData[Tests])),(tblData[Tests]-tblData[[#This Row],[NSW Test Per Capita]])^2,"")</f>
        <v>43655131.090701886</v>
      </c>
      <c r="CQ56" s="39">
        <f ca="1">IF(AND(tblData[Day '# NSW]&gt;0,ISNUMBER(tblData[[#This Row],[Day '# NSW]])),NSWLogestB*NSWLogestM^tblData[[#This Row],[Day '# NSW]]/$CR$9,"")</f>
        <v>88.855828487507637</v>
      </c>
      <c r="CR56" s="39">
        <f ca="1">IF(AND(ISNUMBER(tblData[NSW]),tblData[Date]&gt;StartDt2NSW),(tblData[NSW]/$CR$9-tblData[[#This Row],[NSW Cases LogEst]])^2,"")</f>
        <v>2937.896170065907</v>
      </c>
      <c r="CS56" s="106"/>
      <c r="CT56" s="11"/>
      <c r="CW56" s="25"/>
      <c r="CX56"/>
      <c r="DL56" s="25"/>
      <c r="DR56"/>
      <c r="DS56"/>
      <c r="DT56"/>
      <c r="DU56"/>
      <c r="DW56" s="25"/>
      <c r="DX56" s="25"/>
      <c r="EB56" s="25"/>
      <c r="EC56" s="25"/>
      <c r="ED56" s="25"/>
      <c r="EE56" s="25"/>
      <c r="EK56"/>
      <c r="EL56"/>
      <c r="EM56"/>
      <c r="EN56"/>
      <c r="EO56"/>
      <c r="EP56" s="25"/>
      <c r="ER56" s="25"/>
      <c r="ES56" s="25"/>
      <c r="ET56"/>
      <c r="EU56" s="25" t="s">
        <v>153</v>
      </c>
      <c r="EV56" s="69">
        <v>43919.67596064815</v>
      </c>
      <c r="EW56" s="26">
        <v>43855</v>
      </c>
      <c r="EX56" s="26">
        <v>43855</v>
      </c>
      <c r="EY56" s="25">
        <v>1</v>
      </c>
      <c r="EZ56" s="25">
        <v>0.23289604944977338</v>
      </c>
      <c r="FA56" s="25">
        <v>6.2779705411046311E-5</v>
      </c>
      <c r="FB56" s="21">
        <v>1.1946117720384288E-3</v>
      </c>
      <c r="FC56" s="82">
        <v>3709.7346654448384</v>
      </c>
      <c r="FD56" s="82">
        <v>16.185448655674062</v>
      </c>
      <c r="FE56" s="25">
        <v>194.95536533596652</v>
      </c>
      <c r="FF56" s="84">
        <v>6.2779705411046313E-2</v>
      </c>
      <c r="FG56" s="26">
        <v>43919</v>
      </c>
      <c r="FH56" s="26" t="s">
        <v>1907</v>
      </c>
      <c r="FI56" s="84">
        <v>3709.7346654448384</v>
      </c>
      <c r="FJ56" s="84">
        <v>1791</v>
      </c>
      <c r="FK56" s="85" t="s">
        <v>1908</v>
      </c>
      <c r="FL56" s="26">
        <v>43919</v>
      </c>
      <c r="FM56" s="25">
        <v>65</v>
      </c>
      <c r="FN56" s="25" t="s">
        <v>1909</v>
      </c>
      <c r="FO56" s="25"/>
      <c r="FP56" s="25" t="s">
        <v>1910</v>
      </c>
      <c r="FR56" s="25" t="s">
        <v>1911</v>
      </c>
      <c r="FS56" s="19">
        <v>2216.5841584158416</v>
      </c>
      <c r="FT56" s="72"/>
      <c r="FU56" s="25"/>
      <c r="FV56" s="142"/>
      <c r="FW56" s="72"/>
      <c r="FX56" s="25" t="s">
        <v>1906</v>
      </c>
      <c r="FY56" s="25" t="s">
        <v>1312</v>
      </c>
      <c r="FZ56" s="25"/>
      <c r="GA56" s="25"/>
      <c r="GC56" s="25"/>
    </row>
    <row r="57" spans="2:220" x14ac:dyDescent="0.25">
      <c r="B57" s="1">
        <v>43898</v>
      </c>
      <c r="C57">
        <v>0</v>
      </c>
      <c r="D57" s="25">
        <v>0</v>
      </c>
      <c r="E57">
        <v>38</v>
      </c>
      <c r="F57">
        <v>0</v>
      </c>
      <c r="G57">
        <v>15</v>
      </c>
      <c r="H57">
        <v>7</v>
      </c>
      <c r="I57">
        <v>2</v>
      </c>
      <c r="J57">
        <v>11</v>
      </c>
      <c r="K57">
        <v>3</v>
      </c>
      <c r="L57" s="12">
        <f>IF(ISNUMBER(tblData[[#This Row],[NSW]]),tblData[[#This Row],[New South Wales]]/$L$9,"")</f>
        <v>47.029702970297024</v>
      </c>
      <c r="M57" s="25">
        <v>7375</v>
      </c>
      <c r="N57" s="106">
        <f>IF(ISNUMBER(tblData[Italy]),tblData[Italy]/$N$9,"")</f>
        <v>1219.3105728693065</v>
      </c>
      <c r="O57">
        <v>518</v>
      </c>
      <c r="P57" s="106">
        <f>IF(ISNUMBER(tblData[US]),tblData[US]/$P$9,"")</f>
        <v>15.733789338642195</v>
      </c>
      <c r="Q57">
        <v>7314</v>
      </c>
      <c r="R57" s="106">
        <f>IF(ISNUMBER(tblData[SKorea]),tblData[SKorea]/$R$9,"")</f>
        <v>1422.95719844358</v>
      </c>
      <c r="S57">
        <v>274</v>
      </c>
      <c r="T57" s="106">
        <f>IF(ISNUMBER(tblData[UK]),tblData[UK]/$T$9,"")</f>
        <v>41.240216736905481</v>
      </c>
      <c r="U57">
        <v>80823</v>
      </c>
      <c r="V57" s="106">
        <f>IF(ISNUMBER(tblData[China]),tblData[China]/$V$9,"")</f>
        <v>561.5345299485972</v>
      </c>
      <c r="W57">
        <v>150</v>
      </c>
      <c r="X57" s="106">
        <f>IF(ISNUMBER(tblData[Singapore]),tblData[Singapore]/$X$9,"")</f>
        <v>256.41025641025641</v>
      </c>
      <c r="Y57">
        <v>5</v>
      </c>
      <c r="Z57" s="20">
        <f>IF(AND(LEN(tblData[Generic])&gt;0,ISNUMBER(tblData[Generic])),tblData[Generic]/$Z$9,"")</f>
        <v>9.5602294455066925</v>
      </c>
      <c r="AA57" s="25">
        <f ca="1">IF(tblData[[#This Row],[Date]]&lt;StartDt2Italy,"",tblData[[#This Row],[Date]]-ItalyStart)</f>
        <v>38</v>
      </c>
      <c r="AB57" s="25">
        <f ca="1">IF(tblData[[#This Row],[Date]]&lt;=StartDt2US,"",tblData[[#This Row],[Date]]-USStart)</f>
        <v>46</v>
      </c>
      <c r="AC57" s="25">
        <f ca="1">IF(tblData[[#This Row],[Date]]&lt;StartDt2China,"",tblData[[#This Row],[Date]]-ChinaStart)</f>
        <v>46</v>
      </c>
      <c r="AD57" s="25">
        <f>IF(tblData[[#This Row],[Date]]&lt;=SKoreaStart,"",tblData[[#This Row],[Date]]-SKoreaStart)</f>
        <v>46</v>
      </c>
      <c r="AE57" s="25">
        <f ca="1">IF(tblData[[#This Row],[Date]]&lt;=StartDt2UK,"",tblData[[#This Row],[Date]]-UKStart)</f>
        <v>38</v>
      </c>
      <c r="AF57" s="25">
        <f>IF(tblData[[#This Row],[Date]]&lt;StartDt2Singapore,"",tblData[[#This Row],[Date]]-SingaporeStart)</f>
        <v>45</v>
      </c>
      <c r="AG57" s="25">
        <f ca="1">IF(tblData[[#This Row],[Date]]&lt;StartDt2Generic,"",tblData[[#This Row],[Date]]-GenericStart)</f>
        <v>46</v>
      </c>
      <c r="AH57">
        <f ca="1">IF(tblData[Date]&gt;StartDt2Au,tblData[Date]-AuStart,"")</f>
        <v>43</v>
      </c>
      <c r="AI57" s="25">
        <f>IF(tblData[New South Wales]&gt;=0,SUM(tblData[[#This Row],[Australian Capital Territory]:[Western Australia]]),"")</f>
        <v>76</v>
      </c>
      <c r="AJ57" s="12">
        <f>IF(ISNUMBER(tblData[Au]),tblData[Au]/$AE$9,"")</f>
        <v>29.963728118593281</v>
      </c>
      <c r="AK57" s="19">
        <f ca="1">IF(ISNUMBER(tblData[[#This Row],[Day'# Aust]]),betaAu/(deltaAu+betaPodeltaAu*EXP(-betaAu*tblData[[#This Row],[Day'# Aust]])),"")</f>
        <v>52.781633079606863</v>
      </c>
      <c r="AL57" s="62">
        <f ca="1">IF(ISNUMBER(tblData[Day'# Aust]),tblData[Au LogiP(t)]/$AJ$9,"")</f>
        <v>20.809664516482755</v>
      </c>
      <c r="AM57" s="11">
        <f ca="1">IF(AND(tblData[Date]&gt;StartDt2Au,ISNUMBER(tblData[NSW])),(tblData[[#This Row],[Au LogiP(t)]]-tblData[[#This Row],[Au]])^2,"")</f>
        <v>539.09256245000631</v>
      </c>
      <c r="AN57" s="11">
        <f ca="1">IF(AND(ISNUMBER(tblData[Au]),tblData[Date]&gt;StartDt2Au),(tblData[Au]-AVERAGE(tblData[Au]))^2,"")</f>
        <v>134950.26118713018</v>
      </c>
      <c r="AO57" s="11">
        <f>tblData[[#This Row],[Date]]-Au100dt</f>
        <v>-6</v>
      </c>
      <c r="AP57">
        <f ca="1">IF(tblData[Date]&gt;StartDt2NSW,tblData[Date]-StartDt2NSW,"")</f>
        <v>43</v>
      </c>
      <c r="AQ57" s="25">
        <f>IF(tblData[[#This Row],[New South Wales]]&gt;0,tblData[[#This Row],[New South Wales]],"")</f>
        <v>38</v>
      </c>
      <c r="AR57" s="44">
        <f ca="1">IF(tblData[Date]&gt;StartDt2NSW,betaNSW/(deltaNSW+betaPodeltaNSW*EXP(-betaNSW*tblData[[#This Row],[Day '# NSW]])),"")</f>
        <v>27.343854926755768</v>
      </c>
      <c r="AS57" s="12">
        <f ca="1">IF(AND(ISNUMBER(tblData[NSW]),tblData[Date]&gt;StartDt2NSW),(tblData[[#This Row],[NSW LogiP(t)]]-tblData[[#This Row],[NSW]])^2,"")</f>
        <v>113.55342782202733</v>
      </c>
      <c r="AT57" s="12">
        <f ca="1">IF(AND(tblData[Date]&gt;StartDt2NSW,ISNUMBER(tblData[Day'# Aust])),tblData[NSW LogiP(t)]/$AR$9,"")</f>
        <v>33.84140461232149</v>
      </c>
      <c r="AU57" s="11">
        <f>tblData[[#This Row],[Date]]-NSW100dt+1</f>
        <v>-2</v>
      </c>
      <c r="AV57" s="11">
        <f ca="1">IF(AND(ISNUMBER(tblData[NSW]),tblData[Date]&gt;StartDt2NSW),(tblData[NSW]-AVERAGE(tblData[NSW]))^2,"")</f>
        <v>65439.571728628442</v>
      </c>
      <c r="AW57" s="39">
        <f ca="1">IF(AND(tblData[Date]&gt;StartDt2Italy,ISNUMBER(tblData[Days'# Italy])),betaItaly/(deltaItaly+betaPodeltaItaly*EXP(-betaItaly*tblData[Days'# Italy])),"")</f>
        <v>7065.4000852441759</v>
      </c>
      <c r="AX57" s="11">
        <f ca="1">IF(AND(tblData[Date]&gt;StartDt2Italy,ISNUMBER(tblData[Italy])),(tblData[[#This Row],[Italy LogiP(t)]]-tblData[[#This Row],[Italy]])^2,"")</f>
        <v>95852.107216813543</v>
      </c>
      <c r="AY57" s="39">
        <f ca="1">IF(AND(tblData[Date]&gt;StartDt2Italy,ISNUMBER(tblData[Days'# Italy])),tblData[[#This Row],[Italy LogiP(t)]]/$AW$9,"")</f>
        <v>1168.1243424393117</v>
      </c>
      <c r="AZ57" s="39">
        <f ca="1">IF(AND(ISNUMBER(tblData[Italy]),tblData[Date]&gt;StartDt2Italy),(tblData[Italy]-AVERAGE(tblData[Italy]))^2,"")</f>
        <v>185062769.82716048</v>
      </c>
      <c r="BA57" s="11">
        <f>tblData[[#This Row],[Date]]-Italy100dt+1</f>
        <v>11</v>
      </c>
      <c r="BB57" s="11">
        <f ca="1">IF(AND(tblData[Date]&gt;StartDt2US,ISNUMBER(tblData[[#This Row],[Days'# US]])),betaUS/(deltaUS+betaPodeltaUS*EXP(-betaUS*tblData[Days'# US])),"")</f>
        <v>466.32759767080421</v>
      </c>
      <c r="BC57" s="11">
        <f ca="1">IF(AND(tblData[Date]&gt;StartDt2US,ISNUMBER(tblData[US])),(tblData[[#This Row],[US LogiP(t)]]-tblData[US])^2,"")</f>
        <v>2670.0371624702784</v>
      </c>
      <c r="BD57" s="137">
        <f ca="1">IF(AND(tblData[Date]&gt;=StartDt2US,ISNUMBER(tblData[[#This Row],[Days'# US]])),tblData[[#This Row],[US LogiP(t)]]/$BB$9,"")</f>
        <v>14.16428607055507</v>
      </c>
      <c r="BE57" s="137">
        <f ca="1">IF(AND(ISNUMBER(tblData[US]),tblData[Date]&gt;StartDt2US),(tblData[US]-AVERAGE(tblData[US]))^2,"")</f>
        <v>316720676.02539176</v>
      </c>
      <c r="BF57" s="11">
        <f>tblData[[#This Row],[Date]]-US100dt+1</f>
        <v>-5</v>
      </c>
      <c r="BG57" s="20">
        <f ca="1">IF(tblData[Date]&gt;StartDt2SKorea,betaSKorea/(deltaSKorea+betaPodeltaSKorea*EXP(-betaSKorea*(tblData[Date]-StartDt2SKorea))),"")</f>
        <v>7229.0349279447428</v>
      </c>
      <c r="BH57" s="20">
        <f ca="1">IF(AND(tblData[Date]&gt;StartDt2SKorea,ISNUMBER(tblData[SKorea])),(tblData[[#This Row],[SKorea LogiP(t)]]-tblData[[#This Row],[SKorea]])^2,"")</f>
        <v>7219.0634693550519</v>
      </c>
      <c r="BI57" s="20">
        <f ca="1">IF(tblData[Date]&gt;StartDt2SKorea,tblData[[#This Row],[SKorea LogiP(t)]]/$BG$9,"")</f>
        <v>1406.4270287830241</v>
      </c>
      <c r="BJ57" s="137">
        <f ca="1">IF(AND(ISNUMBER(tblData[SKorea]),tblData[Date]&gt;StartDt2SKorea),(tblData[SKorea]-AVERAGE(tblData[SKorea]))^2,"")</f>
        <v>12630015.001983734</v>
      </c>
      <c r="BK57" s="11">
        <f>tblData[[#This Row],[Date]]-SKorea100dt+1</f>
        <v>16</v>
      </c>
      <c r="BL57" s="137">
        <f ca="1">IF(AND(tblData[Date]&gt;StartDt2UK,ISNUMBER(tblData[Days'# UK])),betaUK/(deltaUK+betaPodeltaUK*EXP(-betaUK*tblData[Days'# UK])),"")</f>
        <v>294.4081952558181</v>
      </c>
      <c r="BM57" s="20">
        <f ca="1">IF(AND(tblData[Date]&gt;StartDt2UK,ISNUMBER(tblData[UK])),(tblData[[#This Row],[UK LogiP(t)]]-tblData[[#This Row],[UK]])^2,"")</f>
        <v>416.49443359959639</v>
      </c>
      <c r="BN57" s="20">
        <f ca="1">IF(ISNUMBER(tblData[Days'# UK]),tblData[[#This Row],[UK LogiP(t)]]/$BL$9,"")</f>
        <v>44.311889713398266</v>
      </c>
      <c r="BO57" s="137">
        <f ca="1">IF(AND(ISNUMBER(tblData[UK]),tblData[Date]&gt;StartDt2UK),(tblData[UK]-AVERAGE(tblData[UK]))^2,"")</f>
        <v>8013752.1632653046</v>
      </c>
      <c r="BP57" s="11">
        <f>tblData[[#This Row],[Date]]-UK100dt</f>
        <v>-4</v>
      </c>
      <c r="BQ57" s="11">
        <f ca="1">IF(ISNUMBER(tblData[Days'# China]),betaChina/(deltaChina+betaPodeltaChina*EXP(-betaChina*tblData[Days'# China])),"")</f>
        <v>81064.183862828097</v>
      </c>
      <c r="BR57" s="11">
        <f ca="1">IF(ISNUMBER(tblData[China]),(tblData[[#This Row],[China LogiP(t)]]-tblData[[#This Row],[China]])^2,"")</f>
        <v>58169.65568868212</v>
      </c>
      <c r="BS57" s="11">
        <f ca="1">tblData[[#This Row],[China LogiP(t)]]/$BQ$9</f>
        <v>563.21020478180515</v>
      </c>
      <c r="BT57" s="137">
        <f ca="1">IF(AND(ISNUMBER(tblData[China]),tblData[Date]&gt;StartDt2China),(tblData[China]-AVERAGE(tblData[China]))^2,"")</f>
        <v>428243384.79051769</v>
      </c>
      <c r="BU57" s="11">
        <f>tblData[[#This Row],[Date]]-China100dt</f>
        <v>46</v>
      </c>
      <c r="BV57" s="106">
        <f>IF(ISNUMBER(tblData[Day'# Singapore]),betaSingapore/(deltaSingapore+betaPodeltaSingapore*EXP(-betaSingapore*tblData[Day'# Singapore])),"")</f>
        <v>154.11405754015081</v>
      </c>
      <c r="BW57" s="11">
        <f>IF(AND(ISNUMBER(tblData[Singapore]),tblData[Date]&gt;=StartDt2Singapore),(tblData[[#This Row],[Singapore LogiP(t)]]-tblData[[#This Row],[Singapore]])^2,"")</f>
        <v>16.925469443671734</v>
      </c>
      <c r="BX57" s="106">
        <f>IF(ISNUMBER(tblData[Day'# Singapore]),tblData[Singapore LogiP(t)]/$BV$9,"")</f>
        <v>263.44283340196722</v>
      </c>
      <c r="BY57" s="106">
        <f>IF(AND(ISNUMBER(tblData[Singapore]),tblData[Date]&gt;StartDt2Singapore),(tblData[Singapore]-AVERAGE(tblData[Singapore]))^2,"")</f>
        <v>2394.1035508827617</v>
      </c>
      <c r="BZ57" s="11">
        <f>tblData[[#This Row],[Date]]-Singapore100dt+1</f>
        <v>27</v>
      </c>
      <c r="CA57" s="11">
        <f ca="1">IF(AND(tblData[Date]&gt;StartDt2Generic,ISNUMBER(tblData[Day'# Generic])),betaGeneric/(deltaGeneric+betaPodeltaGeneric*EXP(-betaGeneric*tblData[Day'# Generic])),"")</f>
        <v>8.5523182377986657</v>
      </c>
      <c r="CB57" s="106">
        <f ca="1">IF(AND(ISNUMBER(tblData[Generic]),tblData[Date]&gt;StartDt2Generic),(tblData[Generic LogiP(t)]-tblData[[#This Row],[Generic]])^2,"")</f>
        <v>12.618964862597018</v>
      </c>
      <c r="CC57" s="11">
        <f ca="1">IF(AND(ISNUMBER(tblData[Generic]),tblData[Date]&gt;StartDt2Generic),tblData[Generic LogiP(t)]/$CA$9,"")</f>
        <v>16.35242492886934</v>
      </c>
      <c r="CD57" s="106">
        <f ca="1">IF(AND(ISNUMBER(tblData[Generic]),tblData[Date]&gt;StartDt2Generic),(tblData[Generic]-AVERAGE(tblData[Generic]))^2,"")</f>
        <v>14208.640000000001</v>
      </c>
      <c r="CE57" s="11">
        <f>tblData[[#This Row],[Date]]-Generic100dt+1</f>
        <v>-12</v>
      </c>
      <c r="CF57">
        <v>7361</v>
      </c>
      <c r="CG57" s="11">
        <v>576</v>
      </c>
      <c r="CH57" s="11">
        <f>IF(ISNUMBER(tblData[[#This Row],[Tests]]),tblData[[#This Row],[Tests]]-CF56,"")</f>
        <v>671</v>
      </c>
      <c r="CI57" s="11">
        <f>IF(ISNUMBER(tblData[[#This Row],[NSW Under Investigation'']]),tblData[[#This Row],[NSW Under Investigation'']]-CG56,"")</f>
        <v>88</v>
      </c>
      <c r="CJ57" s="11">
        <f>IF(tblData[[#This Row],[Date]]&gt;myData!TestsStart,tblData[[#This Row],[Date]]-myData!TestsStart,"")</f>
        <v>3</v>
      </c>
      <c r="CK57" s="11">
        <f>IF(AND(tblData[[#This Row],[NSW Test Day Number]]&gt;0,ISNUMBER(tblData[[#This Row],[NSW Test Day Number]])),betaTests/(deltaTests+betaPodeltaTests*EXP(-betaTests*tblData[[#This Row],[NSW Test Day Number]])),"")</f>
        <v>7117.7761990447352</v>
      </c>
      <c r="CL57" s="11">
        <f>IF(tblData[Tests]&gt;0,(tblData[[#This Row],[Tests]]-tblData[[#This Row],[NSW Test Logi]])^2,"")</f>
        <v>59157.817351126258</v>
      </c>
      <c r="CM57" s="106">
        <f>IF(AND(ISNUMBER(tblData[Tests]),tblData[Date]&gt;StartDt2Tests),(tblData[Tests]-AVERAGE(tblData[Tests]))^2,"")</f>
        <v>1387043617.4839478</v>
      </c>
      <c r="CN57" s="11">
        <f>IF(ISNUMBER(tblData[Tests]),tblData[Tests]/$CN$9/100,"")</f>
        <v>91.10148514851484</v>
      </c>
      <c r="CO57" s="106">
        <f ca="1">IF(AND(tblData[[#This Row],[NSW Test Day Number]]&gt;0,ISNUMBER(tblData[[#This Row],[NSW Test Day Number]])),TestsLogestB*TestsLogestM^tblData[[#This Row],[NSW Test Day Number]],"")</f>
        <v>8509.4261502072168</v>
      </c>
      <c r="CP57" s="106">
        <f>IF(AND(tblData[[#This Row],[NSW Test Day Number]]&gt;0,ISNUMBER(tblData[Tests])),(tblData[Tests]-tblData[[#This Row],[NSW Test Per Capita]])^2,"")</f>
        <v>52851424.416239828</v>
      </c>
      <c r="CQ57" s="39">
        <f ca="1">IF(AND(tblData[Day '# NSW]&gt;0,ISNUMBER(tblData[[#This Row],[Day '# NSW]])),NSWLogestB*NSWLogestM^tblData[[#This Row],[Day '# NSW]]/$CR$9,"")</f>
        <v>98.891105659904255</v>
      </c>
      <c r="CR57" s="39">
        <f ca="1">IF(AND(ISNUMBER(tblData[NSW]),tblData[Date]&gt;StartDt2NSW),(tblData[NSW]/$CR$9-tblData[[#This Row],[NSW Cases LogEst]])^2,"")</f>
        <v>2689.6050889336002</v>
      </c>
      <c r="CS57" s="106"/>
      <c r="CT57" s="11"/>
      <c r="CW57" s="25"/>
      <c r="CX57"/>
      <c r="DL57" s="25"/>
      <c r="DR57"/>
      <c r="DS57"/>
      <c r="DT57"/>
      <c r="DU57"/>
      <c r="DW57" s="25"/>
      <c r="DX57" s="25"/>
      <c r="EB57" s="25"/>
      <c r="EC57" s="25"/>
      <c r="ED57" s="25"/>
      <c r="EE57" s="25"/>
      <c r="EK57"/>
      <c r="EL57"/>
      <c r="EM57"/>
      <c r="EN57"/>
      <c r="EO57"/>
      <c r="EP57" s="25"/>
      <c r="ER57" s="25"/>
      <c r="ES57" s="25"/>
      <c r="ET57"/>
      <c r="EU57" s="69" t="s">
        <v>153</v>
      </c>
      <c r="EV57" s="69">
        <v>43919.682430555556</v>
      </c>
      <c r="EW57" s="26">
        <v>43855</v>
      </c>
      <c r="EX57" s="26">
        <v>43855</v>
      </c>
      <c r="EY57" s="25">
        <v>1</v>
      </c>
      <c r="EZ57" s="25">
        <v>0.23289664030152243</v>
      </c>
      <c r="FA57" s="25">
        <v>6.2779699551844596E-5</v>
      </c>
      <c r="FB57" s="21">
        <v>1.194611984570372E-3</v>
      </c>
      <c r="FC57" s="82">
        <v>3709.7444231824052</v>
      </c>
      <c r="FD57" s="82">
        <v>16.185445138631913</v>
      </c>
      <c r="FE57" s="83">
        <v>194.95582524889824</v>
      </c>
      <c r="FF57" s="84">
        <v>6.2779699551844592E-2</v>
      </c>
      <c r="FG57" s="26">
        <v>43919</v>
      </c>
      <c r="FH57" s="26" t="s">
        <v>1907</v>
      </c>
      <c r="FI57" s="84">
        <v>3709.7444231824052</v>
      </c>
      <c r="FJ57" s="84">
        <v>1791</v>
      </c>
      <c r="FK57" s="26" t="s">
        <v>1908</v>
      </c>
      <c r="FL57" s="26">
        <v>43919</v>
      </c>
      <c r="FM57" s="25">
        <v>65</v>
      </c>
      <c r="FN57" s="25" t="s">
        <v>1909</v>
      </c>
      <c r="FO57" s="25"/>
      <c r="FP57" s="25" t="s">
        <v>1910</v>
      </c>
      <c r="FQ57" s="72"/>
      <c r="FR57" s="25" t="s">
        <v>1911</v>
      </c>
      <c r="FS57" s="19">
        <v>2216.5841584158416</v>
      </c>
      <c r="FT57" s="72"/>
      <c r="FU57" s="25"/>
      <c r="FV57" s="142"/>
      <c r="FW57" s="25"/>
      <c r="FX57" s="25" t="s">
        <v>1906</v>
      </c>
      <c r="FY57" s="25"/>
      <c r="FZ57" s="25"/>
      <c r="GA57" s="25"/>
      <c r="GC57" s="25"/>
    </row>
    <row r="58" spans="2:220" x14ac:dyDescent="0.25">
      <c r="B58" s="1">
        <v>43899</v>
      </c>
      <c r="C58">
        <v>0</v>
      </c>
      <c r="D58" s="25">
        <v>0</v>
      </c>
      <c r="E58">
        <v>48</v>
      </c>
      <c r="F58">
        <v>0</v>
      </c>
      <c r="G58">
        <v>15</v>
      </c>
      <c r="H58">
        <v>7</v>
      </c>
      <c r="I58">
        <v>2</v>
      </c>
      <c r="J58">
        <v>15</v>
      </c>
      <c r="K58">
        <v>4</v>
      </c>
      <c r="L58" s="12">
        <f>IF(ISNUMBER(tblData[[#This Row],[NSW]]),tblData[[#This Row],[New South Wales]]/$L$9,"")</f>
        <v>59.405940594059402</v>
      </c>
      <c r="M58" s="25">
        <v>9172</v>
      </c>
      <c r="N58" s="106">
        <f>IF(ISNUMBER(tblData[Italy]),tblData[Italy]/$N$9,"")</f>
        <v>1516.4090270314955</v>
      </c>
      <c r="O58">
        <v>583</v>
      </c>
      <c r="P58" s="106">
        <f>IF(ISNUMBER(tblData[US]),tblData[US]/$P$9,"")</f>
        <v>17.708106533645559</v>
      </c>
      <c r="Q58">
        <v>7478</v>
      </c>
      <c r="R58" s="106">
        <f>IF(ISNUMBER(tblData[SKorea]),tblData[SKorea]/$R$9,"")</f>
        <v>1454.8638132295721</v>
      </c>
      <c r="S58">
        <v>322</v>
      </c>
      <c r="T58" s="106">
        <f>IF(ISNUMBER(tblData[UK]),tblData[UK]/$T$9,"")</f>
        <v>48.464780252859725</v>
      </c>
      <c r="U58">
        <v>80860</v>
      </c>
      <c r="V58" s="106">
        <f>IF(ISNUMBER(tblData[China]),tblData[China]/$V$9,"")</f>
        <v>561.79159511084185</v>
      </c>
      <c r="W58">
        <v>150</v>
      </c>
      <c r="X58" s="106">
        <f>IF(ISNUMBER(tblData[Singapore]),tblData[Singapore]/$X$9,"")</f>
        <v>256.41025641025641</v>
      </c>
      <c r="Y58">
        <v>5</v>
      </c>
      <c r="Z58" s="20">
        <f>IF(AND(LEN(tblData[Generic])&gt;0,ISNUMBER(tblData[Generic])),tblData[Generic]/$Z$9,"")</f>
        <v>9.5602294455066925</v>
      </c>
      <c r="AA58" s="25">
        <f ca="1">IF(tblData[[#This Row],[Date]]&lt;StartDt2Italy,"",tblData[[#This Row],[Date]]-ItalyStart)</f>
        <v>39</v>
      </c>
      <c r="AB58" s="25">
        <f ca="1">IF(tblData[[#This Row],[Date]]&lt;=StartDt2US,"",tblData[[#This Row],[Date]]-USStart)</f>
        <v>47</v>
      </c>
      <c r="AC58" s="25">
        <f ca="1">IF(tblData[[#This Row],[Date]]&lt;StartDt2China,"",tblData[[#This Row],[Date]]-ChinaStart)</f>
        <v>47</v>
      </c>
      <c r="AD58" s="25">
        <f>IF(tblData[[#This Row],[Date]]&lt;=SKoreaStart,"",tblData[[#This Row],[Date]]-SKoreaStart)</f>
        <v>47</v>
      </c>
      <c r="AE58" s="25">
        <f ca="1">IF(tblData[[#This Row],[Date]]&lt;=StartDt2UK,"",tblData[[#This Row],[Date]]-UKStart)</f>
        <v>39</v>
      </c>
      <c r="AF58" s="25">
        <f>IF(tblData[[#This Row],[Date]]&lt;StartDt2Singapore,"",tblData[[#This Row],[Date]]-SingaporeStart)</f>
        <v>46</v>
      </c>
      <c r="AG58" s="25">
        <f ca="1">IF(tblData[[#This Row],[Date]]&lt;StartDt2Generic,"",tblData[[#This Row],[Date]]-GenericStart)</f>
        <v>47</v>
      </c>
      <c r="AH58">
        <f ca="1">IF(tblData[Date]&gt;StartDt2Au,tblData[Date]-AuStart,"")</f>
        <v>44</v>
      </c>
      <c r="AI58" s="25">
        <f>IF(tblData[New South Wales]&gt;=0,SUM(tblData[[#This Row],[Australian Capital Territory]:[Western Australia]]),"")</f>
        <v>91</v>
      </c>
      <c r="AJ58" s="12">
        <f>IF(ISNUMBER(tblData[Au]),tblData[Au]/$AE$9,"")</f>
        <v>35.87762182621038</v>
      </c>
      <c r="AK58" s="19">
        <f ca="1">IF(ISNUMBER(tblData[[#This Row],[Day'# Aust]]),betaAu/(deltaAu+betaPodeltaAu*EXP(-betaAu*tblData[[#This Row],[Day'# Aust]])),"")</f>
        <v>67.815300800760667</v>
      </c>
      <c r="AL58" s="62">
        <f ca="1">IF(ISNUMBER(tblData[Day'# Aust]),tblData[Au LogiP(t)]/$AJ$9,"")</f>
        <v>26.736832045718604</v>
      </c>
      <c r="AM58" s="11">
        <f ca="1">IF(AND(tblData[Date]&gt;StartDt2Au,ISNUMBER(tblData[NSW])),(tblData[[#This Row],[Au LogiP(t)]]-tblData[[#This Row],[Au]])^2,"")</f>
        <v>537.530276959209</v>
      </c>
      <c r="AN58" s="11">
        <f ca="1">IF(AND(ISNUMBER(tblData[Au]),tblData[Date]&gt;StartDt2Au),(tblData[Au]-AVERAGE(tblData[Au]))^2,"")</f>
        <v>124154.5881102071</v>
      </c>
      <c r="AO58" s="11">
        <f>tblData[[#This Row],[Date]]-Au100dt</f>
        <v>-5</v>
      </c>
      <c r="AP58">
        <f ca="1">IF(tblData[Date]&gt;StartDt2NSW,tblData[Date]-StartDt2NSW,"")</f>
        <v>44</v>
      </c>
      <c r="AQ58" s="25">
        <f>IF(tblData[[#This Row],[New South Wales]]&gt;0,tblData[[#This Row],[New South Wales]],"")</f>
        <v>48</v>
      </c>
      <c r="AR58" s="44">
        <f ca="1">IF(tblData[Date]&gt;StartDt2NSW,betaNSW/(deltaNSW+betaPodeltaNSW*EXP(-betaNSW*tblData[[#This Row],[Day '# NSW]])),"")</f>
        <v>34.599810549325802</v>
      </c>
      <c r="AS58" s="12">
        <f ca="1">IF(AND(ISNUMBER(tblData[NSW]),tblData[Date]&gt;StartDt2NSW),(tblData[[#This Row],[NSW LogiP(t)]]-tblData[[#This Row],[NSW]])^2,"")</f>
        <v>179.56507731396005</v>
      </c>
      <c r="AT58" s="12">
        <f ca="1">IF(AND(tblData[Date]&gt;StartDt2NSW,ISNUMBER(tblData[Day'# Aust])),tblData[NSW LogiP(t)]/$AR$9,"")</f>
        <v>42.821547709561635</v>
      </c>
      <c r="AU58" s="11">
        <f>tblData[[#This Row],[Date]]-NSW100dt+1</f>
        <v>-1</v>
      </c>
      <c r="AV58" s="11">
        <f ca="1">IF(AND(ISNUMBER(tblData[NSW]),tblData[Date]&gt;StartDt2NSW),(tblData[NSW]-AVERAGE(tblData[NSW]))^2,"")</f>
        <v>60423.339844570473</v>
      </c>
      <c r="AW58" s="39">
        <f ca="1">IF(AND(tblData[Date]&gt;StartDt2Italy,ISNUMBER(tblData[Days'# Italy])),betaItaly/(deltaItaly+betaPodeltaItaly*EXP(-betaItaly*tblData[Days'# Italy])),"")</f>
        <v>8942.5032177452049</v>
      </c>
      <c r="AX58" s="11">
        <f ca="1">IF(AND(tblData[Date]&gt;StartDt2Italy,ISNUMBER(tblData[Italy])),(tblData[[#This Row],[Italy LogiP(t)]]-tblData[[#This Row],[Italy]])^2,"")</f>
        <v>52668.773065304842</v>
      </c>
      <c r="AY58" s="39">
        <f ca="1">IF(AND(tblData[Date]&gt;StartDt2Italy,ISNUMBER(tblData[Days'# Italy])),tblData[[#This Row],[Italy LogiP(t)]]/$AW$9,"")</f>
        <v>1478.4662672968843</v>
      </c>
      <c r="AZ58" s="39">
        <f ca="1">IF(AND(ISNUMBER(tblData[Italy]),tblData[Date]&gt;StartDt2Italy),(tblData[Italy]-AVERAGE(tblData[Italy]))^2,"")</f>
        <v>139400001.49382716</v>
      </c>
      <c r="BA58" s="11">
        <f>tblData[[#This Row],[Date]]-Italy100dt+1</f>
        <v>12</v>
      </c>
      <c r="BB58" s="11">
        <f ca="1">IF(AND(tblData[Date]&gt;StartDt2US,ISNUMBER(tblData[[#This Row],[Days'# US]])),betaUS/(deltaUS+betaPodeltaUS*EXP(-betaUS*tblData[Days'# US])),"")</f>
        <v>619.19230434488338</v>
      </c>
      <c r="BC58" s="11">
        <f ca="1">IF(AND(tblData[Date]&gt;StartDt2US,ISNUMBER(tblData[US])),(tblData[[#This Row],[US LogiP(t)]]-tblData[US])^2,"")</f>
        <v>1309.8828937926646</v>
      </c>
      <c r="BD58" s="137">
        <f ca="1">IF(AND(tblData[Date]&gt;=StartDt2US,ISNUMBER(tblData[[#This Row],[Days'# US]])),tblData[[#This Row],[US LogiP(t)]]/$BB$9,"")</f>
        <v>18.807415592028608</v>
      </c>
      <c r="BE58" s="137">
        <f ca="1">IF(AND(ISNUMBER(tblData[US]),tblData[Date]&gt;StartDt2US),(tblData[US]-AVERAGE(tblData[US]))^2,"")</f>
        <v>314411336.80003965</v>
      </c>
      <c r="BF58" s="11">
        <f>tblData[[#This Row],[Date]]-US100dt+1</f>
        <v>-4</v>
      </c>
      <c r="BG58" s="20">
        <f ca="1">IF(tblData[Date]&gt;StartDt2SKorea,betaSKorea/(deltaSKorea+betaPodeltaSKorea*EXP(-betaSKorea*(tblData[Date]-StartDt2SKorea))),"")</f>
        <v>7577.8167154903449</v>
      </c>
      <c r="BH58" s="20">
        <f ca="1">IF(AND(tblData[Date]&gt;StartDt2SKorea,ISNUMBER(tblData[SKorea])),(tblData[[#This Row],[SKorea LogiP(t)]]-tblData[[#This Row],[SKorea]])^2,"")</f>
        <v>9963.3766912804604</v>
      </c>
      <c r="BI58" s="20">
        <f ca="1">IF(tblData[Date]&gt;StartDt2SKorea,tblData[[#This Row],[SKorea LogiP(t)]]/$BG$9,"")</f>
        <v>1474.2834076829465</v>
      </c>
      <c r="BJ58" s="137">
        <f ca="1">IF(AND(ISNUMBER(tblData[SKorea]),tblData[Date]&gt;StartDt2SKorea),(tblData[SKorea]-AVERAGE(tblData[SKorea]))^2,"")</f>
        <v>13822581.424518945</v>
      </c>
      <c r="BK58" s="11">
        <f>tblData[[#This Row],[Date]]-SKorea100dt+1</f>
        <v>17</v>
      </c>
      <c r="BL58" s="137">
        <f ca="1">IF(AND(tblData[Date]&gt;StartDt2UK,ISNUMBER(tblData[Days'# UK])),betaUK/(deltaUK+betaPodeltaUK*EXP(-betaUK*tblData[Days'# UK])),"")</f>
        <v>364.19983941641755</v>
      </c>
      <c r="BM58" s="20">
        <f ca="1">IF(AND(tblData[Date]&gt;StartDt2UK,ISNUMBER(tblData[UK])),(tblData[[#This Row],[UK LogiP(t)]]-tblData[[#This Row],[UK]])^2,"")</f>
        <v>1780.826446771428</v>
      </c>
      <c r="BN58" s="20">
        <f ca="1">IF(ISNUMBER(tblData[Days'# UK]),tblData[[#This Row],[UK LogiP(t)]]/$BL$9,"")</f>
        <v>54.816351507588429</v>
      </c>
      <c r="BO58" s="137">
        <f ca="1">IF(AND(ISNUMBER(tblData[UK]),tblData[Date]&gt;StartDt2UK),(tblData[UK]-AVERAGE(tblData[UK]))^2,"")</f>
        <v>7744293.8775510192</v>
      </c>
      <c r="BP58" s="11">
        <f>tblData[[#This Row],[Date]]-UK100dt</f>
        <v>-3</v>
      </c>
      <c r="BQ58" s="11">
        <f ca="1">IF(ISNUMBER(tblData[Days'# China]),betaChina/(deltaChina+betaPodeltaChina*EXP(-betaChina*tblData[Days'# China])),"")</f>
        <v>81095.795250092939</v>
      </c>
      <c r="BR58" s="11">
        <f ca="1">IF(ISNUMBER(tblData[China]),(tblData[[#This Row],[China LogiP(t)]]-tblData[[#This Row],[China]])^2,"")</f>
        <v>55599.399966391487</v>
      </c>
      <c r="BS58" s="11">
        <f ca="1">tblData[[#This Row],[China LogiP(t)]]/$BQ$9</f>
        <v>563.42983144115681</v>
      </c>
      <c r="BT58" s="137">
        <f ca="1">IF(AND(ISNUMBER(tblData[China]),tblData[Date]&gt;StartDt2China),(tblData[China]-AVERAGE(tblData[China]))^2,"")</f>
        <v>429776112.91727829</v>
      </c>
      <c r="BU58" s="11">
        <f>tblData[[#This Row],[Date]]-China100dt</f>
        <v>47</v>
      </c>
      <c r="BV58" s="106">
        <f>IF(ISNUMBER(tblData[Day'# Singapore]),betaSingapore/(deltaSingapore+betaPodeltaSingapore*EXP(-betaSingapore*tblData[Day'# Singapore])),"")</f>
        <v>166.86605343392736</v>
      </c>
      <c r="BW58" s="11">
        <f>IF(AND(ISNUMBER(tblData[Singapore]),tblData[Date]&gt;=StartDt2Singapore),(tblData[[#This Row],[Singapore LogiP(t)]]-tblData[[#This Row],[Singapore]])^2,"")</f>
        <v>284.46375843609297</v>
      </c>
      <c r="BX58" s="106">
        <f>IF(ISNUMBER(tblData[Day'# Singapore]),tblData[Singapore LogiP(t)]/$BV$9,"")</f>
        <v>285.24111698107242</v>
      </c>
      <c r="BY58" s="106">
        <f>IF(AND(ISNUMBER(tblData[Singapore]),tblData[Date]&gt;StartDt2Singapore),(tblData[Singapore]-AVERAGE(tblData[Singapore]))^2,"")</f>
        <v>2394.1035508827617</v>
      </c>
      <c r="BZ58" s="11">
        <f>tblData[[#This Row],[Date]]-Singapore100dt+1</f>
        <v>28</v>
      </c>
      <c r="CA58" s="11">
        <f ca="1">IF(AND(tblData[Date]&gt;StartDt2Generic,ISNUMBER(tblData[Day'# Generic])),betaGeneric/(deltaGeneric+betaPodeltaGeneric*EXP(-betaGeneric*tblData[Day'# Generic])),"")</f>
        <v>10.407800567382017</v>
      </c>
      <c r="CB58" s="106">
        <f ca="1">IF(AND(ISNUMBER(tblData[Generic]),tblData[Date]&gt;StartDt2Generic),(tblData[Generic LogiP(t)]-tblData[[#This Row],[Generic]])^2,"")</f>
        <v>29.244306976577263</v>
      </c>
      <c r="CC58" s="11">
        <f ca="1">IF(AND(ISNUMBER(tblData[Generic]),tblData[Date]&gt;StartDt2Generic),tblData[Generic LogiP(t)]/$CA$9,"")</f>
        <v>19.900192289449361</v>
      </c>
      <c r="CD58" s="106">
        <f ca="1">IF(AND(ISNUMBER(tblData[Generic]),tblData[Date]&gt;StartDt2Generic),(tblData[Generic]-AVERAGE(tblData[Generic]))^2,"")</f>
        <v>14208.640000000001</v>
      </c>
      <c r="CE58" s="11">
        <f>tblData[[#This Row],[Date]]-Generic100dt+1</f>
        <v>-11</v>
      </c>
      <c r="CF58">
        <v>7848</v>
      </c>
      <c r="CG58" s="11">
        <v>476</v>
      </c>
      <c r="CH58" s="11">
        <f>IF(ISNUMBER(tblData[[#This Row],[Tests]]),tblData[[#This Row],[Tests]]-CF57,"")</f>
        <v>487</v>
      </c>
      <c r="CI58" s="11">
        <f>IF(ISNUMBER(tblData[[#This Row],[NSW Under Investigation'']]),tblData[[#This Row],[NSW Under Investigation'']]-CG57,"")</f>
        <v>-100</v>
      </c>
      <c r="CJ58" s="11">
        <f>IF(tblData[[#This Row],[Date]]&gt;myData!TestsStart,tblData[[#This Row],[Date]]-myData!TestsStart,"")</f>
        <v>4</v>
      </c>
      <c r="CK58" s="11">
        <f>IF(AND(tblData[[#This Row],[NSW Test Day Number]]&gt;0,ISNUMBER(tblData[[#This Row],[NSW Test Day Number]])),betaTests/(deltaTests+betaPodeltaTests*EXP(-betaTests*tblData[[#This Row],[NSW Test Day Number]])),"")</f>
        <v>8398.169305119256</v>
      </c>
      <c r="CL58" s="11">
        <f>IF(tblData[Tests]&gt;0,(tblData[[#This Row],[Tests]]-tblData[[#This Row],[NSW Test Logi]])^2,"")</f>
        <v>302686.26429540501</v>
      </c>
      <c r="CM58" s="106">
        <f>IF(AND(ISNUMBER(tblData[Tests]),tblData[Date]&gt;StartDt2Tests),(tblData[Tests]-AVERAGE(tblData[Tests]))^2,"")</f>
        <v>1351006070.8977411</v>
      </c>
      <c r="CN58" s="11">
        <f>IF(ISNUMBER(tblData[Tests]),tblData[Tests]/$CN$9/100,"")</f>
        <v>97.128712871287121</v>
      </c>
      <c r="CO58" s="106">
        <f ca="1">IF(AND(tblData[[#This Row],[NSW Test Day Number]]&gt;0,ISNUMBER(tblData[[#This Row],[NSW Test Day Number]])),TestsLogestB*TestsLogestM^tblData[[#This Row],[NSW Test Day Number]],"")</f>
        <v>9547.9134152026618</v>
      </c>
      <c r="CP58" s="106">
        <f>IF(AND(tblData[[#This Row],[NSW Test Day Number]]&gt;0,ISNUMBER(tblData[Tests])),(tblData[Tests]-tblData[[#This Row],[NSW Test Per Capita]])^2,"")</f>
        <v>60076005.709636308</v>
      </c>
      <c r="CQ58" s="39">
        <f ca="1">IF(AND(tblData[Day '# NSW]&gt;0,ISNUMBER(tblData[[#This Row],[Day '# NSW]])),NSWLogestB*NSWLogestM^tblData[[#This Row],[Day '# NSW]]/$CR$9,"")</f>
        <v>110.05975573131094</v>
      </c>
      <c r="CR58" s="39">
        <f ca="1">IF(AND(ISNUMBER(tblData[NSW]),tblData[Date]&gt;StartDt2NSW),(tblData[NSW]/$CR$9-tblData[[#This Row],[NSW Cases LogEst]])^2,"")</f>
        <v>2565.8089879588533</v>
      </c>
      <c r="CS58" s="106"/>
      <c r="CT58" s="11"/>
      <c r="CW58" s="25"/>
      <c r="CX58"/>
      <c r="DL58" s="25"/>
      <c r="DR58"/>
      <c r="DS58"/>
      <c r="DT58"/>
      <c r="DU58"/>
      <c r="DW58" s="25"/>
      <c r="DX58" s="25"/>
      <c r="EB58" s="25"/>
      <c r="EC58" s="25"/>
      <c r="ED58" s="25"/>
      <c r="EE58" s="25"/>
      <c r="EK58"/>
      <c r="EL58"/>
      <c r="EM58"/>
      <c r="EN58"/>
      <c r="EO58"/>
      <c r="EP58" s="25"/>
      <c r="ER58" s="25"/>
      <c r="ES58" s="25"/>
      <c r="ET58"/>
      <c r="EU58" s="25" t="s">
        <v>153</v>
      </c>
      <c r="EV58" s="69">
        <v>43921.87636574074</v>
      </c>
      <c r="EW58" s="26">
        <v>43855</v>
      </c>
      <c r="EX58" s="26">
        <v>43855</v>
      </c>
      <c r="EY58" s="25">
        <v>1</v>
      </c>
      <c r="EZ58" s="25">
        <v>0.23304044484915318</v>
      </c>
      <c r="FA58" s="83">
        <v>6.2803412880147458E-5</v>
      </c>
      <c r="FB58" s="21">
        <v>1.184003502391788E-3</v>
      </c>
      <c r="FC58" s="82">
        <v>3710.633453851975</v>
      </c>
      <c r="FD58" s="82">
        <v>16.061120489058151</v>
      </c>
      <c r="FE58" s="84">
        <v>196.82405501244799</v>
      </c>
      <c r="FF58" s="25">
        <v>6.2803412880147458E-2</v>
      </c>
      <c r="FG58" s="26">
        <v>43920</v>
      </c>
      <c r="FH58" s="25" t="s">
        <v>1907</v>
      </c>
      <c r="FI58" s="84">
        <v>3710.633453851975</v>
      </c>
      <c r="FJ58" s="84"/>
      <c r="FK58" s="25" t="s">
        <v>1908</v>
      </c>
      <c r="FL58" s="26">
        <v>43920</v>
      </c>
      <c r="FM58" s="25">
        <v>66</v>
      </c>
      <c r="FN58" s="25" t="s">
        <v>2072</v>
      </c>
      <c r="FO58" s="72"/>
      <c r="FP58" s="25" t="s">
        <v>1910</v>
      </c>
      <c r="FR58" s="25" t="s">
        <v>2073</v>
      </c>
      <c r="FS58" s="19">
        <v>2373.7623762376238</v>
      </c>
      <c r="FT58" s="72"/>
      <c r="FU58" s="25"/>
      <c r="FV58" s="149"/>
      <c r="FW58" s="25"/>
      <c r="FX58" s="25" t="s">
        <v>2071</v>
      </c>
      <c r="FY58" s="25"/>
      <c r="FZ58" s="25"/>
      <c r="GC58" s="25"/>
      <c r="GD58" s="48"/>
      <c r="GE58" s="48"/>
      <c r="GF58" s="48"/>
      <c r="GG58" s="48"/>
      <c r="GH58" s="48"/>
    </row>
    <row r="59" spans="2:220" x14ac:dyDescent="0.25">
      <c r="B59" s="1">
        <v>43900</v>
      </c>
      <c r="C59">
        <v>0</v>
      </c>
      <c r="D59" s="25">
        <v>0</v>
      </c>
      <c r="E59">
        <v>55</v>
      </c>
      <c r="F59">
        <v>1</v>
      </c>
      <c r="G59">
        <v>18</v>
      </c>
      <c r="H59">
        <v>7</v>
      </c>
      <c r="I59">
        <v>2</v>
      </c>
      <c r="J59">
        <v>18</v>
      </c>
      <c r="K59">
        <v>6</v>
      </c>
      <c r="L59" s="12">
        <f>IF(ISNUMBER(tblData[[#This Row],[NSW]]),tblData[[#This Row],[New South Wales]]/$L$9,"")</f>
        <v>68.06930693069306</v>
      </c>
      <c r="M59" s="25">
        <v>10149</v>
      </c>
      <c r="N59" s="106">
        <f>IF(ISNUMBER(tblData[Italy]),tblData[Italy]/$N$9,"")</f>
        <v>1677.9366785153345</v>
      </c>
      <c r="O59">
        <v>959</v>
      </c>
      <c r="P59" s="106">
        <f>IF(ISNUMBER(tblData[US]),tblData[US]/$P$9,"")</f>
        <v>29.128772153972712</v>
      </c>
      <c r="Q59">
        <v>7513</v>
      </c>
      <c r="R59" s="106">
        <f>IF(ISNUMBER(tblData[SKorea]),tblData[SKorea]/$R$9,"")</f>
        <v>1461.6731517509729</v>
      </c>
      <c r="S59">
        <v>384</v>
      </c>
      <c r="T59" s="106">
        <f>IF(ISNUMBER(tblData[UK]),tblData[UK]/$T$9,"")</f>
        <v>57.796508127633956</v>
      </c>
      <c r="U59">
        <v>80887</v>
      </c>
      <c r="V59" s="106">
        <f>IF(ISNUMBER(tblData[China]),tblData[China]/$V$9,"")</f>
        <v>561.97918320220958</v>
      </c>
      <c r="W59">
        <v>160</v>
      </c>
      <c r="X59" s="106">
        <f>IF(ISNUMBER(tblData[Singapore]),tblData[Singapore]/$X$9,"")</f>
        <v>273.5042735042735</v>
      </c>
      <c r="Y59">
        <v>5</v>
      </c>
      <c r="Z59" s="20">
        <f>IF(AND(LEN(tblData[Generic])&gt;0,ISNUMBER(tblData[Generic])),tblData[Generic]/$Z$9,"")</f>
        <v>9.5602294455066925</v>
      </c>
      <c r="AA59" s="25">
        <f ca="1">IF(tblData[[#This Row],[Date]]&lt;StartDt2Italy,"",tblData[[#This Row],[Date]]-ItalyStart)</f>
        <v>40</v>
      </c>
      <c r="AB59" s="25">
        <f ca="1">IF(tblData[[#This Row],[Date]]&lt;=StartDt2US,"",tblData[[#This Row],[Date]]-USStart)</f>
        <v>48</v>
      </c>
      <c r="AC59" s="25">
        <f ca="1">IF(tblData[[#This Row],[Date]]&lt;StartDt2China,"",tblData[[#This Row],[Date]]-ChinaStart)</f>
        <v>48</v>
      </c>
      <c r="AD59" s="25">
        <f>IF(tblData[[#This Row],[Date]]&lt;=SKoreaStart,"",tblData[[#This Row],[Date]]-SKoreaStart)</f>
        <v>48</v>
      </c>
      <c r="AE59" s="25">
        <f ca="1">IF(tblData[[#This Row],[Date]]&lt;=StartDt2UK,"",tblData[[#This Row],[Date]]-UKStart)</f>
        <v>40</v>
      </c>
      <c r="AF59" s="25">
        <f>IF(tblData[[#This Row],[Date]]&lt;StartDt2Singapore,"",tblData[[#This Row],[Date]]-SingaporeStart)</f>
        <v>47</v>
      </c>
      <c r="AG59" s="25">
        <f ca="1">IF(tblData[[#This Row],[Date]]&lt;StartDt2Generic,"",tblData[[#This Row],[Date]]-GenericStart)</f>
        <v>48</v>
      </c>
      <c r="AH59">
        <f ca="1">IF(tblData[Date]&gt;StartDt2Au,tblData[Date]-AuStart,"")</f>
        <v>45</v>
      </c>
      <c r="AI59" s="25">
        <f>IF(tblData[New South Wales]&gt;=0,SUM(tblData[[#This Row],[Australian Capital Territory]:[Western Australia]]),"")</f>
        <v>107</v>
      </c>
      <c r="AJ59" s="12">
        <f>IF(ISNUMBER(tblData[Au]),tblData[Au]/$AE$9,"")</f>
        <v>42.185775114335279</v>
      </c>
      <c r="AK59" s="19">
        <f ca="1">IF(ISNUMBER(tblData[[#This Row],[Day'# Aust]]),betaAu/(deltaAu+betaPodeltaAu*EXP(-betaAu*tblData[[#This Row],[Day'# Aust]])),"")</f>
        <v>87.070120356078718</v>
      </c>
      <c r="AL59" s="62">
        <f ca="1">IF(ISNUMBER(tblData[Day'# Aust]),tblData[Au LogiP(t)]/$AJ$9,"")</f>
        <v>34.328229126351808</v>
      </c>
      <c r="AM59" s="11">
        <f ca="1">IF(AND(tblData[Date]&gt;StartDt2Au,ISNUMBER(tblData[NSW])),(tblData[[#This Row],[Au LogiP(t)]]-tblData[[#This Row],[Au]])^2,"")</f>
        <v>397.20010262118791</v>
      </c>
      <c r="AN59" s="11">
        <f ca="1">IF(AND(ISNUMBER(tblData[Au]),tblData[Date]&gt;StartDt2Au),(tblData[Au]-AVERAGE(tblData[Au]))^2,"")</f>
        <v>113135.20349482248</v>
      </c>
      <c r="AO59" s="11">
        <f>tblData[[#This Row],[Date]]-Au100dt</f>
        <v>-4</v>
      </c>
      <c r="AP59">
        <f ca="1">IF(tblData[Date]&gt;StartDt2NSW,tblData[Date]-StartDt2NSW,"")</f>
        <v>45</v>
      </c>
      <c r="AQ59" s="25">
        <f>IF(tblData[[#This Row],[New South Wales]]&gt;0,tblData[[#This Row],[New South Wales]],"")</f>
        <v>55</v>
      </c>
      <c r="AR59" s="44">
        <f ca="1">IF(tblData[Date]&gt;StartDt2NSW,betaNSW/(deltaNSW+betaPodeltaNSW*EXP(-betaNSW*tblData[[#This Row],[Day '# NSW]])),"")</f>
        <v>43.752867009940339</v>
      </c>
      <c r="AS59" s="12">
        <f ca="1">IF(AND(ISNUMBER(tblData[NSW]),tblData[Date]&gt;StartDt2NSW),(tblData[[#This Row],[NSW LogiP(t)]]-tblData[[#This Row],[NSW]])^2,"")</f>
        <v>126.49800049608838</v>
      </c>
      <c r="AT59" s="12">
        <f ca="1">IF(AND(tblData[Date]&gt;StartDt2NSW,ISNUMBER(tblData[Day'# Aust])),tblData[NSW LogiP(t)]/$AR$9,"")</f>
        <v>54.149587883589525</v>
      </c>
      <c r="AU59" s="11">
        <f>tblData[[#This Row],[Date]]-NSW100dt+1</f>
        <v>0</v>
      </c>
      <c r="AV59" s="11">
        <f ca="1">IF(AND(ISNUMBER(tblData[NSW]),tblData[Date]&gt;StartDt2NSW),(tblData[NSW]-AVERAGE(tblData[NSW]))^2,"")</f>
        <v>57030.977525729897</v>
      </c>
      <c r="AW59" s="39">
        <f ca="1">IF(AND(tblData[Date]&gt;StartDt2Italy,ISNUMBER(tblData[Days'# Italy])),betaItaly/(deltaItaly+betaPodeltaItaly*EXP(-betaItaly*tblData[Days'# Italy])),"")</f>
        <v>11256.076633747436</v>
      </c>
      <c r="AX59" s="11">
        <f ca="1">IF(AND(tblData[Date]&gt;StartDt2Italy,ISNUMBER(tblData[Italy])),(tblData[[#This Row],[Italy LogiP(t)]]-tblData[[#This Row],[Italy]])^2,"")</f>
        <v>1225618.6729895547</v>
      </c>
      <c r="AY59" s="39">
        <f ca="1">IF(AND(tblData[Date]&gt;StartDt2Italy,ISNUMBER(tblData[Days'# Italy])),tblData[[#This Row],[Italy LogiP(t)]]/$AW$9,"")</f>
        <v>1860.9699320075119</v>
      </c>
      <c r="AZ59" s="39">
        <f ca="1">IF(AND(ISNUMBER(tblData[Italy]),tblData[Date]&gt;StartDt2Italy),(tblData[Italy]-AVERAGE(tblData[Italy]))^2,"")</f>
        <v>117284086.71604937</v>
      </c>
      <c r="BA59" s="11">
        <f>tblData[[#This Row],[Date]]-Italy100dt+1</f>
        <v>13</v>
      </c>
      <c r="BB59" s="11">
        <f ca="1">IF(AND(tblData[Date]&gt;StartDt2US,ISNUMBER(tblData[[#This Row],[Days'# US]])),betaUS/(deltaUS+betaPodeltaUS*EXP(-betaUS*tblData[Days'# US])),"")</f>
        <v>822.10177851579169</v>
      </c>
      <c r="BC59" s="11">
        <f ca="1">IF(AND(tblData[Date]&gt;StartDt2US,ISNUMBER(tblData[US])),(tblData[[#This Row],[US LogiP(t)]]-tblData[US])^2,"")</f>
        <v>18741.123045539352</v>
      </c>
      <c r="BD59" s="137">
        <f ca="1">IF(AND(tblData[Date]&gt;=StartDt2US,ISNUMBER(tblData[[#This Row],[Days'# US]])),tblData[[#This Row],[US LogiP(t)]]/$BB$9,"")</f>
        <v>24.970610421024229</v>
      </c>
      <c r="BE59" s="137">
        <f ca="1">IF(AND(ISNUMBER(tblData[US]),tblData[Date]&gt;StartDt2US),(tblData[US]-AVERAGE(tblData[US]))^2,"")</f>
        <v>301218513.58877206</v>
      </c>
      <c r="BF59" s="11">
        <f>tblData[[#This Row],[Date]]-US100dt+1</f>
        <v>-3</v>
      </c>
      <c r="BG59" s="20">
        <f ca="1">IF(tblData[Date]&gt;StartDt2SKorea,betaSKorea/(deltaSKorea+betaPodeltaSKorea*EXP(-betaSKorea*(tblData[Date]-StartDt2SKorea))),"")</f>
        <v>7870.1873656011039</v>
      </c>
      <c r="BH59" s="20">
        <f ca="1">IF(AND(tblData[Date]&gt;StartDt2SKorea,ISNUMBER(tblData[SKorea])),(tblData[[#This Row],[SKorea LogiP(t)]]-tblData[[#This Row],[SKorea]])^2,"")</f>
        <v>127582.81414505668</v>
      </c>
      <c r="BI59" s="20">
        <f ca="1">IF(tblData[Date]&gt;StartDt2SKorea,tblData[[#This Row],[SKorea LogiP(t)]]/$BG$9,"")</f>
        <v>1531.1648571208375</v>
      </c>
      <c r="BJ59" s="137">
        <f ca="1">IF(AND(ISNUMBER(tblData[SKorea]),tblData[Date]&gt;StartDt2SKorea),(tblData[SKorea]-AVERAGE(tblData[SKorea]))^2,"")</f>
        <v>14084057.551279508</v>
      </c>
      <c r="BK59" s="11">
        <f>tblData[[#This Row],[Date]]-SKorea100dt+1</f>
        <v>18</v>
      </c>
      <c r="BL59" s="137">
        <f ca="1">IF(AND(tblData[Date]&gt;StartDt2UK,ISNUMBER(tblData[Days'# UK])),betaUK/(deltaUK+betaPodeltaUK*EXP(-betaUK*tblData[Days'# UK])),"")</f>
        <v>450.43575244949943</v>
      </c>
      <c r="BM59" s="20">
        <f ca="1">IF(AND(tblData[Date]&gt;StartDt2UK,ISNUMBER(tblData[UK])),(tblData[[#This Row],[UK LogiP(t)]]-tblData[[#This Row],[UK]])^2,"")</f>
        <v>4413.7092035311698</v>
      </c>
      <c r="BN59" s="20">
        <f ca="1">IF(ISNUMBER(tblData[Days'# UK]),tblData[[#This Row],[UK LogiP(t)]]/$BL$9,"")</f>
        <v>67.795868821417727</v>
      </c>
      <c r="BO59" s="137">
        <f ca="1">IF(AND(ISNUMBER(tblData[UK]),tblData[Date]&gt;StartDt2UK),(tblData[UK]-AVERAGE(tblData[UK]))^2,"")</f>
        <v>7403063.5918367337</v>
      </c>
      <c r="BP59" s="11">
        <f>tblData[[#This Row],[Date]]-UK100dt</f>
        <v>-2</v>
      </c>
      <c r="BQ59" s="11">
        <f ca="1">IF(ISNUMBER(tblData[Days'# China]),betaChina/(deltaChina+betaPodeltaChina*EXP(-betaChina*tblData[Days'# China])),"")</f>
        <v>81121.159978277661</v>
      </c>
      <c r="BR59" s="11">
        <f ca="1">IF(ISNUMBER(tblData[China]),(tblData[[#This Row],[China LogiP(t)]]-tblData[[#This Row],[China]])^2,"")</f>
        <v>54830.895426994735</v>
      </c>
      <c r="BS59" s="11">
        <f ca="1">tblData[[#This Row],[China LogiP(t)]]/$BQ$9</f>
        <v>563.60605814294331</v>
      </c>
      <c r="BT59" s="137">
        <f ca="1">IF(AND(ISNUMBER(tblData[China]),tblData[Date]&gt;StartDt2China),(tblData[China]-AVERAGE(tblData[China]))^2,"")</f>
        <v>430896318.19896841</v>
      </c>
      <c r="BU59" s="11">
        <f>tblData[[#This Row],[Date]]-China100dt</f>
        <v>48</v>
      </c>
      <c r="BV59" s="106">
        <f>IF(ISNUMBER(tblData[Day'# Singapore]),betaSingapore/(deltaSingapore+betaPodeltaSingapore*EXP(-betaSingapore*tblData[Day'# Singapore])),"")</f>
        <v>180.671842785911</v>
      </c>
      <c r="BW59" s="11">
        <f>IF(AND(ISNUMBER(tblData[Singapore]),tblData[Date]&gt;=StartDt2Singapore),(tblData[[#This Row],[Singapore LogiP(t)]]-tblData[[#This Row],[Singapore]])^2,"")</f>
        <v>427.32508416542049</v>
      </c>
      <c r="BX59" s="106">
        <f>IF(ISNUMBER(tblData[Day'# Singapore]),tblData[Singapore LogiP(t)]/$BV$9,"")</f>
        <v>308.84075689899316</v>
      </c>
      <c r="BY59" s="106">
        <f>IF(AND(ISNUMBER(tblData[Singapore]),tblData[Date]&gt;StartDt2Singapore),(tblData[Singapore]-AVERAGE(tblData[Singapore]))^2,"")</f>
        <v>1515.512001586987</v>
      </c>
      <c r="BZ59" s="11">
        <f>tblData[[#This Row],[Date]]-Singapore100dt+1</f>
        <v>29</v>
      </c>
      <c r="CA59" s="11">
        <f ca="1">IF(AND(tblData[Date]&gt;StartDt2Generic,ISNUMBER(tblData[Day'# Generic])),betaGeneric/(deltaGeneric+betaPodeltaGeneric*EXP(-betaGeneric*tblData[Day'# Generic])),"")</f>
        <v>12.664401549510018</v>
      </c>
      <c r="CB59" s="106">
        <f ca="1">IF(AND(ISNUMBER(tblData[Generic]),tblData[Date]&gt;StartDt2Generic),(tblData[Generic LogiP(t)]-tblData[[#This Row],[Generic]])^2,"")</f>
        <v>58.74305111213156</v>
      </c>
      <c r="CC59" s="11">
        <f ca="1">IF(AND(ISNUMBER(tblData[Generic]),tblData[Date]&gt;StartDt2Generic),tblData[Generic LogiP(t)]/$CA$9,"")</f>
        <v>24.21491692066925</v>
      </c>
      <c r="CD59" s="106">
        <f ca="1">IF(AND(ISNUMBER(tblData[Generic]),tblData[Date]&gt;StartDt2Generic),(tblData[Generic]-AVERAGE(tblData[Generic]))^2,"")</f>
        <v>14208.640000000001</v>
      </c>
      <c r="CE59" s="11">
        <f>tblData[[#This Row],[Date]]-Generic100dt+1</f>
        <v>-10</v>
      </c>
      <c r="CF59">
        <v>8361</v>
      </c>
      <c r="CG59" s="11">
        <v>618</v>
      </c>
      <c r="CH59" s="11">
        <f>IF(ISNUMBER(tblData[[#This Row],[Tests]]),tblData[[#This Row],[Tests]]-CF58,"")</f>
        <v>513</v>
      </c>
      <c r="CI59" s="11">
        <f>IF(ISNUMBER(tblData[[#This Row],[NSW Under Investigation'']]),tblData[[#This Row],[NSW Under Investigation'']]-CG58,"")</f>
        <v>142</v>
      </c>
      <c r="CJ59" s="11">
        <f>IF(tblData[[#This Row],[Date]]&gt;myData!TestsStart,tblData[[#This Row],[Date]]-myData!TestsStart,"")</f>
        <v>5</v>
      </c>
      <c r="CK59" s="11">
        <f>IF(AND(tblData[[#This Row],[NSW Test Day Number]]&gt;0,ISNUMBER(tblData[[#This Row],[NSW Test Day Number]])),betaTests/(deltaTests+betaPodeltaTests*EXP(-betaTests*tblData[[#This Row],[NSW Test Day Number]])),"")</f>
        <v>9889.9236503597931</v>
      </c>
      <c r="CL59" s="11">
        <f>IF(tblData[Tests]&gt;0,(tblData[[#This Row],[Tests]]-tblData[[#This Row],[NSW Test Logi]])^2,"")</f>
        <v>2337607.5286295149</v>
      </c>
      <c r="CM59" s="106">
        <f>IF(AND(ISNUMBER(tblData[Tests]),tblData[Date]&gt;StartDt2Tests),(tblData[Tests]-AVERAGE(tblData[Tests]))^2,"")</f>
        <v>1313557548.5184307</v>
      </c>
      <c r="CN59" s="11">
        <f>IF(ISNUMBER(tblData[Tests]),tblData[Tests]/$CN$9/100,"")</f>
        <v>103.47772277227723</v>
      </c>
      <c r="CO59" s="106">
        <f ca="1">IF(AND(tblData[[#This Row],[NSW Test Day Number]]&gt;0,ISNUMBER(tblData[[#This Row],[NSW Test Day Number]])),TestsLogestB*TestsLogestM^tblData[[#This Row],[NSW Test Day Number]],"")</f>
        <v>10713.137287405332</v>
      </c>
      <c r="CP59" s="106">
        <f>IF(AND(tblData[[#This Row],[NSW Test Day Number]]&gt;0,ISNUMBER(tblData[Tests])),(tblData[Tests]-tblData[[#This Row],[NSW Test Per Capita]])^2,"")</f>
        <v>68186674.158912122</v>
      </c>
      <c r="CQ59" s="39">
        <f ca="1">IF(AND(tblData[Day '# NSW]&gt;0,ISNUMBER(tblData[[#This Row],[Day '# NSW]])),NSWLogestB*NSWLogestM^tblData[[#This Row],[Day '# NSW]]/$CR$9,"")</f>
        <v>122.48978056018588</v>
      </c>
      <c r="CR59" s="39">
        <f ca="1">IF(AND(ISNUMBER(tblData[NSW]),tblData[Date]&gt;StartDt2NSW),(tblData[NSW]/$CR$9-tblData[[#This Row],[NSW Cases LogEst]])^2,"")</f>
        <v>2961.5879500583233</v>
      </c>
      <c r="CS59" s="106"/>
      <c r="CT59" s="11"/>
      <c r="CW59" s="25"/>
      <c r="CX59"/>
      <c r="DL59" s="25"/>
      <c r="DR59"/>
      <c r="DS59"/>
      <c r="DT59"/>
      <c r="DU59"/>
      <c r="DW59" s="25"/>
      <c r="DX59" s="25"/>
      <c r="EB59" s="25"/>
      <c r="EC59" s="25"/>
      <c r="ED59" s="25"/>
      <c r="EE59" s="25"/>
      <c r="EK59"/>
      <c r="EL59"/>
      <c r="EM59"/>
      <c r="EN59"/>
      <c r="EO59"/>
      <c r="EP59" s="25"/>
      <c r="ER59" s="25"/>
      <c r="ES59" s="25"/>
      <c r="ET59"/>
      <c r="EU59" s="25" t="s">
        <v>153</v>
      </c>
      <c r="EV59" s="69">
        <v>43922.352233796293</v>
      </c>
      <c r="EW59" s="26">
        <v>43855</v>
      </c>
      <c r="EX59" s="26">
        <v>43855</v>
      </c>
      <c r="EY59" s="25">
        <v>1</v>
      </c>
      <c r="EZ59" s="25">
        <v>0.23304249981528199</v>
      </c>
      <c r="FA59" s="83">
        <v>6.2814695234776377E-5</v>
      </c>
      <c r="FB59" s="21">
        <v>1.1842555135500956E-3</v>
      </c>
      <c r="FC59" s="82">
        <v>3709.9996894717342</v>
      </c>
      <c r="FD59" s="82">
        <v>16.060954961900638</v>
      </c>
      <c r="FE59" s="84">
        <v>196.78390580427288</v>
      </c>
      <c r="FF59" s="25">
        <v>6.2814695234776383E-2</v>
      </c>
      <c r="FG59" s="26">
        <v>43920</v>
      </c>
      <c r="FH59" s="25" t="s">
        <v>1907</v>
      </c>
      <c r="FI59" s="84">
        <v>3709.9996894717342</v>
      </c>
      <c r="FJ59" s="84"/>
      <c r="FK59" s="25" t="s">
        <v>1908</v>
      </c>
      <c r="FL59" s="26">
        <v>43920</v>
      </c>
      <c r="FM59" s="25">
        <v>66</v>
      </c>
      <c r="FN59" s="25" t="s">
        <v>2072</v>
      </c>
      <c r="FO59" s="72"/>
      <c r="FP59" s="25" t="s">
        <v>1910</v>
      </c>
      <c r="FR59" s="25" t="s">
        <v>2073</v>
      </c>
      <c r="FS59" s="19">
        <v>2373.7623762376238</v>
      </c>
      <c r="FT59" s="72"/>
      <c r="FU59" s="25"/>
      <c r="FV59" s="149"/>
      <c r="FW59" s="25"/>
      <c r="FX59" s="25" t="s">
        <v>2071</v>
      </c>
      <c r="FY59" s="25"/>
      <c r="FZ59" s="25"/>
      <c r="GA59" s="25"/>
      <c r="GC59" s="25"/>
    </row>
    <row r="60" spans="2:220" x14ac:dyDescent="0.25">
      <c r="B60" s="1">
        <v>43901</v>
      </c>
      <c r="C60">
        <v>0</v>
      </c>
      <c r="D60" s="25">
        <v>0</v>
      </c>
      <c r="E60">
        <v>65</v>
      </c>
      <c r="F60">
        <v>1</v>
      </c>
      <c r="G60">
        <v>20</v>
      </c>
      <c r="H60">
        <v>9</v>
      </c>
      <c r="I60">
        <v>3</v>
      </c>
      <c r="J60">
        <v>21</v>
      </c>
      <c r="K60">
        <v>9</v>
      </c>
      <c r="L60" s="12">
        <f>IF(ISNUMBER(tblData[[#This Row],[NSW]]),tblData[[#This Row],[New South Wales]]/$L$9,"")</f>
        <v>80.445544554455438</v>
      </c>
      <c r="M60" s="25">
        <v>12462</v>
      </c>
      <c r="N60" s="106">
        <f>IF(ISNUMBER(tblData[Italy]),tblData[Italy]/$N$9,"")</f>
        <v>2060.3455402165828</v>
      </c>
      <c r="O60">
        <v>1281</v>
      </c>
      <c r="P60" s="106">
        <f>IF(ISNUMBER(tblData[US]),tblData[US]/$P$9,"")</f>
        <v>38.909235796912455</v>
      </c>
      <c r="Q60">
        <v>7755</v>
      </c>
      <c r="R60" s="106">
        <f>IF(ISNUMBER(tblData[SKorea]),tblData[SKorea]/$R$9,"")</f>
        <v>1508.7548638132296</v>
      </c>
      <c r="S60">
        <v>459</v>
      </c>
      <c r="T60" s="106">
        <f>IF(ISNUMBER(tblData[UK]),tblData[UK]/$T$9,"")</f>
        <v>69.084888621312459</v>
      </c>
      <c r="U60">
        <v>80921</v>
      </c>
      <c r="V60" s="106">
        <f>IF(ISNUMBER(tblData[China]),tblData[China]/$V$9,"")</f>
        <v>562.21540524319107</v>
      </c>
      <c r="W60">
        <v>178</v>
      </c>
      <c r="X60" s="106">
        <f>IF(ISNUMBER(tblData[Singapore]),tblData[Singapore]/$X$9,"")</f>
        <v>304.27350427350427</v>
      </c>
      <c r="Y60">
        <v>5</v>
      </c>
      <c r="Z60" s="20">
        <f>IF(AND(LEN(tblData[Generic])&gt;0,ISNUMBER(tblData[Generic])),tblData[Generic]/$Z$9,"")</f>
        <v>9.5602294455066925</v>
      </c>
      <c r="AA60" s="25">
        <f ca="1">IF(tblData[[#This Row],[Date]]&lt;StartDt2Italy,"",tblData[[#This Row],[Date]]-ItalyStart)</f>
        <v>41</v>
      </c>
      <c r="AB60" s="25">
        <f ca="1">IF(tblData[[#This Row],[Date]]&lt;=StartDt2US,"",tblData[[#This Row],[Date]]-USStart)</f>
        <v>49</v>
      </c>
      <c r="AC60" s="25">
        <f ca="1">IF(tblData[[#This Row],[Date]]&lt;StartDt2China,"",tblData[[#This Row],[Date]]-ChinaStart)</f>
        <v>49</v>
      </c>
      <c r="AD60" s="25">
        <f>IF(tblData[[#This Row],[Date]]&lt;=SKoreaStart,"",tblData[[#This Row],[Date]]-SKoreaStart)</f>
        <v>49</v>
      </c>
      <c r="AE60" s="25">
        <f ca="1">IF(tblData[[#This Row],[Date]]&lt;=StartDt2UK,"",tblData[[#This Row],[Date]]-UKStart)</f>
        <v>41</v>
      </c>
      <c r="AF60" s="25">
        <f>IF(tblData[[#This Row],[Date]]&lt;StartDt2Singapore,"",tblData[[#This Row],[Date]]-SingaporeStart)</f>
        <v>48</v>
      </c>
      <c r="AG60" s="25">
        <f ca="1">IF(tblData[[#This Row],[Date]]&lt;StartDt2Generic,"",tblData[[#This Row],[Date]]-GenericStart)</f>
        <v>49</v>
      </c>
      <c r="AH60">
        <f ca="1">IF(tblData[Date]&gt;StartDt2Au,tblData[Date]-AuStart,"")</f>
        <v>46</v>
      </c>
      <c r="AI60" s="25">
        <f>IF(tblData[New South Wales]&gt;=0,SUM(tblData[[#This Row],[Australian Capital Territory]:[Western Australia]]),"")</f>
        <v>128</v>
      </c>
      <c r="AJ60" s="12">
        <f>IF(ISNUMBER(tblData[Au]),tblData[Au]/$AE$9,"")</f>
        <v>50.465226304999213</v>
      </c>
      <c r="AK60" s="19">
        <f ca="1">IF(ISNUMBER(tblData[[#This Row],[Day'# Aust]]),betaAu/(deltaAu+betaPodeltaAu*EXP(-betaAu*tblData[[#This Row],[Day'# Aust]])),"")</f>
        <v>111.69205880657155</v>
      </c>
      <c r="AL60" s="62">
        <f ca="1">IF(ISNUMBER(tblData[Day'# Aust]),tblData[Au LogiP(t)]/$AJ$9,"")</f>
        <v>44.03566425113214</v>
      </c>
      <c r="AM60" s="11">
        <f ca="1">IF(AND(tblData[Date]&gt;StartDt2Au,ISNUMBER(tblData[NSW])),(tblData[[#This Row],[Au LogiP(t)]]-tblData[[#This Row],[Au]])^2,"")</f>
        <v>265.94894596832046</v>
      </c>
      <c r="AN60" s="11">
        <f ca="1">IF(AND(ISNUMBER(tblData[Au]),tblData[Date]&gt;StartDt2Au),(tblData[Au]-AVERAGE(tblData[Au]))^2,"")</f>
        <v>99449.261187130178</v>
      </c>
      <c r="AO60" s="11">
        <f>tblData[[#This Row],[Date]]-Au100dt</f>
        <v>-3</v>
      </c>
      <c r="AP60">
        <f ca="1">IF(tblData[Date]&gt;StartDt2NSW,tblData[Date]-StartDt2NSW,"")</f>
        <v>46</v>
      </c>
      <c r="AQ60" s="25">
        <f>IF(tblData[[#This Row],[New South Wales]]&gt;0,tblData[[#This Row],[New South Wales]],"")</f>
        <v>65</v>
      </c>
      <c r="AR60" s="44">
        <f ca="1">IF(tblData[Date]&gt;StartDt2NSW,betaNSW/(deltaNSW+betaPodeltaNSW*EXP(-betaNSW*tblData[[#This Row],[Day '# NSW]])),"")</f>
        <v>55.282143105314958</v>
      </c>
      <c r="AS60" s="12">
        <f ca="1">IF(AND(ISNUMBER(tblData[NSW]),tblData[Date]&gt;StartDt2NSW),(tblData[[#This Row],[NSW LogiP(t)]]-tblData[[#This Row],[NSW]])^2,"")</f>
        <v>94.436742625577608</v>
      </c>
      <c r="AT60" s="12">
        <f ca="1">IF(AND(tblData[Date]&gt;StartDt2NSW,ISNUMBER(tblData[Day'# Aust])),tblData[NSW LogiP(t)]/$AR$9,"")</f>
        <v>68.418493942221474</v>
      </c>
      <c r="AU60" s="11">
        <f>tblData[[#This Row],[Date]]-NSW100dt+1</f>
        <v>1</v>
      </c>
      <c r="AV60" s="11">
        <f ca="1">IF(AND(ISNUMBER(tblData[NSW]),tblData[Date]&gt;StartDt2NSW),(tblData[NSW]-AVERAGE(tblData[NSW]))^2,"")</f>
        <v>52354.745641671921</v>
      </c>
      <c r="AW60" s="39">
        <f ca="1">IF(AND(tblData[Date]&gt;StartDt2Italy,ISNUMBER(tblData[Days'# Italy])),betaItaly/(deltaItaly+betaPodeltaItaly*EXP(-betaItaly*tblData[Days'# Italy])),"")</f>
        <v>14072.843531323193</v>
      </c>
      <c r="AX60" s="11">
        <f ca="1">IF(AND(tblData[Date]&gt;StartDt2Italy,ISNUMBER(tblData[Italy])),(tblData[[#This Row],[Italy LogiP(t)]]-tblData[[#This Row],[Italy]])^2,"")</f>
        <v>2594816.8824057747</v>
      </c>
      <c r="AY60" s="39">
        <f ca="1">IF(AND(tblData[Date]&gt;StartDt2Italy,ISNUMBER(tblData[Days'# Italy])),tblData[[#This Row],[Italy LogiP(t)]]/$AW$9,"")</f>
        <v>2326.666699400379</v>
      </c>
      <c r="AZ60" s="39">
        <f ca="1">IF(AND(ISNUMBER(tblData[Italy]),tblData[Date]&gt;StartDt2Italy),(tblData[Italy]-AVERAGE(tblData[Italy]))^2,"")</f>
        <v>72535503.716049373</v>
      </c>
      <c r="BA60" s="11">
        <f>tblData[[#This Row],[Date]]-Italy100dt+1</f>
        <v>14</v>
      </c>
      <c r="BB60" s="11">
        <f ca="1">IF(AND(tblData[Date]&gt;StartDt2US,ISNUMBER(tblData[[#This Row],[Days'# US]])),betaUS/(deltaUS+betaPodeltaUS*EXP(-betaUS*tblData[Days'# US])),"")</f>
        <v>1091.3900131888759</v>
      </c>
      <c r="BC60" s="11">
        <f ca="1">IF(AND(tblData[Date]&gt;StartDt2US,ISNUMBER(tblData[US])),(tblData[[#This Row],[US LogiP(t)]]-tblData[US])^2,"")</f>
        <v>35951.947098514669</v>
      </c>
      <c r="BD60" s="137">
        <f ca="1">IF(AND(tblData[Date]&gt;=StartDt2US,ISNUMBER(tblData[[#This Row],[Days'# US]])),tblData[[#This Row],[US LogiP(t)]]/$BB$9,"")</f>
        <v>33.150001069134554</v>
      </c>
      <c r="BE60" s="137">
        <f ca="1">IF(AND(ISNUMBER(tblData[US]),tblData[Date]&gt;StartDt2US),(tblData[US]-AVERAGE(tblData[US]))^2,"")</f>
        <v>290145160.34933543</v>
      </c>
      <c r="BF60" s="11">
        <f>tblData[[#This Row],[Date]]-US100dt+1</f>
        <v>-2</v>
      </c>
      <c r="BG60" s="20">
        <f ca="1">IF(tblData[Date]&gt;StartDt2SKorea,betaSKorea/(deltaSKorea+betaPodeltaSKorea*EXP(-betaSKorea*(tblData[Date]-StartDt2SKorea))),"")</f>
        <v>8111.1486462601715</v>
      </c>
      <c r="BH60" s="20">
        <f ca="1">IF(AND(tblData[Date]&gt;StartDt2SKorea,ISNUMBER(tblData[SKorea])),(tblData[[#This Row],[SKorea LogiP(t)]]-tblData[[#This Row],[SKorea]])^2,"")</f>
        <v>126841.85823295279</v>
      </c>
      <c r="BI60" s="20">
        <f ca="1">IF(tblData[Date]&gt;StartDt2SKorea,tblData[[#This Row],[SKorea LogiP(t)]]/$BG$9,"")</f>
        <v>1578.0444837082048</v>
      </c>
      <c r="BJ60" s="137">
        <f ca="1">IF(AND(ISNUMBER(tblData[SKorea]),tblData[Date]&gt;StartDt2SKorea),(tblData[SKorea]-AVERAGE(tblData[SKorea]))^2,"")</f>
        <v>15959012.199166832</v>
      </c>
      <c r="BK60" s="11">
        <f>tblData[[#This Row],[Date]]-SKorea100dt+1</f>
        <v>19</v>
      </c>
      <c r="BL60" s="137">
        <f ca="1">IF(AND(tblData[Date]&gt;StartDt2UK,ISNUMBER(tblData[Days'# UK])),betaUK/(deltaUK+betaPodeltaUK*EXP(-betaUK*tblData[Days'# UK])),"")</f>
        <v>556.93747564834337</v>
      </c>
      <c r="BM60" s="20">
        <f ca="1">IF(AND(tblData[Date]&gt;StartDt2UK,ISNUMBER(tblData[UK])),(tblData[[#This Row],[UK LogiP(t)]]-tblData[[#This Row],[UK]])^2,"")</f>
        <v>9591.74913636985</v>
      </c>
      <c r="BN60" s="20">
        <f ca="1">IF(ISNUMBER(tblData[Days'# UK]),tblData[[#This Row],[UK LogiP(t)]]/$BL$9,"")</f>
        <v>83.825628484097436</v>
      </c>
      <c r="BO60" s="137">
        <f ca="1">IF(AND(ISNUMBER(tblData[UK]),tblData[Date]&gt;StartDt2UK),(tblData[UK]-AVERAGE(tblData[UK]))^2,"")</f>
        <v>7000560.0204081619</v>
      </c>
      <c r="BP60" s="11">
        <f>tblData[[#This Row],[Date]]-UK100dt</f>
        <v>-1</v>
      </c>
      <c r="BQ60" s="11">
        <f ca="1">IF(ISNUMBER(tblData[Days'# China]),betaChina/(deltaChina+betaPodeltaChina*EXP(-betaChina*tblData[Days'# China])),"")</f>
        <v>81141.509606482898</v>
      </c>
      <c r="BR60" s="11">
        <f ca="1">IF(ISNUMBER(tblData[China]),(tblData[[#This Row],[China LogiP(t)]]-tblData[[#This Row],[China]])^2,"")</f>
        <v>48624.486551242378</v>
      </c>
      <c r="BS60" s="11">
        <f ca="1">tblData[[#This Row],[China LogiP(t)]]/$BQ$9</f>
        <v>563.7474413990567</v>
      </c>
      <c r="BT60" s="137">
        <f ca="1">IF(AND(ISNUMBER(tblData[China]),tblData[Date]&gt;StartDt2China),(tblData[China]-AVERAGE(tblData[China]))^2,"")</f>
        <v>432309021.07220787</v>
      </c>
      <c r="BU60" s="11">
        <f>tblData[[#This Row],[Date]]-China100dt</f>
        <v>49</v>
      </c>
      <c r="BV60" s="106">
        <f>IF(ISNUMBER(tblData[Day'# Singapore]),betaSingapore/(deltaSingapore+betaPodeltaSingapore*EXP(-betaSingapore*tblData[Day'# Singapore])),"")</f>
        <v>195.61827482116908</v>
      </c>
      <c r="BW60" s="11">
        <f>IF(AND(ISNUMBER(tblData[Singapore]),tblData[Date]&gt;=StartDt2Singapore),(tblData[[#This Row],[Singapore LogiP(t)]]-tblData[[#This Row],[Singapore]])^2,"")</f>
        <v>310.40360767424039</v>
      </c>
      <c r="BX60" s="106">
        <f>IF(ISNUMBER(tblData[Day'# Singapore]),tblData[Singapore LogiP(t)]/$BV$9,"")</f>
        <v>334.39021336951981</v>
      </c>
      <c r="BY60" s="106">
        <f>IF(AND(ISNUMBER(tblData[Singapore]),tblData[Date]&gt;StartDt2Singapore),(tblData[Singapore]-AVERAGE(tblData[Singapore]))^2,"")</f>
        <v>438.04721285459249</v>
      </c>
      <c r="BZ60" s="11">
        <f>tblData[[#This Row],[Date]]-Singapore100dt+1</f>
        <v>30</v>
      </c>
      <c r="CA60" s="11">
        <f ca="1">IF(AND(tblData[Date]&gt;StartDt2Generic,ISNUMBER(tblData[Day'# Generic])),betaGeneric/(deltaGeneric+betaPodeltaGeneric*EXP(-betaGeneric*tblData[Day'# Generic])),"")</f>
        <v>15.408143444938144</v>
      </c>
      <c r="CB60" s="106">
        <f ca="1">IF(AND(ISNUMBER(tblData[Generic]),tblData[Date]&gt;StartDt2Generic),(tblData[Generic LogiP(t)]-tblData[[#This Row],[Generic]])^2,"")</f>
        <v>108.32944997040886</v>
      </c>
      <c r="CC60" s="11">
        <f ca="1">IF(AND(ISNUMBER(tblData[Generic]),tblData[Date]&gt;StartDt2Generic),tblData[Generic LogiP(t)]/$CA$9,"")</f>
        <v>29.461077332577712</v>
      </c>
      <c r="CD60" s="106">
        <f ca="1">IF(AND(ISNUMBER(tblData[Generic]),tblData[Date]&gt;StartDt2Generic),(tblData[Generic]-AVERAGE(tblData[Generic]))^2,"")</f>
        <v>14208.640000000001</v>
      </c>
      <c r="CE60" s="11">
        <f>tblData[[#This Row],[Date]]-Generic100dt+1</f>
        <v>-9</v>
      </c>
      <c r="CF60">
        <v>9152</v>
      </c>
      <c r="CG60" s="11">
        <v>1004</v>
      </c>
      <c r="CH60" s="11">
        <f>IF(ISNUMBER(tblData[[#This Row],[Tests]]),tblData[[#This Row],[Tests]]-CF59,"")</f>
        <v>791</v>
      </c>
      <c r="CI60" s="11">
        <f>IF(ISNUMBER(tblData[[#This Row],[NSW Under Investigation'']]),tblData[[#This Row],[NSW Under Investigation'']]-CG59,"")</f>
        <v>386</v>
      </c>
      <c r="CJ60" s="11">
        <f>IF(tblData[[#This Row],[Date]]&gt;myData!TestsStart,tblData[[#This Row],[Date]]-myData!TestsStart,"")</f>
        <v>6</v>
      </c>
      <c r="CK60" s="11">
        <f>IF(AND(tblData[[#This Row],[NSW Test Day Number]]&gt;0,ISNUMBER(tblData[[#This Row],[NSW Test Day Number]])),betaTests/(deltaTests+betaPodeltaTests*EXP(-betaTests*tblData[[#This Row],[NSW Test Day Number]])),"")</f>
        <v>11620.744006036553</v>
      </c>
      <c r="CL60" s="11">
        <f>IF(tblData[Tests]&gt;0,(tblData[[#This Row],[Tests]]-tblData[[#This Row],[NSW Test Logi]])^2,"")</f>
        <v>6094696.96734141</v>
      </c>
      <c r="CM60" s="106">
        <f>IF(AND(ISNUMBER(tblData[Tests]),tblData[Date]&gt;StartDt2Tests),(tblData[Tests]-AVERAGE(tblData[Tests]))^2,"")</f>
        <v>1256846748.9667065</v>
      </c>
      <c r="CN60" s="11">
        <f>IF(ISNUMBER(tblData[Tests]),tblData[Tests]/$CN$9/100,"")</f>
        <v>113.26732673267327</v>
      </c>
      <c r="CO60" s="106">
        <f ca="1">IF(AND(tblData[[#This Row],[NSW Test Day Number]]&gt;0,ISNUMBER(tblData[[#This Row],[NSW Test Day Number]])),TestsLogestB*TestsLogestM^tblData[[#This Row],[NSW Test Day Number]],"")</f>
        <v>12020.56465615303</v>
      </c>
      <c r="CP60" s="106">
        <f>IF(AND(tblData[[#This Row],[NSW Test Day Number]]&gt;0,ISNUMBER(tblData[Tests])),(tblData[Tests]-tblData[[#This Row],[NSW Test Per Capita]])^2,"")</f>
        <v>81698688.338790312</v>
      </c>
      <c r="CQ60" s="39">
        <f ca="1">IF(AND(tblData[Day '# NSW]&gt;0,ISNUMBER(tblData[[#This Row],[Day '# NSW]])),NSWLogestB*NSWLogestM^tblData[[#This Row],[Day '# NSW]]/$CR$9,"")</f>
        <v>136.32363839068626</v>
      </c>
      <c r="CR60" s="39">
        <f ca="1">IF(AND(ISNUMBER(tblData[NSW]),tblData[Date]&gt;StartDt2NSW),(tblData[NSW]/$CR$9-tblData[[#This Row],[NSW Cases LogEst]])^2,"")</f>
        <v>3122.3613707706163</v>
      </c>
      <c r="CS60" s="106"/>
      <c r="CT60" s="11"/>
      <c r="CW60" s="25"/>
      <c r="CX60"/>
      <c r="DL60" s="25"/>
      <c r="DR60"/>
      <c r="DS60"/>
      <c r="DT60"/>
      <c r="DU60"/>
      <c r="DW60" s="25"/>
      <c r="DX60" s="25"/>
      <c r="EB60" s="25"/>
      <c r="EC60" s="25"/>
      <c r="ED60" s="25"/>
      <c r="EE60" s="25"/>
      <c r="EK60"/>
      <c r="EL60"/>
      <c r="EM60"/>
      <c r="EN60"/>
      <c r="EO60"/>
      <c r="EP60" s="25"/>
      <c r="ER60" s="25"/>
      <c r="ES60" s="25"/>
      <c r="ET60"/>
      <c r="EU60" s="25" t="s">
        <v>153</v>
      </c>
      <c r="EV60" s="69">
        <v>43922.647719907407</v>
      </c>
      <c r="EW60" s="26">
        <v>43855</v>
      </c>
      <c r="EX60" s="26">
        <v>43855</v>
      </c>
      <c r="EY60" s="25">
        <v>1</v>
      </c>
      <c r="EZ60" s="25">
        <v>0.19784166572026515</v>
      </c>
      <c r="FA60" s="84">
        <v>4.518394616573327E-5</v>
      </c>
      <c r="FB60" s="21">
        <v>9.0142306205120912E-3</v>
      </c>
      <c r="FC60" s="82">
        <v>4378.5831585977076</v>
      </c>
      <c r="FD60" s="82">
        <v>32.49919830565441</v>
      </c>
      <c r="FE60" s="84">
        <v>21.947658846398014</v>
      </c>
      <c r="FF60" s="25">
        <v>4.518394616573327E-2</v>
      </c>
      <c r="FG60" s="26">
        <v>43921</v>
      </c>
      <c r="FH60" s="26" t="s">
        <v>2081</v>
      </c>
      <c r="FI60" s="84">
        <v>4378.5831585977076</v>
      </c>
      <c r="FJ60" s="25">
        <v>2032</v>
      </c>
      <c r="FK60" s="72" t="s">
        <v>2082</v>
      </c>
      <c r="FL60" s="26">
        <v>43921</v>
      </c>
      <c r="FM60" s="25">
        <v>67</v>
      </c>
      <c r="FN60" s="25" t="s">
        <v>2083</v>
      </c>
      <c r="FP60" s="72" t="s">
        <v>2084</v>
      </c>
      <c r="FR60" s="25" t="s">
        <v>2085</v>
      </c>
      <c r="FS60" s="19">
        <v>2514.8514851485147</v>
      </c>
      <c r="FT60" s="25"/>
      <c r="FU60" s="25"/>
      <c r="FV60" s="149"/>
      <c r="FW60" s="25"/>
      <c r="FX60" s="25" t="s">
        <v>2026</v>
      </c>
      <c r="FY60" s="25"/>
      <c r="FZ60" s="25"/>
      <c r="GC60" s="25"/>
      <c r="GI60" s="48"/>
      <c r="GJ60" s="48"/>
      <c r="GK60" s="48"/>
      <c r="GL60" s="48"/>
      <c r="GM60" s="48"/>
      <c r="GN60" s="48"/>
    </row>
    <row r="61" spans="2:220" x14ac:dyDescent="0.25">
      <c r="B61" s="1">
        <v>43902</v>
      </c>
      <c r="C61">
        <v>0</v>
      </c>
      <c r="D61" s="25">
        <v>0</v>
      </c>
      <c r="E61">
        <v>76</v>
      </c>
      <c r="F61">
        <v>1</v>
      </c>
      <c r="G61">
        <v>20</v>
      </c>
      <c r="H61">
        <v>9</v>
      </c>
      <c r="I61">
        <v>3</v>
      </c>
      <c r="J61">
        <v>21</v>
      </c>
      <c r="K61">
        <v>9</v>
      </c>
      <c r="L61" s="12">
        <f>IF(ISNUMBER(tblData[[#This Row],[NSW]]),tblData[[#This Row],[New South Wales]]/$L$9,"")</f>
        <v>94.059405940594047</v>
      </c>
      <c r="M61" s="25">
        <v>12462</v>
      </c>
      <c r="N61" s="106">
        <f>IF(ISNUMBER(tblData[Italy]),tblData[Italy]/$N$9,"")</f>
        <v>2060.3455402165828</v>
      </c>
      <c r="O61">
        <v>1663</v>
      </c>
      <c r="P61" s="106">
        <f>IF(ISNUMBER(tblData[US]),tblData[US]/$P$9,"")</f>
        <v>50.512146081393766</v>
      </c>
      <c r="Q61">
        <v>7869</v>
      </c>
      <c r="R61" s="106">
        <f>IF(ISNUMBER(tblData[SKorea]),tblData[SKorea]/$R$9,"")</f>
        <v>1530.933852140078</v>
      </c>
      <c r="S61">
        <v>459</v>
      </c>
      <c r="T61" s="106">
        <f>IF(ISNUMBER(tblData[UK]),tblData[UK]/$T$9,"")</f>
        <v>69.084888621312459</v>
      </c>
      <c r="U61">
        <v>80932</v>
      </c>
      <c r="V61" s="106">
        <f>IF(ISNUMBER(tblData[China]),tblData[China]/$V$9,"")</f>
        <v>562.29183002115576</v>
      </c>
      <c r="W61">
        <v>178</v>
      </c>
      <c r="X61" s="106">
        <f>IF(ISNUMBER(tblData[Singapore]),tblData[Singapore]/$X$9,"")</f>
        <v>304.27350427350427</v>
      </c>
      <c r="Y61">
        <v>5</v>
      </c>
      <c r="Z61" s="20">
        <f>IF(AND(LEN(tblData[Generic])&gt;0,ISNUMBER(tblData[Generic])),tblData[Generic]/$Z$9,"")</f>
        <v>9.5602294455066925</v>
      </c>
      <c r="AA61" s="25">
        <f ca="1">IF(tblData[[#This Row],[Date]]&lt;StartDt2Italy,"",tblData[[#This Row],[Date]]-ItalyStart)</f>
        <v>42</v>
      </c>
      <c r="AB61" s="25">
        <f ca="1">IF(tblData[[#This Row],[Date]]&lt;=StartDt2US,"",tblData[[#This Row],[Date]]-USStart)</f>
        <v>50</v>
      </c>
      <c r="AC61" s="25">
        <f ca="1">IF(tblData[[#This Row],[Date]]&lt;StartDt2China,"",tblData[[#This Row],[Date]]-ChinaStart)</f>
        <v>50</v>
      </c>
      <c r="AD61" s="25">
        <f>IF(tblData[[#This Row],[Date]]&lt;=SKoreaStart,"",tblData[[#This Row],[Date]]-SKoreaStart)</f>
        <v>50</v>
      </c>
      <c r="AE61" s="25">
        <f ca="1">IF(tblData[[#This Row],[Date]]&lt;=StartDt2UK,"",tblData[[#This Row],[Date]]-UKStart)</f>
        <v>42</v>
      </c>
      <c r="AF61" s="25">
        <f>IF(tblData[[#This Row],[Date]]&lt;StartDt2Singapore,"",tblData[[#This Row],[Date]]-SingaporeStart)</f>
        <v>49</v>
      </c>
      <c r="AG61" s="25">
        <f ca="1">IF(tblData[[#This Row],[Date]]&lt;StartDt2Generic,"",tblData[[#This Row],[Date]]-GenericStart)</f>
        <v>50</v>
      </c>
      <c r="AH61">
        <f ca="1">IF(tblData[Date]&gt;StartDt2Au,tblData[Date]-AuStart,"")</f>
        <v>47</v>
      </c>
      <c r="AI61" s="25">
        <f>IF(tblData[New South Wales]&gt;=0,SUM(tblData[[#This Row],[Australian Capital Territory]:[Western Australia]]),"")</f>
        <v>139</v>
      </c>
      <c r="AJ61" s="12">
        <f>IF(ISNUMBER(tblData[Au]),tblData[Au]/$AE$9,"")</f>
        <v>54.802081690585084</v>
      </c>
      <c r="AK61" s="19">
        <f ca="1">IF(ISNUMBER(tblData[[#This Row],[Day'# Aust]]),betaAu/(deltaAu+betaPodeltaAu*EXP(-betaAu*tblData[[#This Row],[Day'# Aust]])),"")</f>
        <v>143.11310909119476</v>
      </c>
      <c r="AL61" s="62">
        <f ca="1">IF(ISNUMBER(tblData[Day'# Aust]),tblData[Au LogiP(t)]/$AJ$9,"")</f>
        <v>56.423714355462373</v>
      </c>
      <c r="AM61" s="11">
        <f ca="1">IF(AND(tblData[Date]&gt;StartDt2Au,ISNUMBER(tblData[NSW])),(tblData[[#This Row],[Au LogiP(t)]]-tblData[[#This Row],[Au]])^2,"")</f>
        <v>16.91766639606897</v>
      </c>
      <c r="AN61" s="11">
        <f ca="1">IF(AND(ISNUMBER(tblData[Au]),tblData[Date]&gt;StartDt2Au),(tblData[Au]-AVERAGE(tblData[Au]))^2,"")</f>
        <v>92632.434264053256</v>
      </c>
      <c r="AO61" s="11">
        <f>tblData[[#This Row],[Date]]-Au100dt</f>
        <v>-2</v>
      </c>
      <c r="AP61">
        <f ca="1">IF(tblData[Date]&gt;StartDt2NSW,tblData[Date]-StartDt2NSW,"")</f>
        <v>47</v>
      </c>
      <c r="AQ61" s="25">
        <f>IF(tblData[[#This Row],[New South Wales]]&gt;0,tblData[[#This Row],[New South Wales]],"")</f>
        <v>76</v>
      </c>
      <c r="AR61" s="44">
        <f ca="1">IF(tblData[Date]&gt;StartDt2NSW,betaNSW/(deltaNSW+betaPodeltaNSW*EXP(-betaNSW*tblData[[#This Row],[Day '# NSW]])),"")</f>
        <v>69.777784955658703</v>
      </c>
      <c r="AS61" s="12">
        <f ca="1">IF(AND(ISNUMBER(tblData[NSW]),tblData[Date]&gt;StartDt2NSW),(tblData[[#This Row],[NSW LogiP(t)]]-tblData[[#This Row],[NSW]])^2,"")</f>
        <v>38.715960058027171</v>
      </c>
      <c r="AT61" s="12">
        <f ca="1">IF(AND(tblData[Date]&gt;StartDt2NSW,ISNUMBER(tblData[Day'# Aust])),tblData[NSW LogiP(t)]/$AR$9,"")</f>
        <v>86.358644747102346</v>
      </c>
      <c r="AU61" s="11">
        <f>tblData[[#This Row],[Date]]-NSW100dt+1</f>
        <v>2</v>
      </c>
      <c r="AV61" s="11">
        <f ca="1">IF(AND(ISNUMBER(tblData[NSW]),tblData[Date]&gt;StartDt2NSW),(tblData[NSW]-AVERAGE(tblData[NSW]))^2,"")</f>
        <v>47441.890569208153</v>
      </c>
      <c r="AW61" s="39">
        <f ca="1">IF(AND(tblData[Date]&gt;StartDt2Italy,ISNUMBER(tblData[Days'# Italy])),betaItaly/(deltaItaly+betaPodeltaItaly*EXP(-betaItaly*tblData[Days'# Italy])),"")</f>
        <v>17451.475508919742</v>
      </c>
      <c r="AX61" s="11">
        <f ca="1">IF(AND(tblData[Date]&gt;StartDt2Italy,ISNUMBER(tblData[Italy])),(tblData[[#This Row],[Italy LogiP(t)]]-tblData[[#This Row],[Italy]])^2,"")</f>
        <v>24894865.854109924</v>
      </c>
      <c r="AY61" s="39">
        <f ca="1">IF(AND(tblData[Date]&gt;StartDt2Italy,ISNUMBER(tblData[Days'# Italy])),tblData[[#This Row],[Italy LogiP(t)]]/$AW$9,"")</f>
        <v>2885.2567593485564</v>
      </c>
      <c r="AZ61" s="39">
        <f ca="1">IF(AND(ISNUMBER(tblData[Italy]),tblData[Date]&gt;StartDt2Italy),(tblData[Italy]-AVERAGE(tblData[Italy]))^2,"")</f>
        <v>72535503.716049373</v>
      </c>
      <c r="BA61" s="11">
        <f>tblData[[#This Row],[Date]]-Italy100dt+1</f>
        <v>15</v>
      </c>
      <c r="BB61" s="11">
        <f ca="1">IF(AND(tblData[Date]&gt;StartDt2US,ISNUMBER(tblData[[#This Row],[Days'# US]])),betaUS/(deltaUS+betaPodeltaUS*EXP(-betaUS*tblData[Days'# US])),"")</f>
        <v>1448.6844111161879</v>
      </c>
      <c r="BC61" s="11">
        <f ca="1">IF(AND(tblData[Date]&gt;StartDt2US,ISNUMBER(tblData[US])),(tblData[[#This Row],[US LogiP(t)]]-tblData[US])^2,"")</f>
        <v>45931.17163861516</v>
      </c>
      <c r="BD61" s="137">
        <f ca="1">IF(AND(tblData[Date]&gt;=StartDt2US,ISNUMBER(tblData[[#This Row],[Days'# US]])),tblData[[#This Row],[US LogiP(t)]]/$BB$9,"")</f>
        <v>44.002500661538654</v>
      </c>
      <c r="BE61" s="137">
        <f ca="1">IF(AND(ISNUMBER(tblData[US]),tblData[Date]&gt;StartDt2US),(tblData[US]-AVERAGE(tblData[US]))^2,"")</f>
        <v>277277377.36341995</v>
      </c>
      <c r="BF61" s="11">
        <f>tblData[[#This Row],[Date]]-US100dt+1</f>
        <v>-1</v>
      </c>
      <c r="BG61" s="20">
        <f ca="1">IF(tblData[Date]&gt;StartDt2SKorea,betaSKorea/(deltaSKorea+betaPodeltaSKorea*EXP(-betaSKorea*(tblData[Date]-StartDt2SKorea))),"")</f>
        <v>8306.9792405013523</v>
      </c>
      <c r="BH61" s="20">
        <f ca="1">IF(AND(tblData[Date]&gt;StartDt2SKorea,ISNUMBER(tblData[SKorea])),(tblData[[#This Row],[SKorea LogiP(t)]]-tblData[[#This Row],[SKorea]])^2,"")</f>
        <v>191825.81511014135</v>
      </c>
      <c r="BI61" s="20">
        <f ca="1">IF(tblData[Date]&gt;StartDt2SKorea,tblData[[#This Row],[SKorea LogiP(t)]]/$BG$9,"")</f>
        <v>1616.1438211092127</v>
      </c>
      <c r="BJ61" s="137">
        <f ca="1">IF(AND(ISNUMBER(tblData[SKorea]),tblData[Date]&gt;StartDt2SKorea),(tblData[SKorea]-AVERAGE(tblData[SKorea]))^2,"")</f>
        <v>16882839.297758382</v>
      </c>
      <c r="BK61" s="11">
        <f>tblData[[#This Row],[Date]]-SKorea100dt+1</f>
        <v>20</v>
      </c>
      <c r="BL61" s="137">
        <f ca="1">IF(AND(tblData[Date]&gt;StartDt2UK,ISNUMBER(tblData[Days'# UK])),betaUK/(deltaUK+betaPodeltaUK*EXP(-betaUK*tblData[Days'# UK])),"")</f>
        <v>688.38670006804716</v>
      </c>
      <c r="BM61" s="20">
        <f ca="1">IF(AND(tblData[Date]&gt;StartDt2UK,ISNUMBER(tblData[UK])),(tblData[[#This Row],[UK LogiP(t)]]-tblData[[#This Row],[UK]])^2,"")</f>
        <v>52618.25816810823</v>
      </c>
      <c r="BN61" s="20">
        <f ca="1">IF(ISNUMBER(tblData[Days'# UK]),tblData[[#This Row],[UK LogiP(t)]]/$BL$9,"")</f>
        <v>103.61027996207814</v>
      </c>
      <c r="BO61" s="137">
        <f ca="1">IF(AND(ISNUMBER(tblData[UK]),tblData[Date]&gt;StartDt2UK),(tblData[UK]-AVERAGE(tblData[UK]))^2,"")</f>
        <v>7000560.0204081619</v>
      </c>
      <c r="BP61" s="11">
        <f>tblData[[#This Row],[Date]]-UK100dt</f>
        <v>0</v>
      </c>
      <c r="BQ61" s="11">
        <f ca="1">IF(ISNUMBER(tblData[Days'# China]),betaChina/(deltaChina+betaPodeltaChina*EXP(-betaChina*tblData[Days'# China])),"")</f>
        <v>81157.833896200842</v>
      </c>
      <c r="BR61" s="11">
        <f ca="1">IF(ISNUMBER(tblData[China]),(tblData[[#This Row],[China LogiP(t)]]-tblData[[#This Row],[China]])^2,"")</f>
        <v>51000.948673252671</v>
      </c>
      <c r="BS61" s="11">
        <f ca="1">tblData[[#This Row],[China LogiP(t)]]/$BQ$9</f>
        <v>563.86085778243159</v>
      </c>
      <c r="BT61" s="137">
        <f ca="1">IF(AND(ISNUMBER(tblData[China]),tblData[Date]&gt;StartDt2China),(tblData[China]-AVERAGE(tblData[China]))^2,"")</f>
        <v>432766567.00178534</v>
      </c>
      <c r="BU61" s="11">
        <f>tblData[[#This Row],[Date]]-China100dt</f>
        <v>50</v>
      </c>
      <c r="BV61" s="106">
        <f>IF(ISNUMBER(tblData[Day'# Singapore]),betaSingapore/(deltaSingapore+betaPodeltaSingapore*EXP(-betaSingapore*tblData[Day'# Singapore])),"")</f>
        <v>211.79931626336028</v>
      </c>
      <c r="BW61" s="11">
        <f>IF(AND(ISNUMBER(tblData[Singapore]),tblData[Date]&gt;=StartDt2Singapore),(tblData[[#This Row],[Singapore LogiP(t)]]-tblData[[#This Row],[Singapore]])^2,"")</f>
        <v>1142.3937798706509</v>
      </c>
      <c r="BX61" s="106">
        <f>IF(ISNUMBER(tblData[Day'# Singapore]),tblData[Singapore LogiP(t)]/$BV$9,"")</f>
        <v>362.05011327070133</v>
      </c>
      <c r="BY61" s="106">
        <f>IF(AND(ISNUMBER(tblData[Singapore]),tblData[Date]&gt;StartDt2Singapore),(tblData[Singapore]-AVERAGE(tblData[Singapore]))^2,"")</f>
        <v>438.04721285459249</v>
      </c>
      <c r="BZ61" s="11">
        <f>tblData[[#This Row],[Date]]-Singapore100dt+1</f>
        <v>31</v>
      </c>
      <c r="CA61" s="11">
        <f ca="1">IF(AND(tblData[Date]&gt;StartDt2Generic,ISNUMBER(tblData[Day'# Generic])),betaGeneric/(deltaGeneric+betaPodeltaGeneric*EXP(-betaGeneric*tblData[Day'# Generic])),"")</f>
        <v>18.743164966731651</v>
      </c>
      <c r="CB61" s="106">
        <f ca="1">IF(AND(ISNUMBER(tblData[Generic]),tblData[Date]&gt;StartDt2Generic),(tblData[Generic LogiP(t)]-tblData[[#This Row],[Generic]])^2,"")</f>
        <v>188.8745833028002</v>
      </c>
      <c r="CC61" s="11">
        <f ca="1">IF(AND(ISNUMBER(tblData[Generic]),tblData[Date]&gt;StartDt2Generic),tblData[Generic LogiP(t)]/$CA$9,"")</f>
        <v>35.83779152338748</v>
      </c>
      <c r="CD61" s="106">
        <f ca="1">IF(AND(ISNUMBER(tblData[Generic]),tblData[Date]&gt;StartDt2Generic),(tblData[Generic]-AVERAGE(tblData[Generic]))^2,"")</f>
        <v>14208.640000000001</v>
      </c>
      <c r="CE61" s="11">
        <f>tblData[[#This Row],[Date]]-Generic100dt+1</f>
        <v>-8</v>
      </c>
      <c r="CF61">
        <v>11040</v>
      </c>
      <c r="CG61" s="11">
        <v>1831</v>
      </c>
      <c r="CH61" s="11">
        <f>IF(ISNUMBER(tblData[[#This Row],[Tests]]),tblData[[#This Row],[Tests]]-CF60,"")</f>
        <v>1888</v>
      </c>
      <c r="CI61" s="11">
        <f>IF(ISNUMBER(tblData[[#This Row],[NSW Under Investigation'']]),tblData[[#This Row],[NSW Under Investigation'']]-CG60,"")</f>
        <v>827</v>
      </c>
      <c r="CJ61" s="11">
        <f>IF(tblData[[#This Row],[Date]]&gt;myData!TestsStart,tblData[[#This Row],[Date]]-myData!TestsStart,"")</f>
        <v>7</v>
      </c>
      <c r="CK61" s="11">
        <f>IF(AND(tblData[[#This Row],[NSW Test Day Number]]&gt;0,ISNUMBER(tblData[[#This Row],[NSW Test Day Number]])),betaTests/(deltaTests+betaPodeltaTests*EXP(-betaTests*tblData[[#This Row],[NSW Test Day Number]])),"")</f>
        <v>13619.315615358622</v>
      </c>
      <c r="CL61" s="11">
        <f>IF(tblData[Tests]&gt;0,(tblData[[#This Row],[Tests]]-tblData[[#This Row],[NSW Test Logi]])^2,"")</f>
        <v>6652869.0436328286</v>
      </c>
      <c r="CM61" s="106">
        <f>IF(AND(ISNUMBER(tblData[Tests]),tblData[Date]&gt;StartDt2Tests),(tblData[Tests]-AVERAGE(tblData[Tests]))^2,"")</f>
        <v>1126544410.75981</v>
      </c>
      <c r="CN61" s="11">
        <f>IF(ISNUMBER(tblData[Tests]),tblData[Tests]/$CN$9/100,"")</f>
        <v>136.63366336633663</v>
      </c>
      <c r="CO61" s="106">
        <f ca="1">IF(AND(tblData[[#This Row],[NSW Test Day Number]]&gt;0,ISNUMBER(tblData[[#This Row],[NSW Test Day Number]])),TestsLogestB*TestsLogestM^tblData[[#This Row],[NSW Test Day Number]],"")</f>
        <v>13487.549984319405</v>
      </c>
      <c r="CP61" s="106">
        <f>IF(AND(tblData[[#This Row],[NSW Test Day Number]]&gt;0,ISNUMBER(tblData[Tests])),(tblData[Tests]-tblData[[#This Row],[NSW Test Per Capita]])^2,"")</f>
        <v>118883397.47083621</v>
      </c>
      <c r="CQ61" s="39">
        <f ca="1">IF(AND(tblData[Day '# NSW]&gt;0,ISNUMBER(tblData[[#This Row],[Day '# NSW]])),NSWLogestB*NSWLogestM^tblData[[#This Row],[Day '# NSW]]/$CR$9,"")</f>
        <v>151.71987654058367</v>
      </c>
      <c r="CR61" s="39">
        <f ca="1">IF(AND(ISNUMBER(tblData[NSW]),tblData[Date]&gt;StartDt2NSW),(tblData[NSW]/$CR$9-tblData[[#This Row],[NSW Cases LogEst]])^2,"")</f>
        <v>3324.7298698122677</v>
      </c>
      <c r="CS61" s="106"/>
      <c r="CT61" s="11"/>
      <c r="CW61" s="25"/>
      <c r="CX61"/>
      <c r="DL61" s="25"/>
      <c r="DR61"/>
      <c r="DS61"/>
      <c r="DT61"/>
      <c r="DU61"/>
      <c r="DW61" s="25"/>
      <c r="DX61" s="25"/>
      <c r="EB61" s="25"/>
      <c r="EC61" s="25"/>
      <c r="ED61" s="25"/>
      <c r="EE61" s="25"/>
      <c r="EK61"/>
      <c r="EL61"/>
      <c r="EM61"/>
      <c r="EN61"/>
      <c r="EO61"/>
      <c r="EP61" s="25"/>
      <c r="ER61" s="25"/>
      <c r="ES61" s="25"/>
      <c r="ET61"/>
      <c r="EU61" s="25" t="s">
        <v>153</v>
      </c>
      <c r="EV61" s="69">
        <v>43922.849293981482</v>
      </c>
      <c r="EW61" s="26">
        <v>43855</v>
      </c>
      <c r="EX61" s="26">
        <v>43855</v>
      </c>
      <c r="EY61" s="25">
        <v>1</v>
      </c>
      <c r="EZ61" s="25">
        <v>0.23757628314936624</v>
      </c>
      <c r="FA61" s="84">
        <v>7.7841049575560063E-5</v>
      </c>
      <c r="FB61" s="22">
        <v>1E-3</v>
      </c>
      <c r="FC61" s="81">
        <v>3052.0693701432133</v>
      </c>
      <c r="FD61" s="81">
        <v>22.06135165419742</v>
      </c>
      <c r="FE61" s="84">
        <v>237.57620530831667</v>
      </c>
      <c r="FF61" s="84">
        <v>7.7841049575560067E-2</v>
      </c>
      <c r="FG61" s="26">
        <v>43922</v>
      </c>
      <c r="FH61" s="26" t="s">
        <v>2092</v>
      </c>
      <c r="FI61" s="83">
        <v>3052.0693701432133</v>
      </c>
      <c r="FJ61" s="83">
        <v>2182</v>
      </c>
      <c r="FK61" s="72" t="s">
        <v>2093</v>
      </c>
      <c r="FL61" s="26">
        <v>43922</v>
      </c>
      <c r="FM61" s="25">
        <v>68</v>
      </c>
      <c r="FN61" s="25" t="s">
        <v>2094</v>
      </c>
      <c r="FO61" s="72"/>
      <c r="FP61" s="72" t="s">
        <v>2095</v>
      </c>
      <c r="FR61" s="25" t="s">
        <v>2096</v>
      </c>
      <c r="FS61" s="19">
        <v>2700.4950495049502</v>
      </c>
      <c r="FT61" s="72"/>
      <c r="FU61" s="25"/>
      <c r="FV61" s="149"/>
      <c r="FW61" s="25"/>
      <c r="FX61" s="25" t="s">
        <v>2091</v>
      </c>
      <c r="FY61" s="25"/>
      <c r="FZ61" s="25"/>
      <c r="GA61" s="25"/>
      <c r="GC61" s="25"/>
      <c r="GO61" s="48"/>
      <c r="GP61" s="48"/>
      <c r="GQ61" s="48"/>
      <c r="GR61" s="48"/>
      <c r="GS61" s="48"/>
      <c r="GT61" s="48"/>
      <c r="GU61" s="48"/>
      <c r="GV61" s="48"/>
      <c r="GW61" s="48"/>
      <c r="GX61" s="48"/>
      <c r="GY61" s="48"/>
      <c r="GZ61" s="48"/>
      <c r="HA61" s="48"/>
      <c r="HB61" s="48"/>
      <c r="HC61" s="48"/>
      <c r="HD61" s="48"/>
      <c r="HE61" s="48"/>
      <c r="HF61" s="48"/>
      <c r="HG61" s="48"/>
      <c r="HH61" s="48"/>
      <c r="HI61" s="48"/>
      <c r="HJ61" s="48"/>
      <c r="HK61" s="48"/>
      <c r="HL61" s="48"/>
    </row>
    <row r="62" spans="2:220" x14ac:dyDescent="0.25">
      <c r="B62" s="1">
        <f>B61+1</f>
        <v>43903</v>
      </c>
      <c r="D62" s="11">
        <v>1</v>
      </c>
      <c r="E62" s="11">
        <v>92</v>
      </c>
      <c r="F62" s="25">
        <v>1</v>
      </c>
      <c r="G62" s="25">
        <v>35</v>
      </c>
      <c r="H62" s="25">
        <v>16</v>
      </c>
      <c r="I62" s="25">
        <v>5</v>
      </c>
      <c r="J62" s="25">
        <v>36</v>
      </c>
      <c r="K62" s="25">
        <v>14</v>
      </c>
      <c r="L62" s="12">
        <f>IF(ISNUMBER(tblData[[#This Row],[NSW]]),tblData[[#This Row],[New South Wales]]/$L$9,"")</f>
        <v>113.86138613861385</v>
      </c>
      <c r="M62" s="25">
        <v>17660</v>
      </c>
      <c r="N62" s="106">
        <f>IF(ISNUMBER(tblData[Italy]),tblData[Italy]/$N$9,"")</f>
        <v>2919.732164999587</v>
      </c>
      <c r="O62">
        <v>2179</v>
      </c>
      <c r="P62" s="106">
        <f>IF(ISNUMBER(tblData[US]),tblData[US]/$P$9,"")</f>
        <v>66.185187198651235</v>
      </c>
      <c r="Q62">
        <v>7979</v>
      </c>
      <c r="R62" s="106">
        <f>IF(ISNUMBER(tblData[SKorea]),tblData[SKorea]/$R$9,"")</f>
        <v>1552.3346303501946</v>
      </c>
      <c r="S62">
        <v>802</v>
      </c>
      <c r="T62" s="106">
        <f>IF(ISNUMBER(tblData[UK]),tblData[UK]/$T$9,"")</f>
        <v>120.71041541240217</v>
      </c>
      <c r="U62">
        <v>80945</v>
      </c>
      <c r="V62" s="106">
        <f>IF(ISNUMBER(tblData[China]),tblData[China]/$V$9,"")</f>
        <v>562.38215021329574</v>
      </c>
      <c r="W62">
        <v>200</v>
      </c>
      <c r="X62" s="106">
        <f>IF(ISNUMBER(tblData[Singapore]),tblData[Singapore]/$X$9,"")</f>
        <v>341.88034188034192</v>
      </c>
      <c r="Y62">
        <v>5</v>
      </c>
      <c r="Z62" s="20">
        <f>IF(AND(LEN(tblData[Generic])&gt;0,ISNUMBER(tblData[Generic])),tblData[Generic]/$Z$9,"")</f>
        <v>9.5602294455066925</v>
      </c>
      <c r="AA62" s="25">
        <f ca="1">IF(tblData[[#This Row],[Date]]&lt;StartDt2Italy,"",tblData[[#This Row],[Date]]-ItalyStart)</f>
        <v>43</v>
      </c>
      <c r="AB62" s="25">
        <f ca="1">IF(tblData[[#This Row],[Date]]&lt;=StartDt2US,"",tblData[[#This Row],[Date]]-USStart)</f>
        <v>51</v>
      </c>
      <c r="AC62" s="25">
        <f ca="1">IF(tblData[[#This Row],[Date]]&lt;StartDt2China,"",tblData[[#This Row],[Date]]-ChinaStart)</f>
        <v>51</v>
      </c>
      <c r="AD62" s="25">
        <f>IF(tblData[[#This Row],[Date]]&lt;=SKoreaStart,"",tblData[[#This Row],[Date]]-SKoreaStart)</f>
        <v>51</v>
      </c>
      <c r="AE62" s="25">
        <f ca="1">IF(tblData[[#This Row],[Date]]&lt;=StartDt2UK,"",tblData[[#This Row],[Date]]-UKStart)</f>
        <v>43</v>
      </c>
      <c r="AF62" s="25">
        <f>IF(tblData[[#This Row],[Date]]&lt;StartDt2Singapore,"",tblData[[#This Row],[Date]]-SingaporeStart)</f>
        <v>50</v>
      </c>
      <c r="AG62" s="25">
        <f ca="1">IF(tblData[[#This Row],[Date]]&lt;StartDt2Generic,"",tblData[[#This Row],[Date]]-GenericStart)</f>
        <v>51</v>
      </c>
      <c r="AH62">
        <f ca="1">IF(tblData[Date]&gt;StartDt2Au,tblData[Date]-AuStart,"")</f>
        <v>48</v>
      </c>
      <c r="AI62" s="25">
        <f>IF(tblData[New South Wales]&gt;=0,SUM(tblData[[#This Row],[Australian Capital Territory]:[Western Australia]]),"")</f>
        <v>200</v>
      </c>
      <c r="AJ62" s="12">
        <f>IF(ISNUMBER(tblData[Au]),tblData[Au]/$AE$9,"")</f>
        <v>78.851916101561272</v>
      </c>
      <c r="AK62" s="19">
        <f ca="1">IF(ISNUMBER(tblData[[#This Row],[Day'# Aust]]),betaAu/(deltaAu+betaPodeltaAu*EXP(-betaAu*tblData[[#This Row],[Day'# Aust]])),"")</f>
        <v>183.10674968170747</v>
      </c>
      <c r="AL62" s="62">
        <f ca="1">IF(ISNUMBER(tblData[Day'# Aust]),tblData[Au LogiP(t)]/$AJ$9,"")</f>
        <v>72.191590317657884</v>
      </c>
      <c r="AM62" s="11">
        <f ca="1">IF(AND(tblData[Date]&gt;StartDt2Au,ISNUMBER(tblData[NSW])),(tblData[[#This Row],[Au LogiP(t)]]-tblData[[#This Row],[Au]])^2,"")</f>
        <v>285.3819063164907</v>
      </c>
      <c r="AN62" s="11">
        <f ca="1">IF(AND(ISNUMBER(tblData[Au]),tblData[Date]&gt;StartDt2Au),(tblData[Au]-AVERAGE(tblData[Au]))^2,"")</f>
        <v>59222.030417899405</v>
      </c>
      <c r="AO62" s="11">
        <f>tblData[[#This Row],[Date]]-Au100dt</f>
        <v>-1</v>
      </c>
      <c r="AP62">
        <f ca="1">IF(tblData[Date]&gt;StartDt2NSW,tblData[Date]-StartDt2NSW,"")</f>
        <v>48</v>
      </c>
      <c r="AQ62" s="25">
        <f>IF(tblData[[#This Row],[New South Wales]]&gt;0,tblData[[#This Row],[New South Wales]],"")</f>
        <v>92</v>
      </c>
      <c r="AR62" s="44">
        <f ca="1">IF(tblData[Date]&gt;StartDt2NSW,betaNSW/(deltaNSW+betaPodeltaNSW*EXP(-betaNSW*tblData[[#This Row],[Day '# NSW]])),"")</f>
        <v>87.960831668575949</v>
      </c>
      <c r="AS62" s="12">
        <f ca="1">IF(AND(ISNUMBER(tblData[NSW]),tblData[Date]&gt;StartDt2NSW),(tblData[[#This Row],[NSW LogiP(t)]]-tblData[[#This Row],[NSW]])^2,"")</f>
        <v>16.314880809578952</v>
      </c>
      <c r="AT62" s="12">
        <f ca="1">IF(AND(tblData[Date]&gt;StartDt2NSW,ISNUMBER(tblData[Day'# Aust])),tblData[NSW LogiP(t)]/$AR$9,"")</f>
        <v>108.86241543140586</v>
      </c>
      <c r="AU62" s="11">
        <f>tblData[[#This Row],[Date]]-NSW100dt+1</f>
        <v>3</v>
      </c>
      <c r="AV62" s="11">
        <f ca="1">IF(AND(ISNUMBER(tblData[NSW]),tblData[Date]&gt;StartDt2NSW),(tblData[NSW]-AVERAGE(tblData[NSW]))^2,"")</f>
        <v>40727.919554715401</v>
      </c>
      <c r="AW62" s="39">
        <f ca="1">IF(AND(tblData[Date]&gt;StartDt2Italy,ISNUMBER(tblData[Days'# Italy])),betaItaly/(deltaItaly+betaPodeltaItaly*EXP(-betaItaly*tblData[Days'# Italy])),"")</f>
        <v>21432.296029776746</v>
      </c>
      <c r="AX62" s="11">
        <f ca="1">IF(AND(tblData[Date]&gt;StartDt2Italy,ISNUMBER(tblData[Italy])),(tblData[[#This Row],[Italy LogiP(t)]]-tblData[[#This Row],[Italy]])^2,"")</f>
        <v>14230217.336269399</v>
      </c>
      <c r="AY62" s="39">
        <f ca="1">IF(AND(tblData[Date]&gt;StartDt2Italy,ISNUMBER(tblData[Days'# Italy])),tblData[[#This Row],[Italy LogiP(t)]]/$AW$9,"")</f>
        <v>3543.4067999961553</v>
      </c>
      <c r="AZ62" s="39">
        <f ca="1">IF(AND(ISNUMBER(tblData[Italy]),tblData[Date]&gt;StartDt2Italy),(tblData[Italy]-AVERAGE(tblData[Italy]))^2,"")</f>
        <v>11014285.938271603</v>
      </c>
      <c r="BA62" s="11">
        <f>tblData[[#This Row],[Date]]-Italy100dt+1</f>
        <v>16</v>
      </c>
      <c r="BB62" s="11">
        <f ca="1">IF(AND(tblData[Date]&gt;StartDt2US,ISNUMBER(tblData[[#This Row],[Days'# US]])),betaUS/(deltaUS+betaPodeltaUS*EXP(-betaUS*tblData[Days'# US])),"")</f>
        <v>1922.5924743152698</v>
      </c>
      <c r="BC62" s="11">
        <f ca="1">IF(AND(tblData[Date]&gt;StartDt2US,ISNUMBER(tblData[US])),(tblData[[#This Row],[US LogiP(t)]]-tblData[US])^2,"")</f>
        <v>65744.819227765591</v>
      </c>
      <c r="BD62" s="137">
        <f ca="1">IF(AND(tblData[Date]&gt;=StartDt2US,ISNUMBER(tblData[[#This Row],[Days'# US]])),tblData[[#This Row],[US LogiP(t)]]/$BB$9,"")</f>
        <v>58.397036631149248</v>
      </c>
      <c r="BE62" s="137">
        <f ca="1">IF(AND(ISNUMBER(tblData[US]),tblData[Date]&gt;StartDt2US),(tblData[US]-AVERAGE(tblData[US]))^2,"")</f>
        <v>260359132.74370164</v>
      </c>
      <c r="BF62" s="11">
        <f>tblData[[#This Row],[Date]]-US100dt+1</f>
        <v>0</v>
      </c>
      <c r="BG62" s="20">
        <f ca="1">IF(tblData[Date]&gt;StartDt2SKorea,betaSKorea/(deltaSKorea+betaPodeltaSKorea*EXP(-betaSKorea*(tblData[Date]-StartDt2SKorea))),"")</f>
        <v>8464.3289480000421</v>
      </c>
      <c r="BH62" s="20">
        <f ca="1">IF(AND(tblData[Date]&gt;StartDt2SKorea,ISNUMBER(tblData[SKorea])),(tblData[[#This Row],[SKorea LogiP(t)]]-tblData[[#This Row],[SKorea]])^2,"")</f>
        <v>235544.18776682761</v>
      </c>
      <c r="BI62" s="20">
        <f ca="1">IF(tblData[Date]&gt;StartDt2SKorea,tblData[[#This Row],[SKorea LogiP(t)]]/$BG$9,"")</f>
        <v>1646.7566046692691</v>
      </c>
      <c r="BJ62" s="137">
        <f ca="1">IF(AND(ISNUMBER(tblData[SKorea]),tblData[Date]&gt;StartDt2SKorea),(tblData[SKorea]-AVERAGE(tblData[SKorea]))^2,"")</f>
        <v>17798891.41043444</v>
      </c>
      <c r="BK62" s="11">
        <f>tblData[[#This Row],[Date]]-SKorea100dt+1</f>
        <v>21</v>
      </c>
      <c r="BL62" s="137">
        <f ca="1">IF(AND(tblData[Date]&gt;StartDt2UK,ISNUMBER(tblData[Days'# UK])),betaUK/(deltaUK+betaPodeltaUK*EXP(-betaUK*tblData[Days'# UK])),"")</f>
        <v>850.50416664267198</v>
      </c>
      <c r="BM62" s="20">
        <f ca="1">IF(AND(tblData[Date]&gt;StartDt2UK,ISNUMBER(tblData[UK])),(tblData[[#This Row],[UK LogiP(t)]]-tblData[[#This Row],[UK]])^2,"")</f>
        <v>2352.654181700093</v>
      </c>
      <c r="BN62" s="20">
        <f ca="1">IF(ISNUMBER(tblData[Days'# UK]),tblData[[#This Row],[UK LogiP(t)]]/$BL$9,"")</f>
        <v>128.01086192695243</v>
      </c>
      <c r="BO62" s="137">
        <f ca="1">IF(AND(ISNUMBER(tblData[UK]),tblData[Date]&gt;StartDt2UK),(tblData[UK]-AVERAGE(tblData[UK]))^2,"")</f>
        <v>5303151.0204081619</v>
      </c>
      <c r="BP62" s="11">
        <f>tblData[[#This Row],[Date]]-UK100dt</f>
        <v>1</v>
      </c>
      <c r="BQ62" s="11">
        <f ca="1">IF(ISNUMBER(tblData[Days'# China]),betaChina/(deltaChina+betaPodeltaChina*EXP(-betaChina*tblData[Days'# China])),"")</f>
        <v>81170.927923475247</v>
      </c>
      <c r="BR62" s="11">
        <f ca="1">IF(ISNUMBER(tblData[China]),(tblData[[#This Row],[China LogiP(t)]]-tblData[[#This Row],[China]])^2,"")</f>
        <v>51043.426605836903</v>
      </c>
      <c r="BS62" s="11">
        <f ca="1">tblData[[#This Row],[China LogiP(t)]]/$BQ$9</f>
        <v>563.95183124853247</v>
      </c>
      <c r="BT62" s="137">
        <f ca="1">IF(AND(ISNUMBER(tblData[China]),tblData[Date]&gt;StartDt2China),(tblData[China]-AVERAGE(tblData[China]))^2,"")</f>
        <v>433307615.10037684</v>
      </c>
      <c r="BU62" s="11">
        <f>tblData[[#This Row],[Date]]-China100dt</f>
        <v>51</v>
      </c>
      <c r="BV62" s="106">
        <f>IF(ISNUMBER(tblData[Day'# Singapore]),betaSingapore/(deltaSingapore+betaPodeltaSingapore*EXP(-betaSingapore*tblData[Day'# Singapore])),"")</f>
        <v>229.31662769515572</v>
      </c>
      <c r="BW62" s="11">
        <f>IF(AND(ISNUMBER(tblData[Singapore]),tblData[Date]&gt;=StartDt2Singapore),(tblData[[#This Row],[Singapore LogiP(t)]]-tblData[[#This Row],[Singapore]])^2,"")</f>
        <v>859.46465941637121</v>
      </c>
      <c r="BX62" s="106">
        <f>IF(ISNUMBER(tblData[Day'# Singapore]),tblData[Singapore LogiP(t)]/$BV$9,"")</f>
        <v>391.99423537633459</v>
      </c>
      <c r="BY62" s="106">
        <f>IF(AND(ISNUMBER(tblData[Singapore]),tblData[Date]&gt;StartDt2Singapore),(tblData[Singapore]-AVERAGE(tblData[Singapore]))^2,"")</f>
        <v>1.1458044038881106</v>
      </c>
      <c r="BZ62" s="11">
        <f>tblData[[#This Row],[Date]]-Singapore100dt+1</f>
        <v>32</v>
      </c>
      <c r="CA62" s="11">
        <f ca="1">IF(AND(tblData[Date]&gt;StartDt2Generic,ISNUMBER(tblData[Day'# Generic])),betaGeneric/(deltaGeneric+betaPodeltaGeneric*EXP(-betaGeneric*tblData[Day'# Generic])),"")</f>
        <v>22.795377861855908</v>
      </c>
      <c r="CB62" s="106">
        <f ca="1">IF(AND(ISNUMBER(tblData[Generic]),tblData[Date]&gt;StartDt2Generic),(tblData[Generic LogiP(t)]-tblData[[#This Row],[Generic]])^2,"")</f>
        <v>316.67547324623132</v>
      </c>
      <c r="CC62" s="11">
        <f ca="1">IF(AND(ISNUMBER(tblData[Generic]),tblData[Date]&gt;StartDt2Generic),tblData[Generic LogiP(t)]/$CA$9,"")</f>
        <v>43.585808531273244</v>
      </c>
      <c r="CD62" s="106">
        <f ca="1">IF(AND(ISNUMBER(tblData[Generic]),tblData[Date]&gt;StartDt2Generic),(tblData[Generic]-AVERAGE(tblData[Generic]))^2,"")</f>
        <v>14208.640000000001</v>
      </c>
      <c r="CE62" s="11">
        <f>tblData[[#This Row],[Date]]-Generic100dt+1</f>
        <v>-7</v>
      </c>
      <c r="CF62">
        <v>18716</v>
      </c>
      <c r="CG62" s="11">
        <v>1668</v>
      </c>
      <c r="CH62" s="11">
        <f>IF(ISNUMBER(tblData[[#This Row],[Tests]]),tblData[[#This Row],[Tests]]-CF61,"")</f>
        <v>7676</v>
      </c>
      <c r="CI62" s="11">
        <f>IF(ISNUMBER(tblData[[#This Row],[NSW Under Investigation'']]),tblData[[#This Row],[NSW Under Investigation'']]-CG61,"")</f>
        <v>-163</v>
      </c>
      <c r="CJ62" s="11">
        <f>IF(tblData[[#This Row],[Date]]&gt;myData!TestsStart,tblData[[#This Row],[Date]]-myData!TestsStart,"")</f>
        <v>8</v>
      </c>
      <c r="CK62" s="11">
        <f>IF(AND(tblData[[#This Row],[NSW Test Day Number]]&gt;0,ISNUMBER(tblData[[#This Row],[NSW Test Day Number]])),betaTests/(deltaTests+betaPodeltaTests*EXP(-betaTests*tblData[[#This Row],[NSW Test Day Number]])),"")</f>
        <v>15914.293574641584</v>
      </c>
      <c r="CL62" s="11">
        <f>IF(tblData[Tests]&gt;0,(tblData[[#This Row],[Tests]]-tblData[[#This Row],[NSW Test Logi]])^2,"")</f>
        <v>7849558.8938946323</v>
      </c>
      <c r="CM62" s="106">
        <f>IF(AND(ISNUMBER(tblData[Tests]),tblData[Date]&gt;StartDt2Tests),(tblData[Tests]-AVERAGE(tblData[Tests]))^2,"")</f>
        <v>670190329.38049948</v>
      </c>
      <c r="CN62" s="11">
        <f>IF(ISNUMBER(tblData[Tests]),tblData[Tests]/$CN$9/100,"")</f>
        <v>231.63366336633663</v>
      </c>
      <c r="CO62" s="106">
        <f ca="1">IF(AND(tblData[[#This Row],[NSW Test Day Number]]&gt;0,ISNUMBER(tblData[[#This Row],[NSW Test Day Number]])),TestsLogestB*TestsLogestM^tblData[[#This Row],[NSW Test Day Number]],"")</f>
        <v>15133.565667100094</v>
      </c>
      <c r="CP62" s="106">
        <f>IF(AND(tblData[[#This Row],[NSW Test Day Number]]&gt;0,ISNUMBER(tblData[Tests])),(tblData[Tests]-tblData[[#This Row],[NSW Test Per Capita]])^2,"")</f>
        <v>341671798.86687577</v>
      </c>
      <c r="CQ62" s="39">
        <f ca="1">IF(AND(tblData[Day '# NSW]&gt;0,ISNUMBER(tblData[[#This Row],[Day '# NSW]])),NSWLogestB*NSWLogestM^tblData[[#This Row],[Day '# NSW]]/$CR$9,"")</f>
        <v>168.85494848311373</v>
      </c>
      <c r="CR62" s="39">
        <f ca="1">IF(AND(ISNUMBER(tblData[NSW]),tblData[Date]&gt;StartDt2NSW),(tblData[NSW]/$CR$9-tblData[[#This Row],[NSW Cases LogEst]])^2,"")</f>
        <v>3024.2918993383951</v>
      </c>
      <c r="CS62" s="106"/>
      <c r="CT62" s="11"/>
      <c r="CW62" s="25"/>
      <c r="CX62"/>
      <c r="DL62" s="25"/>
      <c r="DR62"/>
      <c r="DS62"/>
      <c r="DT62"/>
      <c r="DU62"/>
      <c r="DW62" s="25"/>
      <c r="DX62" s="25"/>
      <c r="EB62" s="25"/>
      <c r="EC62" s="25"/>
      <c r="ED62" s="25"/>
      <c r="EE62" s="25"/>
      <c r="EK62"/>
      <c r="EL62"/>
      <c r="EM62"/>
      <c r="EN62"/>
      <c r="EO62"/>
      <c r="EP62" s="25"/>
      <c r="ER62" s="25"/>
      <c r="ES62" s="25"/>
      <c r="ET62"/>
      <c r="EU62" s="25" t="s">
        <v>58</v>
      </c>
      <c r="EV62" s="69"/>
      <c r="EW62" s="26">
        <v>43860</v>
      </c>
      <c r="EY62" s="25">
        <v>2</v>
      </c>
      <c r="EZ62" s="22">
        <v>0.26341245608301456</v>
      </c>
      <c r="FA62" s="24">
        <v>8.0178356113971791E-6</v>
      </c>
      <c r="FB62" s="21">
        <v>0.43807876080500274</v>
      </c>
      <c r="FC62" s="82">
        <v>32853.312146806733</v>
      </c>
      <c r="FD62" s="82">
        <v>317.87708238738571</v>
      </c>
      <c r="FE62" s="34">
        <v>0.60128216021130942</v>
      </c>
      <c r="FF62" s="84">
        <v>8.0178356113971786E-3</v>
      </c>
      <c r="FG62" s="26">
        <v>43904</v>
      </c>
      <c r="FH62" s="26" t="s">
        <v>215</v>
      </c>
      <c r="FI62" s="84"/>
      <c r="FJ62" s="84"/>
      <c r="FK62" s="19"/>
      <c r="FL62" s="26"/>
      <c r="FM62" s="25"/>
      <c r="FN62" s="18"/>
      <c r="FO62" s="25"/>
      <c r="FP62" s="25"/>
      <c r="FR62" s="25"/>
      <c r="FS62" s="19"/>
      <c r="FT62" s="72"/>
      <c r="FU62" s="25"/>
      <c r="FV62" s="142"/>
      <c r="FW62" s="25"/>
      <c r="FX62" s="25"/>
      <c r="FY62" s="25"/>
      <c r="FZ62" s="25"/>
      <c r="GA62" s="25"/>
      <c r="GC62" s="25"/>
    </row>
    <row r="63" spans="2:220" x14ac:dyDescent="0.25">
      <c r="B63" s="1">
        <f>B62+1</f>
        <v>43904</v>
      </c>
      <c r="D63" s="25">
        <v>1</v>
      </c>
      <c r="E63">
        <v>112</v>
      </c>
      <c r="F63">
        <v>1</v>
      </c>
      <c r="G63">
        <v>46</v>
      </c>
      <c r="H63">
        <v>19</v>
      </c>
      <c r="I63">
        <v>5</v>
      </c>
      <c r="J63">
        <v>49</v>
      </c>
      <c r="K63">
        <v>17</v>
      </c>
      <c r="L63" s="12">
        <f>IF(ISNUMBER(tblData[[#This Row],[NSW]]),tblData[[#This Row],[New South Wales]]/$L$9,"")</f>
        <v>138.61386138613861</v>
      </c>
      <c r="M63" s="25">
        <v>21157</v>
      </c>
      <c r="N63" s="106">
        <f>IF(ISNUMBER(tblData[Italy]),tblData[Italy]/$N$9,"")</f>
        <v>3497.8920393485992</v>
      </c>
      <c r="O63">
        <v>2727</v>
      </c>
      <c r="P63" s="106">
        <f>IF(ISNUMBER(tblData[US]),tblData[US]/$P$9,"")</f>
        <v>82.830199858064219</v>
      </c>
      <c r="Q63">
        <v>8086</v>
      </c>
      <c r="R63" s="106">
        <f>IF(ISNUMBER(tblData[SKorea]),tblData[SKorea]/$R$9,"")</f>
        <v>1573.1517509727628</v>
      </c>
      <c r="S63">
        <v>1144</v>
      </c>
      <c r="T63" s="106">
        <f>IF(ISNUMBER(tblData[UK]),tblData[UK]/$T$9,"")</f>
        <v>172.18543046357615</v>
      </c>
      <c r="U63">
        <v>80977</v>
      </c>
      <c r="V63" s="106">
        <f>IF(ISNUMBER(tblData[China]),tblData[China]/$V$9,"")</f>
        <v>562.60447684010194</v>
      </c>
      <c r="W63">
        <v>212</v>
      </c>
      <c r="X63" s="106">
        <f>IF(ISNUMBER(tblData[Singapore]),tblData[Singapore]/$X$9,"")</f>
        <v>362.39316239316241</v>
      </c>
      <c r="Y63">
        <v>6</v>
      </c>
      <c r="Z63" s="20">
        <f>IF(AND(LEN(tblData[Generic])&gt;0,ISNUMBER(tblData[Generic])),tblData[Generic]/$Z$9,"")</f>
        <v>11.47227533460803</v>
      </c>
      <c r="AA63" s="25">
        <f ca="1">IF(tblData[[#This Row],[Date]]&lt;StartDt2Italy,"",tblData[[#This Row],[Date]]-ItalyStart)</f>
        <v>44</v>
      </c>
      <c r="AB63" s="25">
        <f ca="1">IF(tblData[[#This Row],[Date]]&lt;=StartDt2US,"",tblData[[#This Row],[Date]]-USStart)</f>
        <v>52</v>
      </c>
      <c r="AC63" s="25">
        <f ca="1">IF(tblData[[#This Row],[Date]]&lt;StartDt2China,"",tblData[[#This Row],[Date]]-ChinaStart)</f>
        <v>52</v>
      </c>
      <c r="AD63" s="25">
        <f>IF(tblData[[#This Row],[Date]]&lt;=SKoreaStart,"",tblData[[#This Row],[Date]]-SKoreaStart)</f>
        <v>52</v>
      </c>
      <c r="AE63" s="25">
        <f ca="1">IF(tblData[[#This Row],[Date]]&lt;=StartDt2UK,"",tblData[[#This Row],[Date]]-UKStart)</f>
        <v>44</v>
      </c>
      <c r="AF63" s="25">
        <f>IF(tblData[[#This Row],[Date]]&lt;StartDt2Singapore,"",tblData[[#This Row],[Date]]-SingaporeStart)</f>
        <v>51</v>
      </c>
      <c r="AG63" s="25">
        <f ca="1">IF(tblData[[#This Row],[Date]]&lt;StartDt2Generic,"",tblData[[#This Row],[Date]]-GenericStart)</f>
        <v>52</v>
      </c>
      <c r="AH63">
        <f ca="1">IF(tblData[Date]&gt;StartDt2Au,tblData[Date]-AuStart,"")</f>
        <v>49</v>
      </c>
      <c r="AI63" s="25">
        <f>IF(tblData[New South Wales]&gt;=0,SUM(tblData[[#This Row],[Australian Capital Territory]:[Western Australia]]),"")</f>
        <v>250</v>
      </c>
      <c r="AJ63" s="12">
        <f>IF(ISNUMBER(tblData[Au]),tblData[Au]/$AE$9,"")</f>
        <v>98.564895126951583</v>
      </c>
      <c r="AK63" s="19">
        <f ca="1">IF(ISNUMBER(tblData[[#This Row],[Day'# Aust]]),betaAu/(deltaAu+betaPodeltaAu*EXP(-betaAu*tblData[[#This Row],[Day'# Aust]])),"")</f>
        <v>233.84385247106286</v>
      </c>
      <c r="AL63" s="62">
        <f ca="1">IF(ISNUMBER(tblData[Day'# Aust]),tblData[Au LogiP(t)]/$AJ$9,"")</f>
        <v>92.195179179570601</v>
      </c>
      <c r="AM63" s="11">
        <f ca="1">IF(AND(tblData[Date]&gt;StartDt2Au,ISNUMBER(tblData[NSW])),(tblData[[#This Row],[Au LogiP(t)]]-tblData[[#This Row],[Au]])^2,"")</f>
        <v>261.02110297678166</v>
      </c>
      <c r="AN63" s="11">
        <f ca="1">IF(AND(ISNUMBER(tblData[Au]),tblData[Date]&gt;StartDt2Au),(tblData[Au]-AVERAGE(tblData[Au]))^2,"")</f>
        <v>37386.453494822483</v>
      </c>
      <c r="AO63" s="11">
        <f>tblData[[#This Row],[Date]]-Au100dt</f>
        <v>0</v>
      </c>
      <c r="AP63">
        <f ca="1">IF(tblData[Date]&gt;StartDt2NSW,tblData[Date]-StartDt2NSW,"")</f>
        <v>49</v>
      </c>
      <c r="AQ63" s="25">
        <f>IF(tblData[[#This Row],[New South Wales]]&gt;0,tblData[[#This Row],[New South Wales]],"")</f>
        <v>112</v>
      </c>
      <c r="AR63" s="44">
        <f ca="1">IF(tblData[Date]&gt;StartDt2NSW,betaNSW/(deltaNSW+betaPodeltaNSW*EXP(-betaNSW*tblData[[#This Row],[Day '# NSW]])),"")</f>
        <v>110.70311494634952</v>
      </c>
      <c r="AS63" s="12">
        <f ca="1">IF(AND(ISNUMBER(tblData[NSW]),tblData[Date]&gt;StartDt2NSW),(tblData[[#This Row],[NSW LogiP(t)]]-tblData[[#This Row],[NSW]])^2,"")</f>
        <v>1.6819108423820202</v>
      </c>
      <c r="AT63" s="12">
        <f ca="1">IF(AND(tblData[Date]&gt;StartDt2NSW,ISNUMBER(tblData[Day'# Aust])),tblData[NSW LogiP(t)]/$AR$9,"")</f>
        <v>137.00880562667018</v>
      </c>
      <c r="AU63" s="11">
        <f>tblData[[#This Row],[Date]]-NSW100dt+1</f>
        <v>4</v>
      </c>
      <c r="AV63" s="11">
        <f ca="1">IF(AND(ISNUMBER(tblData[NSW]),tblData[Date]&gt;StartDt2NSW),(tblData[NSW]-AVERAGE(tblData[NSW]))^2,"")</f>
        <v>33055.455786599457</v>
      </c>
      <c r="AW63" s="39">
        <f ca="1">IF(AND(tblData[Date]&gt;StartDt2Italy,ISNUMBER(tblData[Days'# Italy])),betaItaly/(deltaItaly+betaPodeltaItaly*EXP(-betaItaly*tblData[Days'# Italy])),"")</f>
        <v>26025.097585358053</v>
      </c>
      <c r="AX63" s="11">
        <f ca="1">IF(AND(tblData[Date]&gt;StartDt2Italy,ISNUMBER(tblData[Italy])),(tblData[[#This Row],[Italy LogiP(t)]]-tblData[[#This Row],[Italy]])^2,"")</f>
        <v>23698374.100568905</v>
      </c>
      <c r="AY63" s="39">
        <f ca="1">IF(AND(tblData[Date]&gt;StartDt2Italy,ISNUMBER(tblData[Days'# Italy])),tblData[[#This Row],[Italy LogiP(t)]]/$AW$9,"")</f>
        <v>4302.7358163772924</v>
      </c>
      <c r="AZ63" s="39">
        <f ca="1">IF(AND(ISNUMBER(tblData[Italy]),tblData[Date]&gt;StartDt2Italy),(tblData[Italy]-AVERAGE(tblData[Italy]))^2,"")</f>
        <v>31763.160493827305</v>
      </c>
      <c r="BA63" s="11">
        <f>tblData[[#This Row],[Date]]-Italy100dt+1</f>
        <v>17</v>
      </c>
      <c r="BB63" s="11">
        <f ca="1">IF(AND(tblData[Date]&gt;StartDt2US,ISNUMBER(tblData[[#This Row],[Days'# US]])),betaUS/(deltaUS+betaPodeltaUS*EXP(-betaUS*tblData[Days'# US])),"")</f>
        <v>2550.9040537635947</v>
      </c>
      <c r="BC63" s="11">
        <f ca="1">IF(AND(tblData[Date]&gt;StartDt2US,ISNUMBER(tblData[US])),(tblData[[#This Row],[US LogiP(t)]]-tblData[US])^2,"")</f>
        <v>31009.782280894953</v>
      </c>
      <c r="BD63" s="137">
        <f ca="1">IF(AND(tblData[Date]&gt;=StartDt2US,ISNUMBER(tblData[[#This Row],[Days'# US]])),tblData[[#This Row],[US LogiP(t)]]/$BB$9,"")</f>
        <v>77.481442094603864</v>
      </c>
      <c r="BE63" s="137">
        <f ca="1">IF(AND(ISNUMBER(tblData[US]),tblData[Date]&gt;StartDt2US),(tblData[US]-AVERAGE(tblData[US]))^2,"")</f>
        <v>242974766.65919459</v>
      </c>
      <c r="BF63" s="11">
        <f>tblData[[#This Row],[Date]]-US100dt+1</f>
        <v>1</v>
      </c>
      <c r="BG63" s="20">
        <f ca="1">IF(tblData[Date]&gt;StartDt2SKorea,betaSKorea/(deltaSKorea+betaPodeltaSKorea*EXP(-betaSKorea*(tblData[Date]-StartDt2SKorea))),"")</f>
        <v>8589.6059293957569</v>
      </c>
      <c r="BH63" s="20">
        <f ca="1">IF(AND(tblData[Date]&gt;StartDt2SKorea,ISNUMBER(tblData[SKorea])),(tblData[[#This Row],[SKorea LogiP(t)]]-tblData[[#This Row],[SKorea]])^2,"")</f>
        <v>253618.93212256409</v>
      </c>
      <c r="BI63" s="20">
        <f ca="1">IF(tblData[Date]&gt;StartDt2SKorea,tblData[[#This Row],[SKorea LogiP(t)]]/$BG$9,"")</f>
        <v>1671.1295582482019</v>
      </c>
      <c r="BJ63" s="137">
        <f ca="1">IF(AND(ISNUMBER(tblData[SKorea]),tblData[Date]&gt;StartDt2SKorea),(tblData[SKorea]-AVERAGE(tblData[SKorea]))^2,"")</f>
        <v>18713179.283673875</v>
      </c>
      <c r="BK63" s="11">
        <f>tblData[[#This Row],[Date]]-SKorea100dt+1</f>
        <v>22</v>
      </c>
      <c r="BL63" s="137">
        <f ca="1">IF(AND(tblData[Date]&gt;StartDt2UK,ISNUMBER(tblData[Days'# UK])),betaUK/(deltaUK+betaPodeltaUK*EXP(-betaUK*tblData[Days'# UK])),"")</f>
        <v>1050.2579944027434</v>
      </c>
      <c r="BM63" s="20">
        <f ca="1">IF(AND(tblData[Date]&gt;StartDt2UK,ISNUMBER(tblData[UK])),(tblData[[#This Row],[UK LogiP(t)]]-tblData[[#This Row],[UK]])^2,"")</f>
        <v>8787.563613396087</v>
      </c>
      <c r="BN63" s="20">
        <f ca="1">IF(ISNUMBER(tblData[Days'# UK]),tblData[[#This Row],[UK LogiP(t)]]/$BL$9,"")</f>
        <v>158.07615809794453</v>
      </c>
      <c r="BO63" s="137">
        <f ca="1">IF(AND(ISNUMBER(tblData[UK]),tblData[Date]&gt;StartDt2UK),(tblData[UK]-AVERAGE(tblData[UK]))^2,"")</f>
        <v>3844960.7346938769</v>
      </c>
      <c r="BP63" s="11">
        <f>tblData[[#This Row],[Date]]-UK100dt</f>
        <v>2</v>
      </c>
      <c r="BQ63" s="11">
        <f ca="1">IF(ISNUMBER(tblData[Days'# China]),betaChina/(deltaChina+betaPodeltaChina*EXP(-betaChina*tblData[Days'# China])),"")</f>
        <v>81181.430141060788</v>
      </c>
      <c r="BR63" s="11">
        <f ca="1">IF(ISNUMBER(tblData[China]),(tblData[[#This Row],[China LogiP(t)]]-tblData[[#This Row],[China]])^2,"")</f>
        <v>41791.682574133563</v>
      </c>
      <c r="BS63" s="11">
        <f ca="1">tblData[[#This Row],[China LogiP(t)]]/$BQ$9</f>
        <v>564.02479758008803</v>
      </c>
      <c r="BT63" s="137">
        <f ca="1">IF(AND(ISNUMBER(tblData[China]),tblData[Date]&gt;StartDt2China),(tblData[China]-AVERAGE(tblData[China]))^2,"")</f>
        <v>434640865.80460221</v>
      </c>
      <c r="BU63" s="11">
        <f>tblData[[#This Row],[Date]]-China100dt</f>
        <v>52</v>
      </c>
      <c r="BV63" s="106">
        <f>IF(ISNUMBER(tblData[Day'# Singapore]),betaSingapore/(deltaSingapore+betaPodeltaSingapore*EXP(-betaSingapore*tblData[Day'# Singapore])),"")</f>
        <v>248.28018539374821</v>
      </c>
      <c r="BW63" s="11">
        <f>IF(AND(ISNUMBER(tblData[Singapore]),tblData[Date]&gt;=StartDt2Singapore),(tblData[[#This Row],[Singapore LogiP(t)]]-tblData[[#This Row],[Singapore]])^2,"")</f>
        <v>1316.2518522047412</v>
      </c>
      <c r="BX63" s="106">
        <f>IF(ISNUMBER(tblData[Day'# Singapore]),tblData[Singapore LogiP(t)]/$BV$9,"")</f>
        <v>424.41057332264654</v>
      </c>
      <c r="BY63" s="106">
        <f>IF(AND(ISNUMBER(tblData[Singapore]),tblData[Date]&gt;StartDt2Singapore),(tblData[Singapore]-AVERAGE(tblData[Singapore]))^2,"")</f>
        <v>170.83594524895847</v>
      </c>
      <c r="BZ63" s="11">
        <f>tblData[[#This Row],[Date]]-Singapore100dt+1</f>
        <v>33</v>
      </c>
      <c r="CA63" s="11">
        <f ca="1">IF(AND(tblData[Date]&gt;StartDt2Generic,ISNUMBER(tblData[Day'# Generic])),betaGeneric/(deltaGeneric+betaPodeltaGeneric*EXP(-betaGeneric*tblData[Day'# Generic])),"")</f>
        <v>27.716785214174319</v>
      </c>
      <c r="CB63" s="106">
        <f ca="1">IF(AND(ISNUMBER(tblData[Generic]),tblData[Date]&gt;StartDt2Generic),(tblData[Generic LogiP(t)]-tblData[[#This Row],[Generic]])^2,"")</f>
        <v>471.61876003858032</v>
      </c>
      <c r="CC63" s="11">
        <f ca="1">IF(AND(ISNUMBER(tblData[Generic]),tblData[Date]&gt;StartDt2Generic),tblData[Generic LogiP(t)]/$CA$9,"")</f>
        <v>52.995765227866762</v>
      </c>
      <c r="CD63" s="106">
        <f ca="1">IF(AND(ISNUMBER(tblData[Generic]),tblData[Date]&gt;StartDt2Generic),(tblData[Generic]-AVERAGE(tblData[Generic]))^2,"")</f>
        <v>13971.24</v>
      </c>
      <c r="CE63" s="11">
        <f>tblData[[#This Row],[Date]]-Generic100dt+1</f>
        <v>-6</v>
      </c>
      <c r="CF63">
        <v>18716</v>
      </c>
      <c r="CG63" s="11">
        <v>1668</v>
      </c>
      <c r="CH63" s="11">
        <f>IF(ISNUMBER(tblData[[#This Row],[Tests]]),tblData[[#This Row],[Tests]]-CF62,"")</f>
        <v>0</v>
      </c>
      <c r="CI63" s="11">
        <f>IF(ISNUMBER(tblData[[#This Row],[NSW Under Investigation'']]),tblData[[#This Row],[NSW Under Investigation'']]-CG62,"")</f>
        <v>0</v>
      </c>
      <c r="CJ63" s="11">
        <f>IF(tblData[[#This Row],[Date]]&gt;myData!TestsStart,tblData[[#This Row],[Date]]-myData!TestsStart,"")</f>
        <v>9</v>
      </c>
      <c r="CK63" s="11">
        <f>IF(AND(tblData[[#This Row],[NSW Test Day Number]]&gt;0,ISNUMBER(tblData[[#This Row],[NSW Test Day Number]])),betaTests/(deltaTests+betaPodeltaTests*EXP(-betaTests*tblData[[#This Row],[NSW Test Day Number]])),"")</f>
        <v>18532.912371391791</v>
      </c>
      <c r="CL63" s="11">
        <f>IF(tblData[Tests]&gt;0,(tblData[[#This Row],[Tests]]-tblData[[#This Row],[NSW Test Logi]])^2,"")</f>
        <v>33521.079749377597</v>
      </c>
      <c r="CM63" s="106">
        <f>IF(AND(ISNUMBER(tblData[Tests]),tblData[Date]&gt;StartDt2Tests),(tblData[Tests]-AVERAGE(tblData[Tests]))^2,"")</f>
        <v>670190329.38049948</v>
      </c>
      <c r="CN63" s="11">
        <f>IF(ISNUMBER(tblData[Tests]),tblData[Tests]/$CN$9/100,"")</f>
        <v>231.63366336633663</v>
      </c>
      <c r="CO63" s="106">
        <f ca="1">IF(AND(tblData[[#This Row],[NSW Test Day Number]]&gt;0,ISNUMBER(tblData[[#This Row],[NSW Test Day Number]])),TestsLogestB*TestsLogestM^tblData[[#This Row],[NSW Test Day Number]],"")</f>
        <v>16980.460503701153</v>
      </c>
      <c r="CP63" s="106">
        <f>IF(AND(tblData[[#This Row],[NSW Test Day Number]]&gt;0,ISNUMBER(tblData[Tests])),(tblData[Tests]-tblData[[#This Row],[NSW Test Per Capita]])^2,"")</f>
        <v>341671798.86687577</v>
      </c>
      <c r="CQ63" s="39">
        <f ca="1">IF(AND(tblData[Day '# NSW]&gt;0,ISNUMBER(tblData[[#This Row],[Day '# NSW]])),NSWLogestB*NSWLogestM^tblData[[#This Row],[Day '# NSW]]/$CR$9,"")</f>
        <v>187.92523614800263</v>
      </c>
      <c r="CR63" s="39">
        <f ca="1">IF(AND(ISNUMBER(tblData[NSW]),tblData[Date]&gt;StartDt2NSW),(tblData[NSW]/$CR$9-tblData[[#This Row],[NSW Cases LogEst]])^2,"")</f>
        <v>2431.6116809049995</v>
      </c>
      <c r="CS63" s="106"/>
      <c r="CT63" s="11"/>
      <c r="CW63" s="25"/>
      <c r="CX63"/>
      <c r="DL63" s="25"/>
      <c r="DR63"/>
      <c r="DS63"/>
      <c r="DT63"/>
      <c r="DU63"/>
      <c r="DW63" s="25"/>
      <c r="DX63" s="25"/>
      <c r="EB63" s="25"/>
      <c r="EC63" s="25"/>
      <c r="ED63" s="25"/>
      <c r="EE63" s="25"/>
      <c r="EK63"/>
      <c r="EL63"/>
      <c r="EM63"/>
      <c r="EN63"/>
      <c r="EO63"/>
      <c r="EP63" s="25"/>
      <c r="ER63" s="25"/>
      <c r="ES63" s="25"/>
      <c r="ET63"/>
      <c r="EU63" s="25" t="s">
        <v>58</v>
      </c>
      <c r="EV63" s="69"/>
      <c r="EW63" s="26">
        <v>43860</v>
      </c>
      <c r="EY63" s="25">
        <v>2</v>
      </c>
      <c r="EZ63" s="22">
        <v>0.26295149930522799</v>
      </c>
      <c r="FA63" s="24">
        <v>7.2323673251486775E-6</v>
      </c>
      <c r="FB63" s="21">
        <v>0.43947505980618701</v>
      </c>
      <c r="FC63" s="82">
        <v>36357.597379060448</v>
      </c>
      <c r="FD63" s="82">
        <v>403.75439893608279</v>
      </c>
      <c r="FE63" s="34">
        <v>0.59832364770853697</v>
      </c>
      <c r="FF63" s="84">
        <v>7.2323673251486779E-3</v>
      </c>
      <c r="FG63" s="26">
        <v>43905</v>
      </c>
      <c r="FH63" s="26" t="s">
        <v>483</v>
      </c>
      <c r="FI63" s="84"/>
      <c r="FJ63" s="84"/>
      <c r="FK63" s="25"/>
      <c r="FL63" s="26"/>
      <c r="FM63" s="25"/>
      <c r="FN63" s="18"/>
      <c r="FO63" s="25"/>
      <c r="FP63" s="25"/>
      <c r="FR63" s="25"/>
      <c r="FS63" s="19"/>
      <c r="FT63" s="72"/>
      <c r="FU63" s="25"/>
      <c r="FV63" s="142"/>
      <c r="FW63" s="25"/>
      <c r="FX63" s="25"/>
      <c r="FY63" s="25"/>
      <c r="FZ63" s="25"/>
      <c r="GA63" s="25"/>
      <c r="GC63" s="25"/>
    </row>
    <row r="64" spans="2:220" x14ac:dyDescent="0.25">
      <c r="B64" s="1">
        <f>B63+1</f>
        <v>43905</v>
      </c>
      <c r="D64" s="25">
        <v>1</v>
      </c>
      <c r="E64">
        <v>134</v>
      </c>
      <c r="F64">
        <v>1</v>
      </c>
      <c r="G64">
        <v>61</v>
      </c>
      <c r="H64">
        <v>20</v>
      </c>
      <c r="I64">
        <v>6</v>
      </c>
      <c r="J64">
        <v>57</v>
      </c>
      <c r="K64">
        <v>17</v>
      </c>
      <c r="L64" s="12">
        <f>IF(ISNUMBER(tblData[[#This Row],[NSW]]),tblData[[#This Row],[New South Wales]]/$L$9,"")</f>
        <v>165.84158415841583</v>
      </c>
      <c r="M64" s="25">
        <v>24747</v>
      </c>
      <c r="N64" s="106">
        <f>IF(ISNUMBER(tblData[Italy]),tblData[Italy]/$N$9,"")</f>
        <v>4091.4276266843021</v>
      </c>
      <c r="O64">
        <v>3499</v>
      </c>
      <c r="P64" s="106">
        <f>IF(ISNUMBER(tblData[US]),tblData[US]/$P$9,"")</f>
        <v>106.27901331256571</v>
      </c>
      <c r="Q64">
        <v>8162</v>
      </c>
      <c r="R64" s="106">
        <f>IF(ISNUMBER(tblData[SKorea]),tblData[SKorea]/$R$9,"")</f>
        <v>1587.9377431906616</v>
      </c>
      <c r="S64">
        <v>1145</v>
      </c>
      <c r="T64" s="106">
        <f>IF(ISNUMBER(tblData[UK]),tblData[UK]/$T$9,"")</f>
        <v>172.33594220349187</v>
      </c>
      <c r="U64">
        <v>81003</v>
      </c>
      <c r="V64" s="106">
        <f>IF(ISNUMBER(tblData[China]),tblData[China]/$V$9,"")</f>
        <v>562.78511722438191</v>
      </c>
      <c r="W64">
        <v>226</v>
      </c>
      <c r="X64" s="106">
        <f>IF(ISNUMBER(tblData[Singapore]),tblData[Singapore]/$X$9,"")</f>
        <v>386.32478632478637</v>
      </c>
      <c r="Y64">
        <v>8</v>
      </c>
      <c r="Z64" s="20">
        <f>IF(AND(LEN(tblData[Generic])&gt;0,ISNUMBER(tblData[Generic])),tblData[Generic]/$Z$9,"")</f>
        <v>15.296367112810707</v>
      </c>
      <c r="AA64" s="25">
        <f ca="1">IF(tblData[[#This Row],[Date]]&lt;StartDt2Italy,"",tblData[[#This Row],[Date]]-ItalyStart)</f>
        <v>45</v>
      </c>
      <c r="AB64" s="25">
        <f ca="1">IF(tblData[[#This Row],[Date]]&lt;=StartDt2US,"",tblData[[#This Row],[Date]]-USStart)</f>
        <v>53</v>
      </c>
      <c r="AC64" s="25">
        <f ca="1">IF(tblData[[#This Row],[Date]]&lt;StartDt2China,"",tblData[[#This Row],[Date]]-ChinaStart)</f>
        <v>53</v>
      </c>
      <c r="AD64" s="25">
        <f>IF(tblData[[#This Row],[Date]]&lt;=SKoreaStart,"",tblData[[#This Row],[Date]]-SKoreaStart)</f>
        <v>53</v>
      </c>
      <c r="AE64" s="25">
        <f ca="1">IF(tblData[[#This Row],[Date]]&lt;=StartDt2UK,"",tblData[[#This Row],[Date]]-UKStart)</f>
        <v>45</v>
      </c>
      <c r="AF64" s="25">
        <f>IF(tblData[[#This Row],[Date]]&lt;StartDt2Singapore,"",tblData[[#This Row],[Date]]-SingaporeStart)</f>
        <v>52</v>
      </c>
      <c r="AG64" s="25">
        <f ca="1">IF(tblData[[#This Row],[Date]]&lt;StartDt2Generic,"",tblData[[#This Row],[Date]]-GenericStart)</f>
        <v>53</v>
      </c>
      <c r="AH64">
        <f ca="1">IF(tblData[Date]&gt;StartDt2Au,tblData[Date]-AuStart,"")</f>
        <v>50</v>
      </c>
      <c r="AI64" s="25">
        <f>IF(tblData[New South Wales]&gt;=0,SUM(tblData[[#This Row],[Australian Capital Territory]:[Western Australia]]),"")</f>
        <v>297</v>
      </c>
      <c r="AJ64" s="12">
        <f>IF(ISNUMBER(tblData[Au]),tblData[Au]/$AE$9,"")</f>
        <v>117.09509541081849</v>
      </c>
      <c r="AK64" s="19">
        <f ca="1">IF(ISNUMBER(tblData[[#This Row],[Day'# Aust]]),betaAu/(deltaAu+betaPodeltaAu*EXP(-betaAu*tblData[[#This Row],[Day'# Aust]])),"")</f>
        <v>297.94119997639586</v>
      </c>
      <c r="AL64" s="62">
        <f ca="1">IF(ISNUMBER(tblData[Day'# Aust]),tblData[Au LogiP(t)]/$AJ$9,"")</f>
        <v>117.46617251868628</v>
      </c>
      <c r="AM64" s="11">
        <f ca="1">IF(AND(tblData[Date]&gt;StartDt2Au,ISNUMBER(tblData[NSW])),(tblData[[#This Row],[Au LogiP(t)]]-tblData[[#This Row],[Au]])^2,"")</f>
        <v>0.88585739556757637</v>
      </c>
      <c r="AN64" s="11">
        <f ca="1">IF(AND(ISNUMBER(tblData[Au]),tblData[Date]&gt;StartDt2Au),(tblData[Au]-AVERAGE(tblData[Au]))^2,"")</f>
        <v>21420.011187130178</v>
      </c>
      <c r="AO64" s="11">
        <f>tblData[[#This Row],[Date]]-Au100dt</f>
        <v>1</v>
      </c>
      <c r="AP64">
        <f ca="1">IF(tblData[Date]&gt;StartDt2NSW,tblData[Date]-StartDt2NSW,"")</f>
        <v>50</v>
      </c>
      <c r="AQ64" s="25">
        <f>IF(tblData[[#This Row],[New South Wales]]&gt;0,tblData[[#This Row],[New South Wales]],"")</f>
        <v>134</v>
      </c>
      <c r="AR64" s="11">
        <f ca="1">IF(tblData[Date]&gt;StartDt2NSW,betaNSW/(deltaNSW+betaPodeltaNSW*EXP(-betaNSW*tblData[[#This Row],[Day '# NSW]])),"")</f>
        <v>139.04468279806844</v>
      </c>
      <c r="AS64" s="12">
        <f ca="1">IF(AND(ISNUMBER(tblData[NSW]),tblData[Date]&gt;StartDt2NSW),(tblData[[#This Row],[NSW LogiP(t)]]-tblData[[#This Row],[NSW]])^2,"")</f>
        <v>25.448824533127585</v>
      </c>
      <c r="AT64" s="12">
        <f ca="1">IF(AND(tblData[Date]&gt;StartDt2NSW,ISNUMBER(tblData[Day'# Aust])),tblData[NSW LogiP(t)]/$AR$9,"")</f>
        <v>172.08500346295597</v>
      </c>
      <c r="AU64" s="11">
        <f>tblData[[#This Row],[Date]]-NSW100dt+1</f>
        <v>5</v>
      </c>
      <c r="AV64" s="11">
        <f ca="1">IF(AND(ISNUMBER(tblData[NSW]),tblData[Date]&gt;StartDt2NSW),(tblData[NSW]-AVERAGE(tblData[NSW]))^2,"")</f>
        <v>25539.745641671921</v>
      </c>
      <c r="AW64" s="39">
        <f ca="1">IF(AND(tblData[Date]&gt;StartDt2Italy,ISNUMBER(tblData[Days'# Italy])),betaItaly/(deltaItaly+betaPodeltaItaly*EXP(-betaItaly*tblData[Days'# Italy])),"")</f>
        <v>31197.23357574757</v>
      </c>
      <c r="AX64" s="11">
        <f ca="1">IF(AND(tblData[Date]&gt;StartDt2Italy,ISNUMBER(tblData[Italy])),(tblData[[#This Row],[Italy LogiP(t)]]-tblData[[#This Row],[Italy]])^2,"")</f>
        <v>41605513.181701288</v>
      </c>
      <c r="AY64" s="39">
        <f ca="1">IF(AND(tblData[Date]&gt;StartDt2Italy,ISNUMBER(tblData[Days'# Italy])),tblData[[#This Row],[Italy LogiP(t)]]/$AW$9,"")</f>
        <v>5157.8463380586218</v>
      </c>
      <c r="AZ64" s="39">
        <f ca="1">IF(AND(ISNUMBER(tblData[Italy]),tblData[Date]&gt;StartDt2Italy),(tblData[Italy]-AVERAGE(tblData[Italy]))^2,"")</f>
        <v>14199498.716049386</v>
      </c>
      <c r="BA64" s="11">
        <f>tblData[[#This Row],[Date]]-Italy100dt+1</f>
        <v>18</v>
      </c>
      <c r="BB64" s="11">
        <f ca="1">IF(AND(tblData[Date]&gt;StartDt2US,ISNUMBER(tblData[[#This Row],[Days'# US]])),betaUS/(deltaUS+betaPodeltaUS*EXP(-betaUS*tblData[Days'# US])),"")</f>
        <v>3383.4500166178864</v>
      </c>
      <c r="BC64" s="11">
        <f ca="1">IF(AND(tblData[Date]&gt;StartDt2US,ISNUMBER(tblData[US])),(tblData[[#This Row],[US LogiP(t)]]-tblData[US])^2,"")</f>
        <v>13351.798659606735</v>
      </c>
      <c r="BD64" s="137">
        <f ca="1">IF(AND(tblData[Date]&gt;=StartDt2US,ISNUMBER(tblData[[#This Row],[Days'# US]])),tblData[[#This Row],[US LogiP(t)]]/$BB$9,"")</f>
        <v>102.7692853268171</v>
      </c>
      <c r="BE64" s="137">
        <f ca="1">IF(AND(ISNUMBER(tblData[US]),tblData[Date]&gt;StartDt2US),(tblData[US]-AVERAGE(tblData[US]))^2,"")</f>
        <v>219503422.32116643</v>
      </c>
      <c r="BF64" s="11">
        <f>tblData[[#This Row],[Date]]-US100dt+1</f>
        <v>2</v>
      </c>
      <c r="BG64" s="20">
        <f ca="1">IF(tblData[Date]&gt;StartDt2SKorea,betaSKorea/(deltaSKorea+betaPodeltaSKorea*EXP(-betaSKorea*(tblData[Date]-StartDt2SKorea))),"")</f>
        <v>8688.6218129641802</v>
      </c>
      <c r="BH64" s="20">
        <f ca="1">IF(AND(tblData[Date]&gt;StartDt2SKorea,ISNUMBER(tblData[SKorea])),(tblData[[#This Row],[SKorea LogiP(t)]]-tblData[[#This Row],[SKorea]])^2,"")</f>
        <v>277330.53388967999</v>
      </c>
      <c r="BI64" s="20">
        <f ca="1">IF(tblData[Date]&gt;StartDt2SKorea,tblData[[#This Row],[SKorea LogiP(t)]]/$BG$9,"")</f>
        <v>1690.3933488257162</v>
      </c>
      <c r="BJ64" s="137">
        <f ca="1">IF(AND(ISNUMBER(tblData[SKorea]),tblData[Date]&gt;StartDt2SKorea),(tblData[SKorea]-AVERAGE(tblData[SKorea]))^2,"")</f>
        <v>19376488.016068242</v>
      </c>
      <c r="BK64" s="11">
        <f>tblData[[#This Row],[Date]]-SKorea100dt+1</f>
        <v>23</v>
      </c>
      <c r="BL64" s="137">
        <f ca="1">IF(AND(tblData[Date]&gt;StartDt2UK,ISNUMBER(tblData[Days'# UK])),betaUK/(deltaUK+betaPodeltaUK*EXP(-betaUK*tblData[Days'# UK])),"")</f>
        <v>1296.1019991661258</v>
      </c>
      <c r="BM64" s="20">
        <f ca="1">IF(AND(tblData[Date]&gt;StartDt2UK,ISNUMBER(tblData[UK])),(tblData[[#This Row],[UK LogiP(t)]]-tblData[[#This Row],[UK]])^2,"")</f>
        <v>22831.814151999875</v>
      </c>
      <c r="BN64" s="20">
        <f ca="1">IF(ISNUMBER(tblData[Days'# UK]),tblData[[#This Row],[UK LogiP(t)]]/$BL$9,"")</f>
        <v>195.07856700272814</v>
      </c>
      <c r="BO64" s="137">
        <f ca="1">IF(AND(ISNUMBER(tblData[UK]),tblData[Date]&gt;StartDt2UK),(tblData[UK]-AVERAGE(tblData[UK]))^2,"")</f>
        <v>3841040.0204081624</v>
      </c>
      <c r="BP64" s="11">
        <f>tblData[[#This Row],[Date]]-UK100dt</f>
        <v>3</v>
      </c>
      <c r="BQ64" s="11">
        <f ca="1">IF(ISNUMBER(tblData[Days'# China]),betaChina/(deltaChina+betaPodeltaChina*EXP(-betaChina*tblData[Days'# China])),"")</f>
        <v>81189.853082407804</v>
      </c>
      <c r="BR64" s="11">
        <f ca="1">IF(ISNUMBER(tblData[China]),(tblData[[#This Row],[China LogiP(t)]]-tblData[[#This Row],[China]])^2,"")</f>
        <v>34914.07440529771</v>
      </c>
      <c r="BS64" s="11">
        <f ca="1">tblData[[#This Row],[China LogiP(t)]]/$BQ$9</f>
        <v>564.08331770938389</v>
      </c>
      <c r="BT64" s="137">
        <f ca="1">IF(AND(ISNUMBER(tblData[China]),tblData[Date]&gt;StartDt2China),(tblData[China]-AVERAGE(tblData[China]))^2,"")</f>
        <v>435725640.00178534</v>
      </c>
      <c r="BU64" s="11">
        <f>tblData[[#This Row],[Date]]-China100dt</f>
        <v>53</v>
      </c>
      <c r="BV64" s="106">
        <f>IF(ISNUMBER(tblData[Day'# Singapore]),betaSingapore/(deltaSingapore+betaPodeltaSingapore*EXP(-betaSingapore*tblData[Day'# Singapore])),"")</f>
        <v>268.80895202141983</v>
      </c>
      <c r="BW64" s="11">
        <f>IF(AND(ISNUMBER(tblData[Singapore]),tblData[Date]&gt;=StartDt2Singapore),(tblData[[#This Row],[Singapore LogiP(t)]]-tblData[[#This Row],[Singapore]])^2,"")</f>
        <v>1832.6063731722247</v>
      </c>
      <c r="BX64" s="106">
        <f>IF(ISNUMBER(tblData[Day'# Singapore]),tblData[Singapore LogiP(t)]/$BV$9,"")</f>
        <v>459.50248208789719</v>
      </c>
      <c r="BY64" s="106">
        <f>IF(AND(ISNUMBER(tblData[Singapore]),tblData[Date]&gt;StartDt2Singapore),(tblData[Singapore]-AVERAGE(tblData[Singapore]))^2,"")</f>
        <v>732.80777623487381</v>
      </c>
      <c r="BZ64" s="11">
        <f>tblData[[#This Row],[Date]]-Singapore100dt+1</f>
        <v>34</v>
      </c>
      <c r="CA64" s="11">
        <f ca="1">IF(AND(tblData[Date]&gt;StartDt2Generic,ISNUMBER(tblData[Day'# Generic])),betaGeneric/(deltaGeneric+betaPodeltaGeneric*EXP(-betaGeneric*tblData[Day'# Generic])),"")</f>
        <v>33.690543836354323</v>
      </c>
      <c r="CB64" s="106">
        <f ca="1">IF(AND(ISNUMBER(tblData[Generic]),tblData[Date]&gt;StartDt2Generic),(tblData[Generic LogiP(t)]-tblData[[#This Row],[Generic]])^2,"")</f>
        <v>660.0040426076431</v>
      </c>
      <c r="CC64" s="11">
        <f ca="1">IF(AND(ISNUMBER(tblData[Generic]),tblData[Date]&gt;StartDt2Generic),tblData[Generic LogiP(t)]/$CA$9,"")</f>
        <v>64.417865843889714</v>
      </c>
      <c r="CD64" s="106">
        <f ca="1">IF(AND(ISNUMBER(tblData[Generic]),tblData[Date]&gt;StartDt2Generic),(tblData[Generic]-AVERAGE(tblData[Generic]))^2,"")</f>
        <v>13502.44</v>
      </c>
      <c r="CE64" s="11">
        <f>tblData[[#This Row],[Date]]-Generic100dt+1</f>
        <v>-5</v>
      </c>
      <c r="CF64">
        <v>20511</v>
      </c>
      <c r="CG64" s="11">
        <v>1924</v>
      </c>
      <c r="CH64" s="11">
        <f>IF(ISNUMBER(tblData[[#This Row],[Tests]]),tblData[[#This Row],[Tests]]-CF63,"")</f>
        <v>1795</v>
      </c>
      <c r="CI64" s="11">
        <f>IF(ISNUMBER(tblData[[#This Row],[NSW Under Investigation'']]),tblData[[#This Row],[NSW Under Investigation'']]-CG63,"")</f>
        <v>256</v>
      </c>
      <c r="CJ64" s="11">
        <f>IF(tblData[[#This Row],[Date]]&gt;myData!TestsStart,tblData[[#This Row],[Date]]-myData!TestsStart,"")</f>
        <v>10</v>
      </c>
      <c r="CK64" s="11">
        <f>IF(AND(tblData[[#This Row],[NSW Test Day Number]]&gt;0,ISNUMBER(tblData[[#This Row],[NSW Test Day Number]])),betaTests/(deltaTests+betaPodeltaTests*EXP(-betaTests*tblData[[#This Row],[NSW Test Day Number]])),"")</f>
        <v>21499.19468408628</v>
      </c>
      <c r="CL64" s="11">
        <f>IF(tblData[Tests]&gt;0,(tblData[[#This Row],[Tests]]-tblData[[#This Row],[NSW Test Logi]])^2,"")</f>
        <v>976528.73365638312</v>
      </c>
      <c r="CM64" s="106">
        <f>IF(AND(ISNUMBER(tblData[Tests]),tblData[Date]&gt;StartDt2Tests),(tblData[Tests]-AVERAGE(tblData[Tests]))^2,"")</f>
        <v>580474310.58739603</v>
      </c>
      <c r="CN64" s="11">
        <f>IF(ISNUMBER(tblData[Tests]),tblData[Tests]/$CN$9/100,"")</f>
        <v>253.8490099009901</v>
      </c>
      <c r="CO64" s="106">
        <f ca="1">IF(AND(tblData[[#This Row],[NSW Test Day Number]]&gt;0,ISNUMBER(tblData[[#This Row],[NSW Test Day Number]])),TestsLogestB*TestsLogestM^tblData[[#This Row],[NSW Test Day Number]],"")</f>
        <v>19052.749712818077</v>
      </c>
      <c r="CP64" s="106">
        <f>IF(AND(tblData[[#This Row],[NSW Test Day Number]]&gt;0,ISNUMBER(tblData[Tests])),(tblData[Tests]-tblData[[#This Row],[NSW Test Per Capita]])^2,"")</f>
        <v>410352166.23566926</v>
      </c>
      <c r="CQ64" s="39">
        <f ca="1">IF(AND(tblData[Day '# NSW]&gt;0,ISNUMBER(tblData[[#This Row],[Day '# NSW]])),NSWLogestB*NSWLogestM^tblData[[#This Row],[Day '# NSW]]/$CR$9,"")</f>
        <v>209.14930061889362</v>
      </c>
      <c r="CR64" s="39">
        <f ca="1">IF(AND(ISNUMBER(tblData[NSW]),tblData[Date]&gt;StartDt2NSW),(tblData[NSW]/$CR$9-tblData[[#This Row],[NSW Cases LogEst]])^2,"")</f>
        <v>1875.5583050211392</v>
      </c>
      <c r="CS64" s="106"/>
      <c r="CT64" s="11"/>
      <c r="CW64" s="25"/>
      <c r="CX64"/>
      <c r="DL64" s="25"/>
      <c r="DR64"/>
      <c r="DS64"/>
      <c r="DT64"/>
      <c r="DU64"/>
      <c r="DW64" s="25"/>
      <c r="DX64" s="25"/>
      <c r="EB64" s="25"/>
      <c r="EC64" s="25"/>
      <c r="ED64" s="25"/>
      <c r="EE64" s="25"/>
      <c r="EK64"/>
      <c r="EL64"/>
      <c r="EM64"/>
      <c r="EN64"/>
      <c r="EO64"/>
      <c r="EP64" s="25"/>
      <c r="ER64" s="25"/>
      <c r="ES64" s="25"/>
      <c r="ET64"/>
      <c r="EU64" s="25" t="s">
        <v>58</v>
      </c>
      <c r="EV64" s="69"/>
      <c r="EW64" s="26">
        <v>43860</v>
      </c>
      <c r="EY64" s="25">
        <v>2</v>
      </c>
      <c r="EZ64" s="22">
        <v>0.26191421074859073</v>
      </c>
      <c r="FA64" s="24">
        <v>6.140019699733307E-6</v>
      </c>
      <c r="FB64" s="21">
        <v>0.44086139601669905</v>
      </c>
      <c r="FC64" s="82">
        <v>42656.90071971056</v>
      </c>
      <c r="FD64" s="82">
        <v>414.31666978327439</v>
      </c>
      <c r="FE64" s="34">
        <v>0.59409035632825868</v>
      </c>
      <c r="FF64" s="84">
        <v>6.1400196997333069E-3</v>
      </c>
      <c r="FG64" s="26">
        <v>43906</v>
      </c>
      <c r="FH64" s="26" t="s">
        <v>662</v>
      </c>
      <c r="FI64" s="84"/>
      <c r="FJ64" s="84">
        <v>27980</v>
      </c>
      <c r="FK64" s="19" t="s">
        <v>663</v>
      </c>
      <c r="FL64" s="26">
        <v>43906</v>
      </c>
      <c r="FM64" s="25">
        <v>47</v>
      </c>
      <c r="FN64" s="18" t="s">
        <v>664</v>
      </c>
      <c r="FO64" s="25"/>
      <c r="FP64" s="25" t="s">
        <v>665</v>
      </c>
      <c r="FR64" s="25"/>
      <c r="FS64" s="19"/>
      <c r="FT64" s="72"/>
      <c r="FU64" s="25"/>
      <c r="FV64" s="142"/>
      <c r="FW64" s="25"/>
      <c r="FX64" s="25"/>
      <c r="FY64" s="25"/>
      <c r="FZ64" s="25"/>
      <c r="GA64" s="25"/>
      <c r="GB64" s="25"/>
      <c r="GC64" s="25"/>
    </row>
    <row r="65" spans="2:216" x14ac:dyDescent="0.25">
      <c r="B65" s="1">
        <f>B64+1</f>
        <v>43906</v>
      </c>
      <c r="D65" s="25">
        <v>2</v>
      </c>
      <c r="E65">
        <v>171</v>
      </c>
      <c r="F65" s="11">
        <v>1</v>
      </c>
      <c r="G65">
        <v>68</v>
      </c>
      <c r="H65">
        <v>29</v>
      </c>
      <c r="I65">
        <v>7</v>
      </c>
      <c r="J65">
        <v>71</v>
      </c>
      <c r="K65">
        <v>28</v>
      </c>
      <c r="L65" s="12">
        <f>IF(ISNUMBER(tblData[[#This Row],[NSW]]),tblData[[#This Row],[New South Wales]]/$L$9,"")</f>
        <v>211.63366336633663</v>
      </c>
      <c r="M65" s="25">
        <v>27980</v>
      </c>
      <c r="N65" s="106">
        <f>IF(ISNUMBER(tblData[Italy]),tblData[Italy]/$N$9,"")</f>
        <v>4625.9403157807719</v>
      </c>
      <c r="O65">
        <v>4632</v>
      </c>
      <c r="P65" s="106">
        <f>IF(ISNUMBER(tblData[US]),tblData[US]/$P$9,"")</f>
        <v>140.69288072700897</v>
      </c>
      <c r="Q65">
        <v>8236</v>
      </c>
      <c r="R65" s="106">
        <f>IF(ISNUMBER(tblData[SKorea]),tblData[SKorea]/$R$9,"")</f>
        <v>1602.3346303501946</v>
      </c>
      <c r="S65">
        <v>1551</v>
      </c>
      <c r="T65" s="106">
        <f>IF(ISNUMBER(tblData[UK]),tblData[UK]/$T$9,"")</f>
        <v>233.44370860927151</v>
      </c>
      <c r="U65">
        <v>81033</v>
      </c>
      <c r="V65" s="106">
        <f>IF(ISNUMBER(tblData[China]),tblData[China]/$V$9,"")</f>
        <v>562.99354843701269</v>
      </c>
      <c r="W65">
        <v>243</v>
      </c>
      <c r="X65" s="106">
        <f>IF(ISNUMBER(tblData[Singapore]),tblData[Singapore]/$X$9,"")</f>
        <v>415.38461538461542</v>
      </c>
      <c r="Y65">
        <v>8</v>
      </c>
      <c r="Z65" s="20">
        <f>IF(AND(LEN(tblData[Generic])&gt;0,ISNUMBER(tblData[Generic])),tblData[Generic]/$Z$9,"")</f>
        <v>15.296367112810707</v>
      </c>
      <c r="AA65" s="25">
        <f ca="1">IF(tblData[[#This Row],[Date]]&lt;StartDt2Italy,"",tblData[[#This Row],[Date]]-ItalyStart)</f>
        <v>46</v>
      </c>
      <c r="AB65" s="25">
        <f ca="1">IF(tblData[[#This Row],[Date]]&lt;=StartDt2US,"",tblData[[#This Row],[Date]]-USStart)</f>
        <v>54</v>
      </c>
      <c r="AC65" s="25">
        <f ca="1">IF(tblData[[#This Row],[Date]]&lt;StartDt2China,"",tblData[[#This Row],[Date]]-ChinaStart)</f>
        <v>54</v>
      </c>
      <c r="AD65" s="25">
        <f>IF(tblData[[#This Row],[Date]]&lt;=SKoreaStart,"",tblData[[#This Row],[Date]]-SKoreaStart)</f>
        <v>54</v>
      </c>
      <c r="AE65" s="25">
        <f ca="1">IF(tblData[[#This Row],[Date]]&lt;=StartDt2UK,"",tblData[[#This Row],[Date]]-UKStart)</f>
        <v>46</v>
      </c>
      <c r="AF65" s="25">
        <f>IF(tblData[[#This Row],[Date]]&lt;StartDt2Singapore,"",tblData[[#This Row],[Date]]-SingaporeStart)</f>
        <v>53</v>
      </c>
      <c r="AG65" s="25">
        <f ca="1">IF(tblData[[#This Row],[Date]]&lt;StartDt2Generic,"",tblData[[#This Row],[Date]]-GenericStart)</f>
        <v>54</v>
      </c>
      <c r="AH65">
        <f ca="1">IF(tblData[Date]&gt;StartDt2Au,tblData[Date]-AuStart,"")</f>
        <v>51</v>
      </c>
      <c r="AI65" s="25">
        <f>IF(tblData[New South Wales]&gt;=0,SUM(tblData[[#This Row],[Australian Capital Territory]:[Western Australia]]),"")</f>
        <v>377</v>
      </c>
      <c r="AJ65" s="12">
        <f>IF(ISNUMBER(tblData[Au]),tblData[Au]/$AE$9,"")</f>
        <v>148.635861851443</v>
      </c>
      <c r="AK65" s="19">
        <f ca="1">IF(ISNUMBER(tblData[[#This Row],[Day'# Aust]]),betaAu/(deltaAu+betaPodeltaAu*EXP(-betaAu*tblData[[#This Row],[Day'# Aust]])),"")</f>
        <v>378.48943917636933</v>
      </c>
      <c r="AL65" s="62">
        <f ca="1">IF(ISNUMBER(tblData[Day'# Aust]),tblData[Au LogiP(t)]/$AJ$9,"")</f>
        <v>149.22308751631024</v>
      </c>
      <c r="AM65" s="11">
        <f ca="1">IF(AND(tblData[Date]&gt;StartDt2Au,ISNUMBER(tblData[NSW])),(tblData[[#This Row],[Au LogiP(t)]]-tblData[[#This Row],[Au]])^2,"")</f>
        <v>2.21842906010375</v>
      </c>
      <c r="AN65" s="11">
        <f ca="1">IF(AND(ISNUMBER(tblData[Au]),tblData[Date]&gt;StartDt2Au),(tblData[Au]-AVERAGE(tblData[Au]))^2,"")</f>
        <v>4403.0881102070998</v>
      </c>
      <c r="AO65" s="11">
        <f>tblData[[#This Row],[Date]]-Au100dt</f>
        <v>2</v>
      </c>
      <c r="AP65">
        <f ca="1">IF(tblData[Date]&gt;StartDt2NSW,tblData[Date]-StartDt2NSW,"")</f>
        <v>51</v>
      </c>
      <c r="AQ65" s="25">
        <f>IF(tblData[[#This Row],[New South Wales]]&gt;0,tblData[[#This Row],[New South Wales]],"")</f>
        <v>171</v>
      </c>
      <c r="AR65" s="11">
        <f ca="1">IF(tblData[Date]&gt;StartDt2NSW,betaNSW/(deltaNSW+betaPodeltaNSW*EXP(-betaNSW*tblData[[#This Row],[Day '# NSW]])),"")</f>
        <v>174.2046561619585</v>
      </c>
      <c r="AS65" s="12">
        <f ca="1">IF(AND(ISNUMBER(tblData[NSW]),tblData[Date]&gt;StartDt2NSW),(tblData[[#This Row],[NSW LogiP(t)]]-tblData[[#This Row],[NSW]])^2,"")</f>
        <v>10.26982111637856</v>
      </c>
      <c r="AT65" s="12">
        <f ca="1">IF(AND(tblData[Date]&gt;StartDt2NSW,ISNUMBER(tblData[Day'# Aust])),tblData[NSW LogiP(t)]/$AR$9,"")</f>
        <v>215.59982198262188</v>
      </c>
      <c r="AU65" s="11">
        <f>tblData[[#This Row],[Date]]-NSW100dt+1</f>
        <v>6</v>
      </c>
      <c r="AV65" s="11">
        <f ca="1">IF(AND(ISNUMBER(tblData[NSW]),tblData[Date]&gt;StartDt2NSW),(tblData[NSW]-AVERAGE(tblData[NSW]))^2,"")</f>
        <v>15082.687670657428</v>
      </c>
      <c r="AW65" s="39">
        <f ca="1">IF(AND(tblData[Date]&gt;StartDt2Italy,ISNUMBER(tblData[Days'# Italy])),betaItaly/(deltaItaly+betaPodeltaItaly*EXP(-betaItaly*tblData[Days'# Italy])),"")</f>
        <v>36865.381413545503</v>
      </c>
      <c r="AX65" s="11">
        <f ca="1">IF(AND(tblData[Date]&gt;StartDt2Italy,ISNUMBER(tblData[Italy])),(tblData[[#This Row],[Italy LogiP(t)]]-tblData[[#This Row],[Italy]])^2,"")</f>
        <v>78950002.864179879</v>
      </c>
      <c r="AY65" s="39">
        <f ca="1">IF(AND(tblData[Date]&gt;StartDt2Italy,ISNUMBER(tblData[Days'# Italy])),tblData[[#This Row],[Italy LogiP(t)]]/$AW$9,"")</f>
        <v>6094.9626210705965</v>
      </c>
      <c r="AZ65" s="39">
        <f ca="1">IF(AND(ISNUMBER(tblData[Italy]),tblData[Date]&gt;StartDt2Italy),(tblData[Italy]-AVERAGE(tblData[Italy]))^2,"")</f>
        <v>49017112.604938276</v>
      </c>
      <c r="BA65" s="11">
        <f>tblData[[#This Row],[Date]]-Italy100dt+1</f>
        <v>19</v>
      </c>
      <c r="BB65" s="11">
        <f ca="1">IF(AND(tblData[Date]&gt;StartDt2US,ISNUMBER(tblData[[#This Row],[Days'# US]])),betaUS/(deltaUS+betaPodeltaUS*EXP(-betaUS*tblData[Days'# US])),"")</f>
        <v>4485.7836130040614</v>
      </c>
      <c r="BC65" s="11">
        <f ca="1">IF(AND(tblData[Date]&gt;StartDt2US,ISNUMBER(tblData[US])),(tblData[[#This Row],[US LogiP(t)]]-tblData[US])^2,"")</f>
        <v>21379.231826146079</v>
      </c>
      <c r="BD65" s="137">
        <f ca="1">IF(AND(tblData[Date]&gt;=StartDt2US,ISNUMBER(tblData[[#This Row],[Days'# US]])),tblData[[#This Row],[US LogiP(t)]]/$BB$9,"")</f>
        <v>136.25168800335746</v>
      </c>
      <c r="BE65" s="137">
        <f ca="1">IF(AND(ISNUMBER(tblData[US]),tblData[Date]&gt;StartDt2US),(tblData[US]-AVERAGE(tblData[US]))^2,"")</f>
        <v>187214853.20849037</v>
      </c>
      <c r="BF65" s="11">
        <f>tblData[[#This Row],[Date]]-US100dt+1</f>
        <v>3</v>
      </c>
      <c r="BG65" s="20">
        <f ca="1">IF(tblData[Date]&gt;StartDt2SKorea,betaSKorea/(deltaSKorea+betaPodeltaSKorea*EXP(-betaSKorea*(tblData[Date]-StartDt2SKorea))),"")</f>
        <v>8766.4307820139638</v>
      </c>
      <c r="BH65" s="20">
        <f ca="1">IF(AND(tblData[Date]&gt;StartDt2SKorea,ISNUMBER(tblData[SKorea])),(tblData[[#This Row],[SKorea LogiP(t)]]-tblData[[#This Row],[SKorea]])^2,"")</f>
        <v>281356.81450794521</v>
      </c>
      <c r="BI65" s="20">
        <f ca="1">IF(tblData[Date]&gt;StartDt2SKorea,tblData[[#This Row],[SKorea LogiP(t)]]/$BG$9,"")</f>
        <v>1705.5312805474639</v>
      </c>
      <c r="BJ65" s="137">
        <f ca="1">IF(AND(ISNUMBER(tblData[SKorea]),tblData[Date]&gt;StartDt2SKorea),(tblData[SKorea]-AVERAGE(tblData[SKorea]))^2,"")</f>
        <v>20033441.255504861</v>
      </c>
      <c r="BK65" s="11">
        <f>tblData[[#This Row],[Date]]-SKorea100dt+1</f>
        <v>24</v>
      </c>
      <c r="BL65" s="137">
        <f ca="1">IF(AND(tblData[Date]&gt;StartDt2UK,ISNUMBER(tblData[Days'# UK])),betaUK/(deltaUK+betaPodeltaUK*EXP(-betaUK*tblData[Days'# UK])),"")</f>
        <v>1598.2417562489341</v>
      </c>
      <c r="BM65" s="20">
        <f ca="1">IF(AND(tblData[Date]&gt;StartDt2UK,ISNUMBER(tblData[UK])),(tblData[[#This Row],[UK LogiP(t)]]-tblData[[#This Row],[UK]])^2,"")</f>
        <v>2231.7835334836996</v>
      </c>
      <c r="BN65" s="20">
        <f ca="1">IF(ISNUMBER(tblData[Days'# UK]),tblData[[#This Row],[UK LogiP(t)]]/$BL$9,"")</f>
        <v>240.55414753897261</v>
      </c>
      <c r="BO65" s="137">
        <f ca="1">IF(AND(ISNUMBER(tblData[UK]),tblData[Date]&gt;StartDt2UK),(tblData[UK]-AVERAGE(tblData[UK]))^2,"")</f>
        <v>2414472.0204081628</v>
      </c>
      <c r="BP65" s="11">
        <f>tblData[[#This Row],[Date]]-UK100dt</f>
        <v>4</v>
      </c>
      <c r="BQ65" s="11">
        <f ca="1">IF(ISNUMBER(tblData[Days'# China]),betaChina/(deltaChina+betaPodeltaChina*EXP(-betaChina*tblData[Days'# China])),"")</f>
        <v>81196.608100025216</v>
      </c>
      <c r="BR65" s="11">
        <f ca="1">IF(ISNUMBER(tblData[China]),(tblData[[#This Row],[China LogiP(t)]]-tblData[[#This Row],[China]])^2,"")</f>
        <v>26767.610393861123</v>
      </c>
      <c r="BS65" s="11">
        <f ca="1">tblData[[#This Row],[China LogiP(t)]]/$BQ$9</f>
        <v>564.13024959316181</v>
      </c>
      <c r="BT65" s="137">
        <f ca="1">IF(AND(ISNUMBER(tblData[China]),tblData[Date]&gt;StartDt2China),(tblData[China]-AVERAGE(tblData[China]))^2,"")</f>
        <v>436978982.5369966</v>
      </c>
      <c r="BU65" s="11">
        <f>tblData[[#This Row],[Date]]-China100dt</f>
        <v>54</v>
      </c>
      <c r="BV65" s="106">
        <f>IF(ISNUMBER(tblData[Day'# Singapore]),betaSingapore/(deltaSingapore+betaPodeltaSingapore*EXP(-betaSingapore*tblData[Day'# Singapore])),"")</f>
        <v>291.03159976557771</v>
      </c>
      <c r="BW65" s="11">
        <f>IF(AND(ISNUMBER(tblData[Singapore]),tblData[Date]&gt;=StartDt2Singapore),(tblData[[#This Row],[Singapore LogiP(t)]]-tblData[[#This Row],[Singapore]])^2,"")</f>
        <v>2307.0345760406449</v>
      </c>
      <c r="BX65" s="106">
        <f>IF(ISNUMBER(tblData[Day'# Singapore]),tblData[Singapore LogiP(t)]/$BV$9,"")</f>
        <v>497.4899141291927</v>
      </c>
      <c r="BY65" s="106">
        <f>IF(AND(ISNUMBER(tblData[Singapore]),tblData[Date]&gt;StartDt2Singapore),(tblData[Singapore]-AVERAGE(tblData[Singapore]))^2,"")</f>
        <v>1942.2021424320569</v>
      </c>
      <c r="BZ65" s="11">
        <f>tblData[[#This Row],[Date]]-Singapore100dt+1</f>
        <v>35</v>
      </c>
      <c r="CA65" s="11">
        <f ca="1">IF(AND(tblData[Date]&gt;StartDt2Generic,ISNUMBER(tblData[Day'# Generic])),betaGeneric/(deltaGeneric+betaPodeltaGeneric*EXP(-betaGeneric*tblData[Day'# Generic])),"")</f>
        <v>40.936843652119649</v>
      </c>
      <c r="CB65" s="106">
        <f ca="1">IF(AND(ISNUMBER(tblData[Generic]),tblData[Date]&gt;StartDt2Generic),(tblData[Generic LogiP(t)]-tblData[[#This Row],[Generic]])^2,"")</f>
        <v>1084.8356697641743</v>
      </c>
      <c r="CC65" s="11">
        <f ca="1">IF(AND(ISNUMBER(tblData[Generic]),tblData[Date]&gt;StartDt2Generic),tblData[Generic LogiP(t)]/$CA$9,"")</f>
        <v>78.273123617819593</v>
      </c>
      <c r="CD65" s="106">
        <f ca="1">IF(AND(ISNUMBER(tblData[Generic]),tblData[Date]&gt;StartDt2Generic),(tblData[Generic]-AVERAGE(tblData[Generic]))^2,"")</f>
        <v>13502.44</v>
      </c>
      <c r="CE65" s="11">
        <f>tblData[[#This Row],[Date]]-Generic100dt+1</f>
        <v>-4</v>
      </c>
      <c r="CF65">
        <v>25511</v>
      </c>
      <c r="CG65" s="11">
        <v>1282</v>
      </c>
      <c r="CH65" s="11">
        <f>IF(ISNUMBER(tblData[[#This Row],[Tests]]),tblData[[#This Row],[Tests]]-CF64,"")</f>
        <v>5000</v>
      </c>
      <c r="CI65" s="11">
        <f>IF(ISNUMBER(tblData[[#This Row],[NSW Under Investigation'']]),tblData[[#This Row],[NSW Under Investigation'']]-CG64,"")</f>
        <v>-642</v>
      </c>
      <c r="CJ65" s="11">
        <f>IF(tblData[[#This Row],[Date]]&gt;myData!TestsStart,tblData[[#This Row],[Date]]-myData!TestsStart,"")</f>
        <v>11</v>
      </c>
      <c r="CK65" s="11">
        <f>IF(AND(tblData[[#This Row],[NSW Test Day Number]]&gt;0,ISNUMBER(tblData[[#This Row],[NSW Test Day Number]])),betaTests/(deltaTests+betaPodeltaTests*EXP(-betaTests*tblData[[#This Row],[NSW Test Day Number]])),"")</f>
        <v>24831.786731402237</v>
      </c>
      <c r="CL65" s="11">
        <f>IF(tblData[Tests]&gt;0,(tblData[[#This Row],[Tests]]-tblData[[#This Row],[NSW Test Logi]])^2,"")</f>
        <v>461330.66423925705</v>
      </c>
      <c r="CM65" s="106">
        <f>IF(AND(ISNUMBER(tblData[Tests]),tblData[Date]&gt;StartDt2Tests),(tblData[Tests]-AVERAGE(tblData[Tests]))^2,"")</f>
        <v>364543965.75980985</v>
      </c>
      <c r="CN65" s="11">
        <f>IF(ISNUMBER(tblData[Tests]),tblData[Tests]/$CN$9/100,"")</f>
        <v>315.73019801980195</v>
      </c>
      <c r="CO65" s="106">
        <f ca="1">IF(AND(tblData[[#This Row],[NSW Test Day Number]]&gt;0,ISNUMBER(tblData[[#This Row],[NSW Test Day Number]])),TestsLogestB*TestsLogestM^tblData[[#This Row],[NSW Test Day Number]],"")</f>
        <v>21377.940341498172</v>
      </c>
      <c r="CP65" s="106">
        <f>IF(AND(tblData[[#This Row],[NSW Test Day Number]]&gt;0,ISNUMBER(tblData[Tests])),(tblData[Tests]-tblData[[#This Row],[NSW Test Per Capita]])^2,"")</f>
        <v>634801620.39457524</v>
      </c>
      <c r="CQ65" s="39">
        <f ca="1">IF(AND(tblData[Day '# NSW]&gt;0,ISNUMBER(tblData[[#This Row],[Day '# NSW]])),NSWLogestB*NSWLogestM^tblData[[#This Row],[Day '# NSW]]/$CR$9,"")</f>
        <v>232.77038702200551</v>
      </c>
      <c r="CR65" s="39">
        <f ca="1">IF(AND(ISNUMBER(tblData[NSW]),tblData[Date]&gt;StartDt2NSW),(tblData[NSW]/$CR$9-tblData[[#This Row],[NSW Cases LogEst]])^2,"")</f>
        <v>446.76108689611215</v>
      </c>
      <c r="CS65" s="106"/>
      <c r="CT65" s="11"/>
      <c r="CW65" s="25"/>
      <c r="CX65"/>
      <c r="DL65" s="25"/>
      <c r="DR65"/>
      <c r="DS65"/>
      <c r="DT65"/>
      <c r="DU65"/>
      <c r="DW65" s="25"/>
      <c r="DX65" s="25"/>
      <c r="EB65" s="25"/>
      <c r="EC65" s="25"/>
      <c r="ED65" s="25"/>
      <c r="EE65" s="25"/>
      <c r="EK65"/>
      <c r="EL65"/>
      <c r="EM65"/>
      <c r="EN65"/>
      <c r="EO65"/>
      <c r="EP65" s="25"/>
      <c r="ER65" s="25"/>
      <c r="ES65" s="25"/>
      <c r="ET65"/>
      <c r="EU65" s="25" t="s">
        <v>58</v>
      </c>
      <c r="EV65" s="69"/>
      <c r="EW65" s="26">
        <v>43860</v>
      </c>
      <c r="EY65" s="25">
        <v>2</v>
      </c>
      <c r="EZ65" s="22">
        <v>0.2615655981515827</v>
      </c>
      <c r="FA65" s="24">
        <v>5.8419822423564144E-6</v>
      </c>
      <c r="FB65" s="21">
        <v>0.44095476463112465</v>
      </c>
      <c r="FC65" s="82">
        <v>44773.432595385282</v>
      </c>
      <c r="FD65" s="82">
        <v>467.53213903899575</v>
      </c>
      <c r="FE65" s="34">
        <v>0.59317427337583117</v>
      </c>
      <c r="FF65" s="84">
        <v>5.8419822423564144E-3</v>
      </c>
      <c r="FG65" s="26">
        <v>43907</v>
      </c>
      <c r="FH65" s="26" t="s">
        <v>697</v>
      </c>
      <c r="FI65" s="84"/>
      <c r="FJ65" s="84">
        <v>31506</v>
      </c>
      <c r="FK65" s="19" t="s">
        <v>698</v>
      </c>
      <c r="FL65" s="26">
        <v>43907</v>
      </c>
      <c r="FM65" s="25">
        <v>48</v>
      </c>
      <c r="FN65" s="18" t="s">
        <v>699</v>
      </c>
      <c r="FO65" s="25"/>
      <c r="FP65" s="25" t="s">
        <v>700</v>
      </c>
      <c r="FR65" s="25" t="s">
        <v>701</v>
      </c>
      <c r="FS65" s="19"/>
      <c r="FT65" s="72"/>
      <c r="FU65" s="25"/>
      <c r="FV65" s="142"/>
      <c r="FW65" s="25"/>
      <c r="FX65" s="25"/>
      <c r="FY65" s="25"/>
      <c r="FZ65" s="25"/>
      <c r="GA65" s="25"/>
      <c r="GB65" s="25"/>
      <c r="GC65" s="25"/>
    </row>
    <row r="66" spans="2:216" x14ac:dyDescent="0.25">
      <c r="B66" s="1">
        <f>B65+1</f>
        <v>43907</v>
      </c>
      <c r="D66" s="25">
        <v>2</v>
      </c>
      <c r="E66">
        <v>210</v>
      </c>
      <c r="F66">
        <v>1</v>
      </c>
      <c r="G66">
        <v>78</v>
      </c>
      <c r="H66">
        <v>29</v>
      </c>
      <c r="I66">
        <v>7</v>
      </c>
      <c r="J66">
        <v>94</v>
      </c>
      <c r="K66">
        <v>31</v>
      </c>
      <c r="L66" s="12">
        <f>IF(ISNUMBER(tblData[[#This Row],[NSW]]),tblData[[#This Row],[New South Wales]]/$L$9,"")</f>
        <v>259.9009900990099</v>
      </c>
      <c r="M66" s="25">
        <v>31506</v>
      </c>
      <c r="N66" s="106">
        <f>IF(ISNUMBER(tblData[Italy]),tblData[Italy]/$N$9,"")</f>
        <v>5208.8947672976774</v>
      </c>
      <c r="O66">
        <v>6421</v>
      </c>
      <c r="P66" s="106">
        <f>IF(ISNUMBER(tblData[US]),tblData[US]/$P$9,"")</f>
        <v>195.03216475564003</v>
      </c>
      <c r="Q66">
        <v>8320</v>
      </c>
      <c r="R66" s="106">
        <f>IF(ISNUMBER(tblData[SKorea]),tblData[SKorea]/$R$9,"")</f>
        <v>1618.6770428015566</v>
      </c>
      <c r="S66">
        <v>1960</v>
      </c>
      <c r="T66" s="106">
        <f>IF(ISNUMBER(tblData[UK]),tblData[UK]/$T$9,"")</f>
        <v>295.0030102347983</v>
      </c>
      <c r="U66">
        <v>81058</v>
      </c>
      <c r="V66" s="106">
        <f>IF(ISNUMBER(tblData[China]),tblData[China]/$V$9,"")</f>
        <v>563.16724111420501</v>
      </c>
      <c r="W66">
        <v>266</v>
      </c>
      <c r="X66" s="106">
        <f>IF(ISNUMBER(tblData[Singapore]),tblData[Singapore]/$X$9,"")</f>
        <v>454.70085470085473</v>
      </c>
      <c r="Y66">
        <v>12</v>
      </c>
      <c r="Z66" s="20">
        <f>IF(AND(LEN(tblData[Generic])&gt;0,ISNUMBER(tblData[Generic])),tblData[Generic]/$Z$9,"")</f>
        <v>22.94455066921606</v>
      </c>
      <c r="AA66" s="25">
        <f ca="1">IF(tblData[[#This Row],[Date]]&lt;StartDt2Italy,"",tblData[[#This Row],[Date]]-ItalyStart)</f>
        <v>47</v>
      </c>
      <c r="AB66" s="25">
        <f ca="1">IF(tblData[[#This Row],[Date]]&lt;=StartDt2US,"",tblData[[#This Row],[Date]]-USStart)</f>
        <v>55</v>
      </c>
      <c r="AC66" s="25">
        <f ca="1">IF(tblData[[#This Row],[Date]]&lt;StartDt2China,"",tblData[[#This Row],[Date]]-ChinaStart)</f>
        <v>55</v>
      </c>
      <c r="AD66" s="25">
        <f>IF(tblData[[#This Row],[Date]]&lt;=SKoreaStart,"",tblData[[#This Row],[Date]]-SKoreaStart)</f>
        <v>55</v>
      </c>
      <c r="AE66" s="25">
        <f ca="1">IF(tblData[[#This Row],[Date]]&lt;=StartDt2UK,"",tblData[[#This Row],[Date]]-UKStart)</f>
        <v>47</v>
      </c>
      <c r="AF66" s="25">
        <f>IF(tblData[[#This Row],[Date]]&lt;StartDt2Singapore,"",tblData[[#This Row],[Date]]-SingaporeStart)</f>
        <v>54</v>
      </c>
      <c r="AG66" s="25">
        <f ca="1">IF(tblData[[#This Row],[Date]]&lt;StartDt2Generic,"",tblData[[#This Row],[Date]]-GenericStart)</f>
        <v>55</v>
      </c>
      <c r="AH66">
        <f ca="1">IF(tblData[Date]&gt;StartDt2Au,tblData[Date]-AuStart,"")</f>
        <v>52</v>
      </c>
      <c r="AI66" s="25">
        <f>IF(tblData[New South Wales]&gt;=0,SUM(tblData[[#This Row],[Australian Capital Territory]:[Western Australia]]),"")</f>
        <v>452</v>
      </c>
      <c r="AJ66" s="12">
        <f>IF(ISNUMBER(tblData[Au]),tblData[Au]/$AE$9,"")</f>
        <v>178.20533038952846</v>
      </c>
      <c r="AK66" s="19">
        <f ca="1">IF(ISNUMBER(tblData[[#This Row],[Day'# Aust]]),betaAu/(deltaAu+betaPodeltaAu*EXP(-betaAu*tblData[[#This Row],[Day'# Aust]])),"")</f>
        <v>479.04027966916391</v>
      </c>
      <c r="AL66" s="62">
        <f ca="1">IF(ISNUMBER(tblData[Day'# Aust]),tblData[Au LogiP(t)]/$AJ$9,"")</f>
        <v>188.86621970870678</v>
      </c>
      <c r="AM66" s="11">
        <f ca="1">IF(AND(tblData[Date]&gt;StartDt2Au,ISNUMBER(tblData[NSW])),(tblData[[#This Row],[Au LogiP(t)]]-tblData[[#This Row],[Au]])^2,"")</f>
        <v>731.17672458659899</v>
      </c>
      <c r="AN66" s="11">
        <f ca="1">IF(AND(ISNUMBER(tblData[Au]),tblData[Date]&gt;StartDt2Au),(tblData[Au]-AVERAGE(tblData[Au]))^2,"")</f>
        <v>74.722725591716056</v>
      </c>
      <c r="AO66" s="11">
        <f>tblData[[#This Row],[Date]]-Au100dt</f>
        <v>3</v>
      </c>
      <c r="AP66">
        <f ca="1">IF(tblData[Date]&gt;StartDt2NSW,tblData[Date]-StartDt2NSW,"")</f>
        <v>52</v>
      </c>
      <c r="AQ66" s="25">
        <f>IF(tblData[[#This Row],[New South Wales]]&gt;0,tblData[[#This Row],[New South Wales]],"")</f>
        <v>210</v>
      </c>
      <c r="AR66" s="11">
        <f ca="1">IF(tblData[Date]&gt;StartDt2NSW,betaNSW/(deltaNSW+betaPodeltaNSW*EXP(-betaNSW*tblData[[#This Row],[Day '# NSW]])),"")</f>
        <v>217.57936903000223</v>
      </c>
      <c r="AS66" s="12">
        <f ca="1">IF(AND(ISNUMBER(tblData[NSW]),tblData[Date]&gt;StartDt2NSW),(tblData[[#This Row],[NSW LogiP(t)]]-tblData[[#This Row],[NSW]])^2,"")</f>
        <v>57.446834892956886</v>
      </c>
      <c r="AT66" s="12">
        <f ca="1">IF(AND(tblData[Date]&gt;StartDt2NSW,ISNUMBER(tblData[Day'# Aust])),tblData[NSW LogiP(t)]/$AR$9,"")</f>
        <v>269.2813973143592</v>
      </c>
      <c r="AU66" s="11">
        <f>tblData[[#This Row],[Date]]-NSW100dt+1</f>
        <v>7</v>
      </c>
      <c r="AV66" s="11">
        <f ca="1">IF(AND(ISNUMBER(tblData[NSW]),tblData[Date]&gt;StartDt2NSW),(tblData[NSW]-AVERAGE(tblData[NSW]))^2,"")</f>
        <v>7024.3833228313397</v>
      </c>
      <c r="AW66" s="39">
        <f ca="1">IF(AND(tblData[Date]&gt;StartDt2Italy,ISNUMBER(tblData[Days'# Italy])),betaItaly/(deltaItaly+betaPodeltaItaly*EXP(-betaItaly*tblData[Days'# Italy])),"")</f>
        <v>42894.786517948327</v>
      </c>
      <c r="AX66" s="11">
        <f ca="1">IF(AND(tblData[Date]&gt;StartDt2Italy,ISNUMBER(tblData[Italy])),(tblData[[#This Row],[Italy LogiP(t)]]-tblData[[#This Row],[Italy]])^2,"")</f>
        <v>129704458.35140158</v>
      </c>
      <c r="AY66" s="39">
        <f ca="1">IF(AND(tblData[Date]&gt;StartDt2Italy,ISNUMBER(tblData[Days'# Italy])),tblData[[#This Row],[Italy LogiP(t)]]/$AW$9,"")</f>
        <v>7091.8056572618543</v>
      </c>
      <c r="AZ66" s="39">
        <f ca="1">IF(AND(ISNUMBER(tblData[Italy]),tblData[Date]&gt;StartDt2Italy),(tblData[Italy]-AVERAGE(tblData[Italy]))^2,"")</f>
        <v>110822407.71604939</v>
      </c>
      <c r="BA66" s="11">
        <f>tblData[[#This Row],[Date]]-Italy100dt+1</f>
        <v>20</v>
      </c>
      <c r="BB66" s="11">
        <f ca="1">IF(AND(tblData[Date]&gt;StartDt2US,ISNUMBER(tblData[[#This Row],[Days'# US]])),betaUS/(deltaUS+betaPodeltaUS*EXP(-betaUS*tblData[Days'# US])),"")</f>
        <v>5943.8697964003841</v>
      </c>
      <c r="BC66" s="11">
        <f ca="1">IF(AND(tblData[Date]&gt;StartDt2US,ISNUMBER(tblData[US])),(tblData[[#This Row],[US LogiP(t)]]-tblData[US])^2,"")</f>
        <v>227653.23118701094</v>
      </c>
      <c r="BD66" s="137">
        <f ca="1">IF(AND(tblData[Date]&gt;=StartDt2US,ISNUMBER(tblData[[#This Row],[Days'# US]])),tblData[[#This Row],[US LogiP(t)]]/$BB$9,"")</f>
        <v>180.53975913683729</v>
      </c>
      <c r="BE66" s="137">
        <f ca="1">IF(AND(ISNUMBER(tblData[US]),tblData[Date]&gt;StartDt2US),(tblData[US]-AVERAGE(tblData[US]))^2,"")</f>
        <v>141458860.06764528</v>
      </c>
      <c r="BF66" s="11">
        <f>tblData[[#This Row],[Date]]-US100dt+1</f>
        <v>4</v>
      </c>
      <c r="BG66" s="20">
        <f ca="1">IF(tblData[Date]&gt;StartDt2SKorea,betaSKorea/(deltaSKorea+betaPodeltaSKorea*EXP(-betaSKorea*(tblData[Date]-StartDt2SKorea))),"")</f>
        <v>8827.2977640949775</v>
      </c>
      <c r="BH66" s="20">
        <f ca="1">IF(AND(tblData[Date]&gt;StartDt2SKorea,ISNUMBER(tblData[SKorea])),(tblData[[#This Row],[SKorea LogiP(t)]]-tblData[[#This Row],[SKorea]])^2,"")</f>
        <v>257351.02145576349</v>
      </c>
      <c r="BI66" s="20">
        <f ca="1">IF(tblData[Date]&gt;StartDt2SKorea,tblData[[#This Row],[SKorea LogiP(t)]]/$BG$9,"")</f>
        <v>1717.3731058550541</v>
      </c>
      <c r="BJ66" s="137">
        <f ca="1">IF(AND(ISNUMBER(tblData[SKorea]),tblData[Date]&gt;StartDt2SKorea),(tblData[SKorea]-AVERAGE(tblData[SKorea]))^2,"")</f>
        <v>20792443.959730212</v>
      </c>
      <c r="BK66" s="11">
        <f>tblData[[#This Row],[Date]]-SKorea100dt+1</f>
        <v>25</v>
      </c>
      <c r="BL66" s="137">
        <f ca="1">IF(AND(tblData[Date]&gt;StartDt2UK,ISNUMBER(tblData[Days'# UK])),betaUK/(deltaUK+betaPodeltaUK*EXP(-betaUK*tblData[Days'# UK])),"")</f>
        <v>1968.9215202347232</v>
      </c>
      <c r="BM66" s="20">
        <f ca="1">IF(AND(tblData[Date]&gt;StartDt2UK,ISNUMBER(tblData[UK])),(tblData[[#This Row],[UK LogiP(t)]]-tblData[[#This Row],[UK]])^2,"")</f>
        <v>79.593523298575064</v>
      </c>
      <c r="BN66" s="20">
        <f ca="1">IF(ISNUMBER(tblData[Days'# UK]),tblData[[#This Row],[UK LogiP(t)]]/$BL$9,"")</f>
        <v>296.34580376801972</v>
      </c>
      <c r="BO66" s="137">
        <f ca="1">IF(AND(ISNUMBER(tblData[UK]),tblData[Date]&gt;StartDt2UK),(tblData[UK]-AVERAGE(tblData[UK]))^2,"")</f>
        <v>1310697.8775510199</v>
      </c>
      <c r="BP66" s="11">
        <f>tblData[[#This Row],[Date]]-UK100dt</f>
        <v>5</v>
      </c>
      <c r="BQ66" s="11">
        <f ca="1">IF(ISNUMBER(tblData[Days'# China]),betaChina/(deltaChina+betaPodeltaChina*EXP(-betaChina*tblData[Days'# China])),"")</f>
        <v>81202.02527809469</v>
      </c>
      <c r="BR66" s="11">
        <f ca="1">IF(ISNUMBER(tblData[China]),(tblData[[#This Row],[China LogiP(t)]]-tblData[[#This Row],[China]])^2,"")</f>
        <v>20743.280730252874</v>
      </c>
      <c r="BS66" s="11">
        <f ca="1">tblData[[#This Row],[China LogiP(t)]]/$BQ$9</f>
        <v>564.16788655963046</v>
      </c>
      <c r="BT66" s="137">
        <f ca="1">IF(AND(ISNUMBER(tblData[China]),tblData[Date]&gt;StartDt2China),(tblData[China]-AVERAGE(tblData[China]))^2,"")</f>
        <v>438024809.64967263</v>
      </c>
      <c r="BU66" s="11">
        <f>tblData[[#This Row],[Date]]-China100dt</f>
        <v>55</v>
      </c>
      <c r="BV66" s="106">
        <f>IF(ISNUMBER(tblData[Day'# Singapore]),betaSingapore/(deltaSingapore+betaPodeltaSingapore*EXP(-betaSingapore*tblData[Day'# Singapore])),"")</f>
        <v>315.08728974389487</v>
      </c>
      <c r="BW66" s="11">
        <f>IF(AND(ISNUMBER(tblData[Singapore]),tblData[Date]&gt;=StartDt2Singapore),(tblData[[#This Row],[Singapore LogiP(t)]]-tblData[[#This Row],[Singapore]])^2,"")</f>
        <v>2409.5620144010868</v>
      </c>
      <c r="BX66" s="106">
        <f>IF(ISNUMBER(tblData[Day'# Singapore]),tblData[Singapore LogiP(t)]/$BV$9,"")</f>
        <v>538.6107516989656</v>
      </c>
      <c r="BY66" s="106">
        <f>IF(AND(ISNUMBER(tblData[Singapore]),tblData[Date]&gt;StartDt2Singapore),(tblData[Singapore]-AVERAGE(tblData[Singapore]))^2,"")</f>
        <v>4498.4415790517751</v>
      </c>
      <c r="BZ66" s="11">
        <f>tblData[[#This Row],[Date]]-Singapore100dt+1</f>
        <v>36</v>
      </c>
      <c r="CA66" s="11">
        <f ca="1">IF(AND(tblData[Date]&gt;StartDt2Generic,ISNUMBER(tblData[Day'# Generic])),betaGeneric/(deltaGeneric+betaPodeltaGeneric*EXP(-betaGeneric*tblData[Day'# Generic])),"")</f>
        <v>49.719654027267971</v>
      </c>
      <c r="CB66" s="106">
        <f ca="1">IF(AND(ISNUMBER(tblData[Generic]),tblData[Date]&gt;StartDt2Generic),(tblData[Generic LogiP(t)]-tblData[[#This Row],[Generic]])^2,"")</f>
        <v>1422.7722999367929</v>
      </c>
      <c r="CC66" s="11">
        <f ca="1">IF(AND(ISNUMBER(tblData[Generic]),tblData[Date]&gt;StartDt2Generic),tblData[Generic LogiP(t)]/$CA$9,"")</f>
        <v>95.06626009037852</v>
      </c>
      <c r="CD66" s="106">
        <f ca="1">IF(AND(ISNUMBER(tblData[Generic]),tblData[Date]&gt;StartDt2Generic),(tblData[Generic]-AVERAGE(tblData[Generic]))^2,"")</f>
        <v>12588.84</v>
      </c>
      <c r="CE66" s="11">
        <f>tblData[[#This Row],[Date]]-Generic100dt+1</f>
        <v>-3</v>
      </c>
      <c r="CF66">
        <v>28552</v>
      </c>
      <c r="CG66" s="11">
        <v>1482</v>
      </c>
      <c r="CH66" s="11">
        <f>IF(ISNUMBER(tblData[[#This Row],[Tests]]),tblData[[#This Row],[Tests]]-CF65,"")</f>
        <v>3041</v>
      </c>
      <c r="CI66" s="11">
        <f>IF(ISNUMBER(tblData[[#This Row],[NSW Under Investigation'']]),tblData[[#This Row],[NSW Under Investigation'']]-CG65,"")</f>
        <v>200</v>
      </c>
      <c r="CJ66" s="11">
        <f>IF(tblData[[#This Row],[Date]]&gt;myData!TestsStart,tblData[[#This Row],[Date]]-myData!TestsStart,"")</f>
        <v>12</v>
      </c>
      <c r="CK66" s="11">
        <f>IF(AND(tblData[[#This Row],[NSW Test Day Number]]&gt;0,ISNUMBER(tblData[[#This Row],[NSW Test Day Number]])),betaTests/(deltaTests+betaPodeltaTests*EXP(-betaTests*tblData[[#This Row],[NSW Test Day Number]])),"")</f>
        <v>28541.517531306163</v>
      </c>
      <c r="CL66" s="11">
        <f>IF(tblData[Tests]&gt;0,(tblData[[#This Row],[Tests]]-tblData[[#This Row],[NSW Test Logi]])^2,"")</f>
        <v>109.88214991727888</v>
      </c>
      <c r="CM66" s="106">
        <f>IF(AND(ISNUMBER(tblData[Tests]),tblData[Date]&gt;StartDt2Tests),(tblData[Tests]-AVERAGE(tblData[Tests]))^2,"")</f>
        <v>257667811.03567189</v>
      </c>
      <c r="CN66" s="11">
        <f>IF(ISNUMBER(tblData[Tests]),tblData[Tests]/$CN$9/100,"")</f>
        <v>353.36633663366337</v>
      </c>
      <c r="CO66" s="106">
        <f ca="1">IF(AND(tblData[[#This Row],[NSW Test Day Number]]&gt;0,ISNUMBER(tblData[[#This Row],[NSW Test Day Number]])),TestsLogestB*TestsLogestM^tblData[[#This Row],[NSW Test Day Number]],"")</f>
        <v>23986.89638678186</v>
      </c>
      <c r="CP66" s="106">
        <f>IF(AND(tblData[[#This Row],[NSW Test Day Number]]&gt;0,ISNUMBER(tblData[Tests])),(tblData[Tests]-tblData[[#This Row],[NSW Test Per Capita]])^2,"")</f>
        <v>795162940.48073721</v>
      </c>
      <c r="CQ66" s="39">
        <f ca="1">IF(AND(tblData[Day '# NSW]&gt;0,ISNUMBER(tblData[[#This Row],[Day '# NSW]])),NSWLogestB*NSWLogestM^tblData[[#This Row],[Day '# NSW]]/$CR$9,"")</f>
        <v>259.05921231409394</v>
      </c>
      <c r="CR66" s="39">
        <f ca="1">IF(AND(ISNUMBER(tblData[NSW]),tblData[Date]&gt;StartDt2NSW),(tblData[NSW]/$CR$9-tblData[[#This Row],[NSW Cases LogEst]])^2,"")</f>
        <v>0.70858983917802354</v>
      </c>
      <c r="CS66" s="106"/>
      <c r="CT66" s="11"/>
      <c r="CW66" s="25"/>
      <c r="CX66"/>
      <c r="DL66" s="25"/>
      <c r="DR66"/>
      <c r="DS66"/>
      <c r="DT66"/>
      <c r="DU66"/>
      <c r="DW66" s="25"/>
      <c r="DX66" s="25"/>
      <c r="EB66" s="25"/>
      <c r="EC66" s="25"/>
      <c r="ED66" s="25"/>
      <c r="EE66" s="25"/>
      <c r="EK66"/>
      <c r="EL66"/>
      <c r="EM66"/>
      <c r="EN66"/>
      <c r="EO66"/>
      <c r="EP66" s="25"/>
      <c r="ER66" s="25"/>
      <c r="ES66" s="25"/>
      <c r="ET66"/>
      <c r="EU66" s="25" t="s">
        <v>58</v>
      </c>
      <c r="EV66" s="69"/>
      <c r="EW66" s="26">
        <v>43860</v>
      </c>
      <c r="EY66" s="25">
        <v>2</v>
      </c>
      <c r="EZ66" s="22">
        <v>0.2615655981515827</v>
      </c>
      <c r="FA66" s="24">
        <v>5.8419822423564144E-6</v>
      </c>
      <c r="FB66" s="21">
        <v>0.44095476463112465</v>
      </c>
      <c r="FC66" s="82">
        <v>44773.432595385282</v>
      </c>
      <c r="FD66" s="82">
        <v>606.55052647767229</v>
      </c>
      <c r="FE66" s="34">
        <v>0.59317427337583117</v>
      </c>
      <c r="FF66" s="84">
        <v>5.8419822423564144E-3</v>
      </c>
      <c r="FG66" s="26">
        <v>43907</v>
      </c>
      <c r="FH66" s="26" t="s">
        <v>697</v>
      </c>
      <c r="FI66" s="84"/>
      <c r="FJ66" s="84">
        <v>35713</v>
      </c>
      <c r="FK66" s="25" t="s">
        <v>698</v>
      </c>
      <c r="FL66" s="26">
        <v>43907</v>
      </c>
      <c r="FM66" s="25">
        <v>49</v>
      </c>
      <c r="FN66" s="26" t="s">
        <v>699</v>
      </c>
      <c r="FO66" s="25"/>
      <c r="FP66" s="25" t="s">
        <v>700</v>
      </c>
      <c r="FQ66"/>
      <c r="FR66" s="18" t="s">
        <v>717</v>
      </c>
      <c r="FS66" s="19">
        <v>5907.8577336641856</v>
      </c>
      <c r="FT66" s="72">
        <v>43893</v>
      </c>
      <c r="FU66" s="25">
        <v>16</v>
      </c>
      <c r="FV66" s="142">
        <v>43891</v>
      </c>
      <c r="FW66" s="11">
        <v>18</v>
      </c>
      <c r="FX66" s="25"/>
      <c r="FY66" s="25"/>
      <c r="FZ66" s="25"/>
      <c r="GB66" s="25"/>
      <c r="GC66" s="25"/>
    </row>
    <row r="67" spans="2:216" ht="15" customHeight="1" x14ac:dyDescent="0.25">
      <c r="B67" s="1">
        <f t="shared" ref="B67:B84" si="3">B66+1</f>
        <v>43908</v>
      </c>
      <c r="D67" s="25">
        <v>3</v>
      </c>
      <c r="E67">
        <v>267</v>
      </c>
      <c r="F67">
        <v>1</v>
      </c>
      <c r="G67">
        <v>94</v>
      </c>
      <c r="H67">
        <v>37</v>
      </c>
      <c r="I67">
        <v>10</v>
      </c>
      <c r="J67">
        <v>121</v>
      </c>
      <c r="K67">
        <v>35</v>
      </c>
      <c r="L67" s="12">
        <f>IF(ISNUMBER(tblData[[#This Row],[NSW]]),tblData[[#This Row],[New South Wales]]/$L$9,"")</f>
        <v>330.44554455445541</v>
      </c>
      <c r="M67" s="25">
        <v>35713</v>
      </c>
      <c r="N67" s="106">
        <f>IF(ISNUMBER(tblData[Italy]),tblData[Italy]/$N$9,"")</f>
        <v>5904.4391171364805</v>
      </c>
      <c r="O67">
        <v>7783</v>
      </c>
      <c r="P67" s="106">
        <f>IF(ISNUMBER(tblData[US]),tblData[US]/$P$9,"")</f>
        <v>236.40170351863358</v>
      </c>
      <c r="Q67">
        <v>8413</v>
      </c>
      <c r="R67" s="106">
        <f>IF(ISNUMBER(tblData[SKorea]),tblData[SKorea]/$R$9,"")</f>
        <v>1636.7704280155642</v>
      </c>
      <c r="S67">
        <v>2642</v>
      </c>
      <c r="T67" s="106">
        <f>IF(ISNUMBER(tblData[UK]),tblData[UK]/$T$9,"")</f>
        <v>397.65201685731489</v>
      </c>
      <c r="U67">
        <v>81102</v>
      </c>
      <c r="V67" s="106">
        <f>IF(ISNUMBER(tblData[China]),tblData[China]/$V$9,"")</f>
        <v>563.47294022606354</v>
      </c>
      <c r="W67">
        <v>313</v>
      </c>
      <c r="X67" s="106">
        <f>IF(ISNUMBER(tblData[Singapore]),tblData[Singapore]/$X$9,"")</f>
        <v>535.0427350427351</v>
      </c>
      <c r="Y67">
        <v>20</v>
      </c>
      <c r="Z67" s="20">
        <f>IF(AND(LEN(tblData[Generic])&gt;0,ISNUMBER(tblData[Generic])),tblData[Generic]/$Z$9,"")</f>
        <v>38.24091778202677</v>
      </c>
      <c r="AA67" s="25">
        <f ca="1">IF(tblData[[#This Row],[Date]]&lt;StartDt2Italy,"",tblData[[#This Row],[Date]]-ItalyStart)</f>
        <v>48</v>
      </c>
      <c r="AB67" s="25">
        <f ca="1">IF(tblData[[#This Row],[Date]]&lt;=StartDt2US,"",tblData[[#This Row],[Date]]-USStart)</f>
        <v>56</v>
      </c>
      <c r="AC67" s="25">
        <f ca="1">IF(tblData[[#This Row],[Date]]&lt;StartDt2China,"",tblData[[#This Row],[Date]]-ChinaStart)</f>
        <v>56</v>
      </c>
      <c r="AD67" s="25">
        <f>IF(tblData[[#This Row],[Date]]&lt;=SKoreaStart,"",tblData[[#This Row],[Date]]-SKoreaStart)</f>
        <v>56</v>
      </c>
      <c r="AE67" s="25">
        <f ca="1">IF(tblData[[#This Row],[Date]]&lt;=StartDt2UK,"",tblData[[#This Row],[Date]]-UKStart)</f>
        <v>48</v>
      </c>
      <c r="AF67" s="25">
        <f>IF(tblData[[#This Row],[Date]]&lt;StartDt2Singapore,"",tblData[[#This Row],[Date]]-SingaporeStart)</f>
        <v>55</v>
      </c>
      <c r="AG67" s="25">
        <f ca="1">IF(tblData[[#This Row],[Date]]&lt;StartDt2Generic,"",tblData[[#This Row],[Date]]-GenericStart)</f>
        <v>56</v>
      </c>
      <c r="AH67">
        <f ca="1">IF(tblData[Date]&gt;StartDt2Au,tblData[Date]-AuStart,"")</f>
        <v>53</v>
      </c>
      <c r="AI67" s="25">
        <f>IF(tblData[New South Wales]&gt;=0,SUM(tblData[[#This Row],[Australian Capital Territory]:[Western Australia]]),"")</f>
        <v>568</v>
      </c>
      <c r="AJ67" s="12">
        <f>IF(ISNUMBER(tblData[Au]),tblData[Au]/$AE$9,"")</f>
        <v>223.93944172843399</v>
      </c>
      <c r="AK67" s="19">
        <f ca="1">IF(ISNUMBER(tblData[[#This Row],[Day'# Aust]]),betaAu/(deltaAu+betaPodeltaAu*EXP(-betaAu*tblData[[#This Row],[Day'# Aust]])),"")</f>
        <v>603.52476176501943</v>
      </c>
      <c r="AL67" s="62">
        <f ca="1">IF(ISNUMBER(tblData[Day'# Aust]),tblData[Au LogiP(t)]/$AJ$9,"")</f>
        <v>237.94541939955033</v>
      </c>
      <c r="AM67" s="11">
        <f ca="1">IF(AND(tblData[Date]&gt;StartDt2Au,ISNUMBER(tblData[NSW])),(tblData[[#This Row],[Au LogiP(t)]]-tblData[[#This Row],[Au]])^2,"")</f>
        <v>1262.0086984613868</v>
      </c>
      <c r="AN67" s="11">
        <f ca="1">IF(AND(ISNUMBER(tblData[Au]),tblData[Date]&gt;StartDt2Au),(tblData[Au]-AVERAGE(tblData[Au]))^2,"")</f>
        <v>15536.184264053256</v>
      </c>
      <c r="AO67" s="11">
        <f>tblData[[#This Row],[Date]]-Au100dt</f>
        <v>4</v>
      </c>
      <c r="AP67">
        <f ca="1">IF(tblData[Date]&gt;StartDt2NSW,tblData[Date]-StartDt2NSW,"")</f>
        <v>53</v>
      </c>
      <c r="AQ67" s="25">
        <f>IF(tblData[[#This Row],[New South Wales]]&gt;0,tblData[[#This Row],[New South Wales]],"")</f>
        <v>267</v>
      </c>
      <c r="AR67" s="11">
        <f ca="1">IF(tblData[Date]&gt;StartDt2NSW,betaNSW/(deltaNSW+betaPodeltaNSW*EXP(-betaNSW*tblData[[#This Row],[Day '# NSW]])),"")</f>
        <v>270.71927485219464</v>
      </c>
      <c r="AS67" s="12">
        <f ca="1">IF(AND(ISNUMBER(tblData[NSW]),tblData[Date]&gt;StartDt2NSW),(tblData[[#This Row],[NSW LogiP(t)]]-tblData[[#This Row],[NSW]])^2,"")</f>
        <v>13.833005426167492</v>
      </c>
      <c r="AT67" s="12">
        <f ca="1">IF(AND(tblData[Date]&gt;StartDt2NSW,ISNUMBER(tblData[Day'# Aust])),tblData[NSW LogiP(t)]/$AR$9,"")</f>
        <v>335.04860749033986</v>
      </c>
      <c r="AU67" s="11">
        <f>tblData[[#This Row],[Date]]-NSW100dt+1</f>
        <v>8</v>
      </c>
      <c r="AV67" s="11">
        <f ca="1">IF(AND(ISNUMBER(tblData[NSW]),tblData[Date]&gt;StartDt2NSW),(tblData[NSW]-AVERAGE(tblData[NSW]))^2,"")</f>
        <v>718.86158370090379</v>
      </c>
      <c r="AW67" s="39">
        <f ca="1">IF(AND(tblData[Date]&gt;StartDt2Italy,ISNUMBER(tblData[Days'# Italy])),betaItaly/(deltaItaly+betaPodeltaItaly*EXP(-betaItaly*tblData[Days'# Italy])),"")</f>
        <v>49108.599050427081</v>
      </c>
      <c r="AX67" s="11">
        <f ca="1">IF(AND(tblData[Date]&gt;StartDt2Italy,ISNUMBER(tblData[Italy])),(tblData[[#This Row],[Italy LogiP(t)]]-tblData[[#This Row],[Italy]])^2,"")</f>
        <v>179442073.91980293</v>
      </c>
      <c r="AY67" s="39">
        <f ca="1">IF(AND(tblData[Date]&gt;StartDt2Italy,ISNUMBER(tblData[Days'# Italy])),tblData[[#This Row],[Italy LogiP(t)]]/$AW$9,"")</f>
        <v>8119.1368191166539</v>
      </c>
      <c r="AZ67" s="39">
        <f ca="1">IF(AND(ISNUMBER(tblData[Italy]),tblData[Date]&gt;StartDt2Italy),(tblData[Italy]-AVERAGE(tblData[Italy]))^2,"")</f>
        <v>217097304.49382716</v>
      </c>
      <c r="BA67" s="11">
        <f>tblData[[#This Row],[Date]]-Italy100dt+1</f>
        <v>21</v>
      </c>
      <c r="BB67" s="11">
        <f ca="1">IF(AND(tblData[Date]&gt;StartDt2US,ISNUMBER(tblData[[#This Row],[Days'# US]])),betaUS/(deltaUS+betaPodeltaUS*EXP(-betaUS*tblData[Days'# US])),"")</f>
        <v>7869.9682547944103</v>
      </c>
      <c r="BC67" s="11">
        <f ca="1">IF(AND(tblData[Date]&gt;StartDt2US,ISNUMBER(tblData[US])),(tblData[[#This Row],[US LogiP(t)]]-tblData[US])^2,"")</f>
        <v>7563.4773419854728</v>
      </c>
      <c r="BD67" s="137">
        <f ca="1">IF(AND(tblData[Date]&gt;=StartDt2US,ISNUMBER(tblData[[#This Row],[Days'# US]])),tblData[[#This Row],[US LogiP(t)]]/$BB$9,"")</f>
        <v>239.04328691648033</v>
      </c>
      <c r="BE67" s="137">
        <f ca="1">IF(AND(ISNUMBER(tblData[US]),tblData[Date]&gt;StartDt2US),(tblData[US]-AVERAGE(tblData[US]))^2,"")</f>
        <v>110915607.22257487</v>
      </c>
      <c r="BF67" s="11">
        <f>tblData[[#This Row],[Date]]-US100dt+1</f>
        <v>5</v>
      </c>
      <c r="BG67" s="20">
        <f ca="1">IF(tblData[Date]&gt;StartDt2SKorea,betaSKorea/(deltaSKorea+betaPodeltaSKorea*EXP(-betaSKorea*(tblData[Date]-StartDt2SKorea))),"")</f>
        <v>8874.7427102152724</v>
      </c>
      <c r="BH67" s="20">
        <f ca="1">IF(AND(tblData[Date]&gt;StartDt2SKorea,ISNUMBER(tblData[SKorea])),(tblData[[#This Row],[SKorea LogiP(t)]]-tblData[[#This Row],[SKorea]])^2,"")</f>
        <v>213206.33043694502</v>
      </c>
      <c r="BI67" s="20">
        <f ca="1">IF(tblData[Date]&gt;StartDt2SKorea,tblData[[#This Row],[SKorea LogiP(t)]]/$BG$9,"")</f>
        <v>1726.603640119703</v>
      </c>
      <c r="BJ67" s="137">
        <f ca="1">IF(AND(ISNUMBER(tblData[SKorea]),tblData[Date]&gt;StartDt2SKorea),(tblData[SKorea]-AVERAGE(tblData[SKorea]))^2,"")</f>
        <v>21649229.382265422</v>
      </c>
      <c r="BK67" s="11">
        <f>tblData[[#This Row],[Date]]-SKorea100dt+1</f>
        <v>26</v>
      </c>
      <c r="BL67" s="137">
        <f ca="1">IF(AND(tblData[Date]&gt;StartDt2UK,ISNUMBER(tblData[Days'# UK])),betaUK/(deltaUK+betaPodeltaUK*EXP(-betaUK*tblData[Days'# UK])),"")</f>
        <v>2422.7179035534627</v>
      </c>
      <c r="BM67" s="20">
        <f ca="1">IF(AND(tblData[Date]&gt;StartDt2UK,ISNUMBER(tblData[UK])),(tblData[[#This Row],[UK LogiP(t)]]-tblData[[#This Row],[UK]])^2,"")</f>
        <v>48084.637821988465</v>
      </c>
      <c r="BN67" s="20">
        <f ca="1">IF(ISNUMBER(tblData[Days'# UK]),tblData[[#This Row],[UK LogiP(t)]]/$BL$9,"")</f>
        <v>364.64748698878128</v>
      </c>
      <c r="BO67" s="137">
        <f ca="1">IF(AND(ISNUMBER(tblData[UK]),tblData[Date]&gt;StartDt2UK),(tblData[UK]-AVERAGE(tblData[UK]))^2,"")</f>
        <v>214236.73469387737</v>
      </c>
      <c r="BP67" s="11">
        <f>tblData[[#This Row],[Date]]-UK100dt</f>
        <v>6</v>
      </c>
      <c r="BQ67" s="11">
        <f ca="1">IF(ISNUMBER(tblData[Days'# China]),betaChina/(deltaChina+betaPodeltaChina*EXP(-betaChina*tblData[Days'# China])),"")</f>
        <v>81206.369448360798</v>
      </c>
      <c r="BR67" s="11">
        <f ca="1">IF(ISNUMBER(tblData[China]),(tblData[[#This Row],[China LogiP(t)]]-tblData[[#This Row],[China]])^2,"")</f>
        <v>10892.981751137246</v>
      </c>
      <c r="BS67" s="11">
        <f ca="1">tblData[[#This Row],[China LogiP(t)]]/$BQ$9</f>
        <v>564.19806858217839</v>
      </c>
      <c r="BT67" s="137">
        <f ca="1">IF(AND(ISNUMBER(tblData[China]),tblData[Date]&gt;StartDt2China),(tblData[China]-AVERAGE(tblData[China]))^2,"")</f>
        <v>439868501.36798251</v>
      </c>
      <c r="BU67" s="11">
        <f>tblData[[#This Row],[Date]]-China100dt</f>
        <v>56</v>
      </c>
      <c r="BV67" s="106">
        <f>IF(ISNUMBER(tblData[Day'# Singapore]),betaSingapore/(deltaSingapore+betaPodeltaSingapore*EXP(-betaSingapore*tblData[Day'# Singapore])),"")</f>
        <v>341.12651171697541</v>
      </c>
      <c r="BW67" s="11">
        <f>IF(AND(ISNUMBER(tblData[Singapore]),tblData[Date]&gt;=StartDt2Singapore),(tblData[[#This Row],[Singapore LogiP(t)]]-tblData[[#This Row],[Singapore]])^2,"")</f>
        <v>791.10066136515525</v>
      </c>
      <c r="BX67" s="106">
        <f>IF(ISNUMBER(tblData[Day'# Singapore]),tblData[Singapore LogiP(t)]/$BV$9,"")</f>
        <v>583.1222422512401</v>
      </c>
      <c r="BY67" s="106">
        <f>IF(AND(ISNUMBER(tblData[Singapore]),tblData[Date]&gt;StartDt2Singapore),(tblData[Singapore]-AVERAGE(tblData[Singapore]))^2,"")</f>
        <v>13012.061297361633</v>
      </c>
      <c r="BZ67" s="11">
        <f>tblData[[#This Row],[Date]]-Singapore100dt+1</f>
        <v>37</v>
      </c>
      <c r="CA67" s="11">
        <f ca="1">IF(AND(tblData[Date]&gt;StartDt2Generic,ISNUMBER(tblData[Day'# Generic])),betaGeneric/(deltaGeneric+betaPodeltaGeneric*EXP(-betaGeneric*tblData[Day'# Generic])),"")</f>
        <v>60.354343491964862</v>
      </c>
      <c r="CB67" s="106">
        <f ca="1">IF(AND(ISNUMBER(tblData[Generic]),tblData[Date]&gt;StartDt2Generic),(tblData[Generic LogiP(t)]-tblData[[#This Row],[Generic]])^2,"")</f>
        <v>1628.4730386674869</v>
      </c>
      <c r="CC67" s="11">
        <f ca="1">IF(AND(ISNUMBER(tblData[Generic]),tblData[Date]&gt;StartDt2Generic),tblData[Generic LogiP(t)]/$CA$9,"")</f>
        <v>115.40027436322153</v>
      </c>
      <c r="CD67" s="106">
        <f ca="1">IF(AND(ISNUMBER(tblData[Generic]),tblData[Date]&gt;StartDt2Generic),(tblData[Generic]-AVERAGE(tblData[Generic]))^2,"")</f>
        <v>10857.640000000001</v>
      </c>
      <c r="CE67" s="11">
        <f>tblData[[#This Row],[Date]]-Generic100dt+1</f>
        <v>-2</v>
      </c>
      <c r="CF67">
        <v>33387</v>
      </c>
      <c r="CG67" s="11">
        <v>2146</v>
      </c>
      <c r="CH67" s="11">
        <f>IF(ISNUMBER(tblData[[#This Row],[Tests]]),tblData[[#This Row],[Tests]]-CF66,"")</f>
        <v>4835</v>
      </c>
      <c r="CI67" s="11">
        <f>IF(ISNUMBER(tblData[[#This Row],[NSW Under Investigation'']]),tblData[[#This Row],[NSW Under Investigation'']]-CG66,"")</f>
        <v>664</v>
      </c>
      <c r="CJ67" s="11">
        <f>IF(tblData[[#This Row],[Date]]&gt;myData!TestsStart,tblData[[#This Row],[Date]]-myData!TestsStart,"")</f>
        <v>13</v>
      </c>
      <c r="CK67" s="11">
        <f>IF(AND(tblData[[#This Row],[NSW Test Day Number]]&gt;0,ISNUMBER(tblData[[#This Row],[NSW Test Day Number]])),betaTests/(deltaTests+betaPodeltaTests*EXP(-betaTests*tblData[[#This Row],[NSW Test Day Number]])),"")</f>
        <v>32628.86724078772</v>
      </c>
      <c r="CL67" s="11">
        <f>IF(tblData[Tests]&gt;0,(tblData[[#This Row],[Tests]]-tblData[[#This Row],[NSW Test Logi]])^2,"")</f>
        <v>574765.28059082455</v>
      </c>
      <c r="CM67" s="106">
        <f>IF(AND(ISNUMBER(tblData[Tests]),tblData[Date]&gt;StartDt2Tests),(tblData[Tests]-AVERAGE(tblData[Tests]))^2,"")</f>
        <v>125821862.58739601</v>
      </c>
      <c r="CN67" s="11">
        <f>IF(ISNUMBER(tblData[Tests]),tblData[Tests]/$CN$9/100,"")</f>
        <v>413.20544554455444</v>
      </c>
      <c r="CO67" s="106">
        <f ca="1">IF(AND(tblData[[#This Row],[NSW Test Day Number]]&gt;0,ISNUMBER(tblData[[#This Row],[NSW Test Day Number]])),TestsLogestB*TestsLogestM^tblData[[#This Row],[NSW Test Day Number]],"")</f>
        <v>26914.248476655932</v>
      </c>
      <c r="CP67" s="106">
        <f>IF(AND(tblData[[#This Row],[NSW Test Day Number]]&gt;0,ISNUMBER(tblData[Tests])),(tblData[Tests]-tblData[[#This Row],[NSW Test Per Capita]])^2,"")</f>
        <v>1087271127.3194356</v>
      </c>
      <c r="CQ67" s="39">
        <f ca="1">IF(AND(tblData[Day '# NSW]&gt;0,ISNUMBER(tblData[[#This Row],[Day '# NSW]])),NSWLogestB*NSWLogestM^tblData[[#This Row],[Day '# NSW]]/$CR$9,"")</f>
        <v>288.3170679200453</v>
      </c>
      <c r="CR67" s="39">
        <f ca="1">IF(AND(ISNUMBER(tblData[NSW]),tblData[Date]&gt;StartDt2NSW),(tblData[NSW]/$CR$9-tblData[[#This Row],[NSW Cases LogEst]])^2,"")</f>
        <v>1774.8085435360383</v>
      </c>
      <c r="CS67" s="106"/>
      <c r="CT67" s="11"/>
      <c r="CW67" s="25"/>
      <c r="CX67"/>
      <c r="DL67" s="25"/>
      <c r="DR67"/>
      <c r="DS67"/>
      <c r="DT67"/>
      <c r="DU67"/>
      <c r="DW67" s="25"/>
      <c r="DX67" s="25"/>
      <c r="EB67" s="25"/>
      <c r="EC67" s="25"/>
      <c r="ED67" s="25"/>
      <c r="EE67" s="25"/>
      <c r="EK67"/>
      <c r="EL67"/>
      <c r="EM67"/>
      <c r="EN67"/>
      <c r="EO67"/>
      <c r="EP67"/>
      <c r="ER67" s="25"/>
      <c r="ES67"/>
      <c r="ET67"/>
      <c r="EU67" s="25" t="s">
        <v>58</v>
      </c>
      <c r="EV67" s="69"/>
      <c r="EW67" s="26">
        <v>43860</v>
      </c>
      <c r="EY67" s="25">
        <v>2</v>
      </c>
      <c r="EZ67" s="25">
        <v>0.26124939657046986</v>
      </c>
      <c r="FA67" s="24">
        <v>5.5289448647719272E-6</v>
      </c>
      <c r="FB67" s="21">
        <v>0.44118045186898547</v>
      </c>
      <c r="FC67" s="82">
        <v>47251.221157049207</v>
      </c>
      <c r="FD67" s="82">
        <v>861.88192352690567</v>
      </c>
      <c r="FE67" s="12">
        <v>0.59215442615679836</v>
      </c>
      <c r="FF67" s="84">
        <v>5.5289448647719269E-3</v>
      </c>
      <c r="FG67" s="26">
        <v>43909</v>
      </c>
      <c r="FH67" s="25" t="s">
        <v>979</v>
      </c>
      <c r="FI67" s="84"/>
      <c r="FJ67" s="84">
        <v>41035</v>
      </c>
      <c r="FK67" s="25" t="s">
        <v>980</v>
      </c>
      <c r="FL67" s="26">
        <v>43909</v>
      </c>
      <c r="FM67" s="25">
        <v>50</v>
      </c>
      <c r="FN67" s="25" t="s">
        <v>981</v>
      </c>
      <c r="FO67" s="25"/>
      <c r="FP67" s="25" t="s">
        <v>982</v>
      </c>
      <c r="FQ67"/>
      <c r="FR67" s="25" t="s">
        <v>983</v>
      </c>
      <c r="FS67" s="19">
        <v>6788.2547559966915</v>
      </c>
      <c r="FT67" s="72">
        <v>43894</v>
      </c>
      <c r="FU67" s="25">
        <v>16</v>
      </c>
      <c r="FV67" s="142">
        <v>43893</v>
      </c>
      <c r="FW67">
        <v>17</v>
      </c>
      <c r="FX67" s="25"/>
      <c r="GA67" s="25"/>
    </row>
    <row r="68" spans="2:216" x14ac:dyDescent="0.25">
      <c r="B68" s="1">
        <f t="shared" si="3"/>
        <v>43909</v>
      </c>
      <c r="D68" s="25">
        <v>4</v>
      </c>
      <c r="E68">
        <v>307</v>
      </c>
      <c r="F68">
        <v>1</v>
      </c>
      <c r="G68">
        <v>144</v>
      </c>
      <c r="H68">
        <v>42</v>
      </c>
      <c r="I68">
        <v>10</v>
      </c>
      <c r="J68">
        <v>121</v>
      </c>
      <c r="K68">
        <v>52</v>
      </c>
      <c r="L68" s="12">
        <f>IF(ISNUMBER(tblData[[#This Row],[NSW]]),tblData[[#This Row],[New South Wales]]/$L$9,"")</f>
        <v>379.95049504950492</v>
      </c>
      <c r="M68" s="25">
        <v>41035</v>
      </c>
      <c r="N68" s="106">
        <f>IF(ISNUMBER(tblData[Italy]),tblData[Italy]/$N$9,"")</f>
        <v>6784.3266925684056</v>
      </c>
      <c r="O68">
        <v>13677</v>
      </c>
      <c r="P68" s="106">
        <f>IF(ISNUMBER(tblData[US]),tblData[US]/$P$9,"")</f>
        <v>415.42671193940021</v>
      </c>
      <c r="Q68">
        <v>8565</v>
      </c>
      <c r="R68" s="106">
        <f>IF(ISNUMBER(tblData[SKorea]),tblData[SKorea]/$R$9,"")</f>
        <v>1666.342412451362</v>
      </c>
      <c r="S68">
        <v>2716</v>
      </c>
      <c r="T68" s="106">
        <f>IF(ISNUMBER(tblData[UK]),tblData[UK]/$T$9,"")</f>
        <v>408.78988561107764</v>
      </c>
      <c r="U68">
        <v>81156</v>
      </c>
      <c r="V68" s="106">
        <f>IF(ISNUMBER(tblData[China]),tblData[China]/$V$9,"")</f>
        <v>563.84811640879889</v>
      </c>
      <c r="W68">
        <v>345</v>
      </c>
      <c r="X68" s="106">
        <f>IF(ISNUMBER(tblData[Singapore]),tblData[Singapore]/$X$9,"")</f>
        <v>589.74358974358972</v>
      </c>
      <c r="Y68">
        <v>28</v>
      </c>
      <c r="Z68" s="20">
        <f>IF(AND(LEN(tblData[Generic])&gt;0,ISNUMBER(tblData[Generic])),tblData[Generic]/$Z$9,"")</f>
        <v>53.537284894837477</v>
      </c>
      <c r="AA68" s="25">
        <f ca="1">IF(tblData[[#This Row],[Date]]&lt;StartDt2Italy,"",tblData[[#This Row],[Date]]-ItalyStart)</f>
        <v>49</v>
      </c>
      <c r="AB68" s="25">
        <f ca="1">IF(tblData[[#This Row],[Date]]&lt;=StartDt2US,"",tblData[[#This Row],[Date]]-USStart)</f>
        <v>57</v>
      </c>
      <c r="AC68" s="25">
        <f ca="1">IF(tblData[[#This Row],[Date]]&lt;StartDt2China,"",tblData[[#This Row],[Date]]-ChinaStart)</f>
        <v>57</v>
      </c>
      <c r="AD68" s="25">
        <f>IF(tblData[[#This Row],[Date]]&lt;=SKoreaStart,"",tblData[[#This Row],[Date]]-SKoreaStart)</f>
        <v>57</v>
      </c>
      <c r="AE68" s="25">
        <f ca="1">IF(tblData[[#This Row],[Date]]&lt;=StartDt2UK,"",tblData[[#This Row],[Date]]-UKStart)</f>
        <v>49</v>
      </c>
      <c r="AF68" s="25">
        <f>IF(tblData[[#This Row],[Date]]&lt;StartDt2Singapore,"",tblData[[#This Row],[Date]]-SingaporeStart)</f>
        <v>56</v>
      </c>
      <c r="AG68" s="25">
        <f ca="1">IF(tblData[[#This Row],[Date]]&lt;StartDt2Generic,"",tblData[[#This Row],[Date]]-GenericStart)</f>
        <v>57</v>
      </c>
      <c r="AH68">
        <f ca="1">IF(tblData[Date]&gt;StartDt2Au,tblData[Date]-AuStart,"")</f>
        <v>54</v>
      </c>
      <c r="AI68" s="25">
        <f>IF(tblData[New South Wales]&gt;=0,SUM(tblData[[#This Row],[Australian Capital Territory]:[Western Australia]]),"")</f>
        <v>681</v>
      </c>
      <c r="AJ68" s="12">
        <f>IF(ISNUMBER(tblData[Au]),tblData[Au]/$AE$9,"")</f>
        <v>268.49077432581612</v>
      </c>
      <c r="AK68" s="19">
        <f ca="1">IF(ISNUMBER(tblData[[#This Row],[Day'# Aust]]),betaAu/(deltaAu+betaPodeltaAu*EXP(-betaAu*tblData[[#This Row],[Day'# Aust]])),"")</f>
        <v>756.06767650652819</v>
      </c>
      <c r="AL68" s="62">
        <f ca="1">IF(ISNUMBER(tblData[Day'# Aust]),tblData[Au LogiP(t)]/$AJ$9,"")</f>
        <v>298.08692497497566</v>
      </c>
      <c r="AM68" s="11">
        <f ca="1">IF(AND(tblData[Date]&gt;StartDt2Au,ISNUMBER(tblData[NSW])),(tblData[[#This Row],[Au LogiP(t)]]-tblData[[#This Row],[Au]])^2,"")</f>
        <v>5635.1560560887638</v>
      </c>
      <c r="AN68" s="11">
        <f ca="1">IF(AND(ISNUMBER(tblData[Au]),tblData[Date]&gt;StartDt2Au),(tblData[Au]-AVERAGE(tblData[Au]))^2,"")</f>
        <v>56474.780417899412</v>
      </c>
      <c r="AO68" s="11">
        <f>tblData[[#This Row],[Date]]-Au100dt</f>
        <v>5</v>
      </c>
      <c r="AP68">
        <f ca="1">IF(tblData[Date]&gt;StartDt2NSW,tblData[Date]-StartDt2NSW,"")</f>
        <v>54</v>
      </c>
      <c r="AQ68" s="25">
        <f>IF(tblData[[#This Row],[New South Wales]]&gt;0,tblData[[#This Row],[New South Wales]],"")</f>
        <v>307</v>
      </c>
      <c r="AR68" s="11">
        <f ca="1">IF(tblData[Date]&gt;StartDt2NSW,betaNSW/(deltaNSW+betaPodeltaNSW*EXP(-betaNSW*tblData[[#This Row],[Day '# NSW]])),"")</f>
        <v>335.2739364947206</v>
      </c>
      <c r="AS68" s="12">
        <f ca="1">IF(AND(ISNUMBER(tblData[NSW]),tblData[Date]&gt;StartDt2NSW),(tblData[[#This Row],[NSW LogiP(t)]]-tblData[[#This Row],[NSW]])^2,"")</f>
        <v>799.41548490749346</v>
      </c>
      <c r="AT68" s="12">
        <f ca="1">IF(AND(tblData[Date]&gt;StartDt2NSW,ISNUMBER(tblData[Day'# Aust])),tblData[NSW LogiP(t)]/$AR$9,"")</f>
        <v>414.94299071128785</v>
      </c>
      <c r="AU68" s="11">
        <f>tblData[[#This Row],[Date]]-NSW100dt+1</f>
        <v>9</v>
      </c>
      <c r="AV68" s="11">
        <f ca="1">IF(AND(ISNUMBER(tblData[NSW]),tblData[Date]&gt;StartDt2NSW),(tblData[NSW]-AVERAGE(tblData[NSW]))^2,"")</f>
        <v>173.93404746901882</v>
      </c>
      <c r="AW68" s="39">
        <f ca="1">IF(AND(tblData[Date]&gt;StartDt2Italy,ISNUMBER(tblData[Days'# Italy])),betaItaly/(deltaItaly+betaPodeltaItaly*EXP(-betaItaly*tblData[Days'# Italy])),"")</f>
        <v>55306.98298053669</v>
      </c>
      <c r="AX68" s="11">
        <f ca="1">IF(AND(tblData[Date]&gt;StartDt2Italy,ISNUMBER(tblData[Italy])),(tblData[[#This Row],[Italy LogiP(t)]]-tblData[[#This Row],[Italy]])^2,"")</f>
        <v>203689498.19672894</v>
      </c>
      <c r="AY68" s="39">
        <f ca="1">IF(AND(tblData[Date]&gt;StartDt2Italy,ISNUMBER(tblData[Days'# Italy])),tblData[[#This Row],[Italy LogiP(t)]]/$AW$9,"")</f>
        <v>9143.9171663282941</v>
      </c>
      <c r="AZ68" s="39">
        <f ca="1">IF(AND(ISNUMBER(tblData[Italy]),tblData[Date]&gt;StartDt2Italy),(tblData[Italy]-AVERAGE(tblData[Italy]))^2,"")</f>
        <v>402252049.82716054</v>
      </c>
      <c r="BA68" s="11">
        <f>tblData[[#This Row],[Date]]-Italy100dt+1</f>
        <v>22</v>
      </c>
      <c r="BB68" s="11">
        <f ca="1">IF(AND(tblData[Date]&gt;StartDt2US,ISNUMBER(tblData[[#This Row],[Days'# US]])),betaUS/(deltaUS+betaPodeltaUS*EXP(-betaUS*tblData[Days'# US])),"")</f>
        <v>10409.856186009476</v>
      </c>
      <c r="BC68" s="11">
        <f ca="1">IF(AND(tblData[Date]&gt;StartDt2US,ISNUMBER(tblData[US])),(tblData[[#This Row],[US LogiP(t)]]-tblData[US])^2,"")</f>
        <v>10674228.701296547</v>
      </c>
      <c r="BD68" s="137">
        <f ca="1">IF(AND(tblData[Date]&gt;=StartDt2US,ISNUMBER(tblData[[#This Row],[Days'# US]])),tblData[[#This Row],[US LogiP(t)]]/$BB$9,"")</f>
        <v>316.19012408539459</v>
      </c>
      <c r="BE68" s="137">
        <f ca="1">IF(AND(ISNUMBER(tblData[US]),tblData[Date]&gt;StartDt2US),(tblData[US]-AVERAGE(tblData[US]))^2,"")</f>
        <v>21507777.926800232</v>
      </c>
      <c r="BF68" s="11">
        <f>tblData[[#This Row],[Date]]-US100dt+1</f>
        <v>6</v>
      </c>
      <c r="BG68" s="20">
        <f ca="1">IF(tblData[Date]&gt;StartDt2SKorea,betaSKorea/(deltaSKorea+betaPodeltaSKorea*EXP(-betaSKorea*(tblData[Date]-StartDt2SKorea))),"")</f>
        <v>8911.6229904268839</v>
      </c>
      <c r="BH68" s="20">
        <f ca="1">IF(AND(tblData[Date]&gt;StartDt2SKorea,ISNUMBER(tblData[SKorea])),(tblData[[#This Row],[SKorea LogiP(t)]]-tblData[[#This Row],[SKorea]])^2,"")</f>
        <v>120147.49749247565</v>
      </c>
      <c r="BI68" s="20">
        <f ca="1">IF(tblData[Date]&gt;StartDt2SKorea,tblData[[#This Row],[SKorea LogiP(t)]]/$BG$9,"")</f>
        <v>1733.7787919118452</v>
      </c>
      <c r="BJ68" s="137">
        <f ca="1">IF(AND(ISNUMBER(tblData[SKorea]),tblData[Date]&gt;StartDt2SKorea),(tblData[SKorea]-AVERAGE(tblData[SKorea]))^2,"")</f>
        <v>23086806.847054157</v>
      </c>
      <c r="BK68" s="11">
        <f>tblData[[#This Row],[Date]]-SKorea100dt+1</f>
        <v>27</v>
      </c>
      <c r="BL68" s="137">
        <f ca="1">IF(AND(tblData[Date]&gt;StartDt2UK,ISNUMBER(tblData[Days'# UK])),betaUK/(deltaUK+betaPodeltaUK*EXP(-betaUK*tblData[Days'# UK])),"")</f>
        <v>2976.8155836186206</v>
      </c>
      <c r="BM68" s="20">
        <f ca="1">IF(AND(tblData[Date]&gt;StartDt2UK,ISNUMBER(tblData[UK])),(tblData[[#This Row],[UK LogiP(t)]]-tblData[[#This Row],[UK]])^2,"")</f>
        <v>68024.768658321686</v>
      </c>
      <c r="BN68" s="20">
        <f ca="1">IF(ISNUMBER(tblData[Days'# UK]),tblData[[#This Row],[UK LogiP(t)]]/$BL$9,"")</f>
        <v>448.0456928986485</v>
      </c>
      <c r="BO68" s="137">
        <f ca="1">IF(AND(ISNUMBER(tblData[UK]),tblData[Date]&gt;StartDt2UK),(tblData[UK]-AVERAGE(tblData[UK]))^2,"")</f>
        <v>151209.87755102027</v>
      </c>
      <c r="BP68" s="11">
        <f>tblData[[#This Row],[Date]]-UK100dt</f>
        <v>7</v>
      </c>
      <c r="BQ68" s="11">
        <f ca="1">IF(ISNUMBER(tblData[Days'# China]),betaChina/(deltaChina+betaPodeltaChina*EXP(-betaChina*tblData[Days'# China])),"")</f>
        <v>81209.853063924151</v>
      </c>
      <c r="BR68" s="11">
        <f ca="1">IF(ISNUMBER(tblData[China]),(tblData[[#This Row],[China LogiP(t)]]-tblData[[#This Row],[China]])^2,"")</f>
        <v>2900.1524940186696</v>
      </c>
      <c r="BS68" s="11">
        <f ca="1">tblData[[#This Row],[China LogiP(t)]]/$BQ$9</f>
        <v>564.22227172271869</v>
      </c>
      <c r="BT68" s="137">
        <f ca="1">IF(AND(ISNUMBER(tblData[China]),tblData[Date]&gt;StartDt2China),(tblData[China]-AVERAGE(tblData[China]))^2,"")</f>
        <v>442136505.93136275</v>
      </c>
      <c r="BU68" s="11">
        <f>tblData[[#This Row],[Date]]-China100dt</f>
        <v>57</v>
      </c>
      <c r="BV68" s="106">
        <f>IF(ISNUMBER(tblData[Day'# Singapore]),betaSingapore/(deltaSingapore+betaPodeltaSingapore*EXP(-betaSingapore*tblData[Day'# Singapore])),"")</f>
        <v>369.31198838165329</v>
      </c>
      <c r="BW68" s="11">
        <f>IF(AND(ISNUMBER(tblData[Singapore]),tblData[Date]&gt;=StartDt2Singapore),(tblData[[#This Row],[Singapore LogiP(t)]]-tblData[[#This Row],[Singapore]])^2,"")</f>
        <v>591.07277906964475</v>
      </c>
      <c r="BX68" s="106">
        <f>IF(ISNUMBER(tblData[Day'# Singapore]),tblData[Singapore LogiP(t)]/$BV$9,"")</f>
        <v>631.3025442421424</v>
      </c>
      <c r="BY68" s="106">
        <f>IF(AND(ISNUMBER(tblData[Singapore]),tblData[Date]&gt;StartDt2Singapore),(tblData[Singapore]-AVERAGE(tblData[Singapore]))^2,"")</f>
        <v>21336.568339615154</v>
      </c>
      <c r="BZ68" s="11">
        <f>tblData[[#This Row],[Date]]-Singapore100dt+1</f>
        <v>38</v>
      </c>
      <c r="CA68" s="11">
        <f ca="1">IF(AND(tblData[Date]&gt;StartDt2Generic,ISNUMBER(tblData[Day'# Generic])),betaGeneric/(deltaGeneric+betaPodeltaGeneric*EXP(-betaGeneric*tblData[Day'# Generic])),"")</f>
        <v>73.216105526554742</v>
      </c>
      <c r="CB68" s="106">
        <f ca="1">IF(AND(ISNUMBER(tblData[Generic]),tblData[Date]&gt;StartDt2Generic),(tblData[Generic LogiP(t)]-tblData[[#This Row],[Generic]])^2,"")</f>
        <v>2044.4961989885342</v>
      </c>
      <c r="CC68" s="11">
        <f ca="1">IF(AND(ISNUMBER(tblData[Generic]),tblData[Date]&gt;StartDt2Generic),tblData[Generic LogiP(t)]/$CA$9,"")</f>
        <v>139.99255358805877</v>
      </c>
      <c r="CD68" s="106">
        <f ca="1">IF(AND(ISNUMBER(tblData[Generic]),tblData[Date]&gt;StartDt2Generic),(tblData[Generic]-AVERAGE(tblData[Generic]))^2,"")</f>
        <v>9254.44</v>
      </c>
      <c r="CE68" s="11">
        <f>tblData[[#This Row],[Date]]-Generic100dt+1</f>
        <v>-1</v>
      </c>
      <c r="CF68">
        <v>38782</v>
      </c>
      <c r="CG68" s="11"/>
      <c r="CH68" s="11">
        <f>IF(ISNUMBER(tblData[[#This Row],[Tests]]),tblData[[#This Row],[Tests]]-CF67,"")</f>
        <v>5395</v>
      </c>
      <c r="CI68" s="11" t="str">
        <f>IF(ISNUMBER(tblData[[#This Row],[NSW Under Investigation'']]),tblData[[#This Row],[NSW Under Investigation'']]-CG67,"")</f>
        <v/>
      </c>
      <c r="CJ68" s="11">
        <f>IF(tblData[[#This Row],[Date]]&gt;myData!TestsStart,tblData[[#This Row],[Date]]-myData!TestsStart,"")</f>
        <v>14</v>
      </c>
      <c r="CK68" s="11">
        <f>IF(AND(tblData[[#This Row],[NSW Test Day Number]]&gt;0,ISNUMBER(tblData[[#This Row],[NSW Test Day Number]])),betaTests/(deltaTests+betaPodeltaTests*EXP(-betaTests*tblData[[#This Row],[NSW Test Day Number]])),"")</f>
        <v>37081.622660506429</v>
      </c>
      <c r="CL68" s="11">
        <f>IF(tblData[Tests]&gt;0,(tblData[[#This Row],[Tests]]-tblData[[#This Row],[NSW Test Logi]])^2,"")</f>
        <v>2891283.0966632334</v>
      </c>
      <c r="CM68" s="106">
        <f>IF(AND(ISNUMBER(tblData[Tests]),tblData[Date]&gt;StartDt2Tests),(tblData[Tests]-AVERAGE(tblData[Tests]))^2,"")</f>
        <v>33896085.518430471</v>
      </c>
      <c r="CN68" s="11">
        <f>IF(ISNUMBER(tblData[Tests]),tblData[Tests]/$CN$9/100,"")</f>
        <v>479.97524752475243</v>
      </c>
      <c r="CO68" s="106">
        <f ca="1">IF(AND(tblData[[#This Row],[NSW Test Day Number]]&gt;0,ISNUMBER(tblData[[#This Row],[NSW Test Day Number]])),TestsLogestB*TestsLogestM^tblData[[#This Row],[NSW Test Day Number]],"")</f>
        <v>30198.853548321033</v>
      </c>
      <c r="CP68" s="106">
        <f>IF(AND(tblData[[#This Row],[NSW Test Day Number]]&gt;0,ISNUMBER(tblData[Tests])),(tblData[Tests]-tblData[[#This Row],[NSW Test Per Capita]])^2,"")</f>
        <v>1467045100.1392267</v>
      </c>
      <c r="CQ68" s="39">
        <f ca="1">IF(AND(tblData[Day '# NSW]&gt;0,ISNUMBER(tblData[[#This Row],[Day '# NSW]])),NSWLogestB*NSWLogestM^tblData[[#This Row],[Day '# NSW]]/$CR$9,"")</f>
        <v>320.87927277886484</v>
      </c>
      <c r="CR68" s="39">
        <f ca="1">IF(AND(ISNUMBER(tblData[NSW]),tblData[Date]&gt;StartDt2NSW),(tblData[NSW]/$CR$9-tblData[[#This Row],[NSW Cases LogEst]])^2,"")</f>
        <v>3489.4093005473642</v>
      </c>
      <c r="CS68" s="106"/>
      <c r="CT68" s="11"/>
      <c r="CW68" s="25"/>
      <c r="CX68"/>
      <c r="DL68" s="25"/>
      <c r="DR68"/>
      <c r="DS68"/>
      <c r="DT68"/>
      <c r="DU68"/>
      <c r="DW68" s="25"/>
      <c r="DX68" s="25"/>
      <c r="EB68" s="25"/>
      <c r="EC68" s="25"/>
      <c r="ED68" s="25"/>
      <c r="EE68" s="25"/>
      <c r="EK68"/>
      <c r="EL68"/>
      <c r="EM68"/>
      <c r="EN68"/>
      <c r="EO68"/>
      <c r="EP68"/>
      <c r="ER68" s="25"/>
      <c r="ES68"/>
      <c r="ET68"/>
      <c r="EU68" s="25" t="s">
        <v>58</v>
      </c>
      <c r="EV68" s="69">
        <v>43911.866296296299</v>
      </c>
      <c r="EW68" s="26">
        <v>43860</v>
      </c>
      <c r="EX68" s="26">
        <v>43860</v>
      </c>
      <c r="EY68" s="25">
        <v>2</v>
      </c>
      <c r="EZ68" s="25">
        <v>0.26021145951808367</v>
      </c>
      <c r="FA68" s="24">
        <v>4.6967448339452021E-6</v>
      </c>
      <c r="FB68" s="21">
        <v>0.44199535332226664</v>
      </c>
      <c r="FC68" s="82">
        <v>55402.511466544704</v>
      </c>
      <c r="FD68" s="82">
        <v>1127.8816766057491</v>
      </c>
      <c r="FE68" s="12">
        <v>0.58871520169346225</v>
      </c>
      <c r="FF68" s="84">
        <v>4.696744833945202E-3</v>
      </c>
      <c r="FG68" s="26">
        <v>43910</v>
      </c>
      <c r="FH68" s="25" t="s">
        <v>1006</v>
      </c>
      <c r="FI68" s="84"/>
      <c r="FJ68" s="84">
        <v>47021</v>
      </c>
      <c r="FK68" s="25" t="s">
        <v>1007</v>
      </c>
      <c r="FL68" s="26">
        <v>43910</v>
      </c>
      <c r="FM68" s="25">
        <v>51</v>
      </c>
      <c r="FN68" s="25" t="s">
        <v>1008</v>
      </c>
      <c r="FO68" s="25"/>
      <c r="FP68" s="25" t="s">
        <v>1009</v>
      </c>
      <c r="FR68" s="25" t="s">
        <v>1052</v>
      </c>
      <c r="FS68" s="19">
        <v>7778.4946236559144</v>
      </c>
      <c r="FT68" s="72">
        <v>43895</v>
      </c>
      <c r="FU68" s="25">
        <v>16</v>
      </c>
      <c r="FV68" s="142">
        <v>43894</v>
      </c>
      <c r="FW68" s="25">
        <v>17</v>
      </c>
      <c r="FX68" s="25"/>
      <c r="GA68" s="25"/>
    </row>
    <row r="69" spans="2:216" ht="15" customHeight="1" x14ac:dyDescent="0.25">
      <c r="B69" s="1">
        <f t="shared" si="3"/>
        <v>43910</v>
      </c>
      <c r="D69" s="25">
        <v>6</v>
      </c>
      <c r="E69">
        <v>353</v>
      </c>
      <c r="F69">
        <v>3</v>
      </c>
      <c r="G69">
        <v>184</v>
      </c>
      <c r="H69">
        <v>50</v>
      </c>
      <c r="I69">
        <v>10</v>
      </c>
      <c r="J69">
        <v>121</v>
      </c>
      <c r="K69">
        <v>64</v>
      </c>
      <c r="L69" s="12">
        <f>IF(ISNUMBER(tblData[[#This Row],[NSW]]),tblData[[#This Row],[New South Wales]]/$L$9,"")</f>
        <v>436.88118811881185</v>
      </c>
      <c r="M69" s="25">
        <v>47021</v>
      </c>
      <c r="N69" s="106">
        <f>IF(ISNUMBER(tblData[Italy]),tblData[Italy]/$N$9,"")</f>
        <v>7773.9935521203606</v>
      </c>
      <c r="O69">
        <v>19100</v>
      </c>
      <c r="P69" s="106">
        <f>IF(ISNUMBER(tblData[US]),tblData[US]/$P$9,"")</f>
        <v>580.14551422406544</v>
      </c>
      <c r="Q69">
        <v>8652</v>
      </c>
      <c r="R69" s="106">
        <f>IF(ISNUMBER(tblData[SKorea]),tblData[SKorea]/$R$9,"")</f>
        <v>1683.2684824902724</v>
      </c>
      <c r="S69">
        <v>4014</v>
      </c>
      <c r="T69" s="106">
        <f>IF(ISNUMBER(tblData[UK]),tblData[UK]/$T$9,"")</f>
        <v>604.15412402167362</v>
      </c>
      <c r="U69">
        <v>81250</v>
      </c>
      <c r="V69" s="106">
        <f>IF(ISNUMBER(tblData[China]),tblData[China]/$V$9,"")</f>
        <v>564.50120087504206</v>
      </c>
      <c r="W69">
        <v>385</v>
      </c>
      <c r="X69" s="106">
        <f>IF(ISNUMBER(tblData[Singapore]),tblData[Singapore]/$X$9,"")</f>
        <v>658.1196581196582</v>
      </c>
      <c r="Y69">
        <v>39</v>
      </c>
      <c r="Z69" s="20">
        <f>IF(AND(LEN(tblData[Generic])&gt;0,ISNUMBER(tblData[Generic])),tblData[Generic]/$Z$9,"")</f>
        <v>74.56978967495219</v>
      </c>
      <c r="AA69" s="25">
        <f ca="1">IF(tblData[[#This Row],[Date]]&lt;StartDt2Italy,"",tblData[[#This Row],[Date]]-ItalyStart)</f>
        <v>50</v>
      </c>
      <c r="AB69" s="25">
        <f ca="1">IF(tblData[[#This Row],[Date]]&lt;=StartDt2US,"",tblData[[#This Row],[Date]]-USStart)</f>
        <v>58</v>
      </c>
      <c r="AC69" s="25">
        <f ca="1">IF(tblData[[#This Row],[Date]]&lt;StartDt2China,"",tblData[[#This Row],[Date]]-ChinaStart)</f>
        <v>58</v>
      </c>
      <c r="AD69" s="25">
        <f>IF(tblData[[#This Row],[Date]]&lt;=SKoreaStart,"",tblData[[#This Row],[Date]]-SKoreaStart)</f>
        <v>58</v>
      </c>
      <c r="AE69" s="25">
        <f ca="1">IF(tblData[[#This Row],[Date]]&lt;=StartDt2UK,"",tblData[[#This Row],[Date]]-UKStart)</f>
        <v>50</v>
      </c>
      <c r="AF69" s="25">
        <f>IF(tblData[[#This Row],[Date]]&lt;StartDt2Singapore,"",tblData[[#This Row],[Date]]-SingaporeStart)</f>
        <v>57</v>
      </c>
      <c r="AG69" s="25">
        <f ca="1">IF(tblData[[#This Row],[Date]]&lt;StartDt2Generic,"",tblData[[#This Row],[Date]]-GenericStart)</f>
        <v>58</v>
      </c>
      <c r="AH69">
        <f ca="1">IF(tblData[Date]&gt;StartDt2Au,tblData[Date]-AuStart,"")</f>
        <v>55</v>
      </c>
      <c r="AI69" s="25">
        <f>IF(tblData[New South Wales]&gt;=0,SUM(tblData[[#This Row],[Australian Capital Territory]:[Western Australia]]),"")</f>
        <v>791</v>
      </c>
      <c r="AJ69" s="12">
        <f>IF(ISNUMBER(tblData[Au]),tblData[Au]/$AE$9,"")</f>
        <v>311.85932818167481</v>
      </c>
      <c r="AK69" s="19">
        <f ca="1">IF(ISNUMBER(tblData[[#This Row],[Day'# Aust]]),betaAu/(deltaAu+betaPodeltaAu*EXP(-betaAu*tblData[[#This Row],[Day'# Aust]])),"")</f>
        <v>940.66220623939932</v>
      </c>
      <c r="AL69" s="62">
        <f ca="1">IF(ISNUMBER(tblData[Day'# Aust]),tblData[Au LogiP(t)]/$AJ$9,"")</f>
        <v>370.86508683149322</v>
      </c>
      <c r="AM69" s="11">
        <f ca="1">IF(AND(tblData[Date]&gt;StartDt2Au,ISNUMBER(tblData[NSW])),(tblData[[#This Row],[Au LogiP(t)]]-tblData[[#This Row],[Au]])^2,"")</f>
        <v>22398.775976444496</v>
      </c>
      <c r="AN69" s="11">
        <f ca="1">IF(AND(ISNUMBER(tblData[Au]),tblData[Date]&gt;StartDt2Au),(tblData[Au]-AVERAGE(tblData[Au]))^2,"")</f>
        <v>120856.51118713018</v>
      </c>
      <c r="AO69" s="11">
        <f>tblData[[#This Row],[Date]]-Au100dt</f>
        <v>6</v>
      </c>
      <c r="AP69">
        <f ca="1">IF(tblData[Date]&gt;StartDt2NSW,tblData[Date]-StartDt2NSW,"")</f>
        <v>55</v>
      </c>
      <c r="AQ69" s="25">
        <f>IF(tblData[[#This Row],[New South Wales]]&gt;0,tblData[[#This Row],[New South Wales]],"")</f>
        <v>353</v>
      </c>
      <c r="AR69" s="11">
        <f ca="1">IF(tblData[Date]&gt;StartDt2NSW,betaNSW/(deltaNSW+betaPodeltaNSW*EXP(-betaNSW*tblData[[#This Row],[Day '# NSW]])),"")</f>
        <v>412.89350641114623</v>
      </c>
      <c r="AS69" s="12">
        <f ca="1">IF(AND(ISNUMBER(tblData[NSW]),tblData[Date]&gt;StartDt2NSW),(tblData[[#This Row],[NSW LogiP(t)]]-tblData[[#This Row],[NSW]])^2,"")</f>
        <v>3587.2321102220149</v>
      </c>
      <c r="AT69" s="12">
        <f ca="1">IF(AND(tblData[Date]&gt;StartDt2NSW,ISNUMBER(tblData[Day'# Aust])),tblData[NSW LogiP(t)]/$AR$9,"")</f>
        <v>511.00681486527998</v>
      </c>
      <c r="AU69" s="11">
        <f>tblData[[#This Row],[Date]]-NSW100dt+1</f>
        <v>10</v>
      </c>
      <c r="AV69" s="11">
        <f ca="1">IF(AND(ISNUMBER(tblData[NSW]),tblData[Date]&gt;StartDt2NSW),(tblData[NSW]-AVERAGE(tblData[NSW]))^2,"")</f>
        <v>3503.267380802351</v>
      </c>
      <c r="AW69" s="39">
        <f ca="1">IF(AND(tblData[Date]&gt;StartDt2Italy,ISNUMBER(tblData[Days'# Italy])),betaItaly/(deltaItaly+betaPodeltaItaly*EXP(-betaItaly*tblData[Days'# Italy])),"")</f>
        <v>61292.06414888888</v>
      </c>
      <c r="AX69" s="11">
        <f ca="1">IF(AND(tblData[Date]&gt;StartDt2Italy,ISNUMBER(tblData[Italy])),(tblData[[#This Row],[Italy LogiP(t)]]-tblData[[#This Row],[Italy]])^2,"")</f>
        <v>203663271.94170147</v>
      </c>
      <c r="AY69" s="39">
        <f ca="1">IF(AND(tblData[Date]&gt;StartDt2Italy,ISNUMBER(tblData[Days'# Italy])),tblData[[#This Row],[Italy LogiP(t)]]/$AW$9,"")</f>
        <v>10133.43211521681</v>
      </c>
      <c r="AZ69" s="39">
        <f ca="1">IF(AND(ISNUMBER(tblData[Italy]),tblData[Date]&gt;StartDt2Italy),(tblData[Italy]-AVERAGE(tblData[Italy]))^2,"")</f>
        <v>678197338.27160501</v>
      </c>
      <c r="BA69" s="11">
        <f>tblData[[#This Row],[Date]]-Italy100dt+1</f>
        <v>23</v>
      </c>
      <c r="BB69" s="11">
        <f ca="1">IF(AND(tblData[Date]&gt;StartDt2US,ISNUMBER(tblData[[#This Row],[Days'# US]])),betaUS/(deltaUS+betaPodeltaUS*EXP(-betaUS*tblData[Days'# US])),"")</f>
        <v>13751.419895899193</v>
      </c>
      <c r="BC69" s="11">
        <f ca="1">IF(AND(tblData[Date]&gt;StartDt2US,ISNUMBER(tblData[US])),(tblData[[#This Row],[US LogiP(t)]]-tblData[US])^2,"")</f>
        <v>28607309.129983</v>
      </c>
      <c r="BD69" s="137">
        <f ca="1">IF(AND(tblData[Date]&gt;=StartDt2US,ISNUMBER(tblData[[#This Row],[Days'# US]])),tblData[[#This Row],[US LogiP(t)]]/$BB$9,"")</f>
        <v>417.68715009515614</v>
      </c>
      <c r="BE69" s="137">
        <f ca="1">IF(AND(ISNUMBER(tblData[US]),tblData[Date]&gt;StartDt2US),(tblData[US]-AVERAGE(tblData[US]))^2,"")</f>
        <v>616777.94088474615</v>
      </c>
      <c r="BF69" s="11">
        <f>tblData[[#This Row],[Date]]-US100dt+1</f>
        <v>7</v>
      </c>
      <c r="BG69" s="20">
        <f ca="1">IF(tblData[Date]&gt;StartDt2SKorea,betaSKorea/(deltaSKorea+betaPodeltaSKorea*EXP(-betaSKorea*(tblData[Date]-StartDt2SKorea))),"")</f>
        <v>8940.2293323891972</v>
      </c>
      <c r="BH69" s="20">
        <f ca="1">IF(AND(tblData[Date]&gt;StartDt2SKorea,ISNUMBER(tblData[SKorea])),(tblData[[#This Row],[SKorea LogiP(t)]]-tblData[[#This Row],[SKorea]])^2,"")</f>
        <v>83076.148049522337</v>
      </c>
      <c r="BI69" s="20">
        <f ca="1">IF(tblData[Date]&gt;StartDt2SKorea,tblData[[#This Row],[SKorea LogiP(t)]]/$BG$9,"")</f>
        <v>1739.3442280912836</v>
      </c>
      <c r="BJ69" s="137">
        <f ca="1">IF(AND(ISNUMBER(tblData[SKorea]),tblData[Date]&gt;StartDt2SKorea),(tblData[SKorea]-AVERAGE(tblData[SKorea]))^2,"")</f>
        <v>23930423.790716127</v>
      </c>
      <c r="BK69" s="11">
        <f>tblData[[#This Row],[Date]]-SKorea100dt+1</f>
        <v>28</v>
      </c>
      <c r="BL69" s="137">
        <f ca="1">IF(AND(tblData[Date]&gt;StartDt2UK,ISNUMBER(tblData[Days'# UK])),betaUK/(deltaUK+betaPodeltaUK*EXP(-betaUK*tblData[Days'# UK])),"")</f>
        <v>3651.2254396822264</v>
      </c>
      <c r="BM69" s="20">
        <f ca="1">IF(AND(tblData[Date]&gt;StartDt2UK,ISNUMBER(tblData[UK])),(tblData[[#This Row],[UK LogiP(t)]]-tblData[[#This Row],[UK]])^2,"")</f>
        <v>131605.381613754</v>
      </c>
      <c r="BN69" s="20">
        <f ca="1">IF(ISNUMBER(tblData[Days'# UK]),tblData[[#This Row],[UK LogiP(t)]]/$BL$9,"")</f>
        <v>549.55229375108763</v>
      </c>
      <c r="BO69" s="137">
        <f ca="1">IF(AND(ISNUMBER(tblData[UK]),tblData[Date]&gt;StartDt2UK),(tblData[UK]-AVERAGE(tblData[UK]))^2,"")</f>
        <v>826540.73469387786</v>
      </c>
      <c r="BP69" s="11">
        <f>tblData[[#This Row],[Date]]-UK100dt</f>
        <v>8</v>
      </c>
      <c r="BQ69" s="11">
        <f ca="1">IF(ISNUMBER(tblData[Days'# China]),betaChina/(deltaChina+betaPodeltaChina*EXP(-betaChina*tblData[Days'# China])),"")</f>
        <v>81212.646542280796</v>
      </c>
      <c r="BR69" s="11">
        <f ca="1">IF(ISNUMBER(tblData[China]),(tblData[[#This Row],[China LogiP(t)]]-tblData[[#This Row],[China]])^2,"")</f>
        <v>1395.2808035803621</v>
      </c>
      <c r="BS69" s="11">
        <f ca="1">tblData[[#This Row],[China LogiP(t)]]/$BQ$9</f>
        <v>564.24167999209646</v>
      </c>
      <c r="BT69" s="137">
        <f ca="1">IF(AND(ISNUMBER(tblData[China]),tblData[Date]&gt;StartDt2China),(tblData[China]-AVERAGE(tblData[China]))^2,"")</f>
        <v>446098425.87502474</v>
      </c>
      <c r="BU69" s="11">
        <f>tblData[[#This Row],[Date]]-China100dt</f>
        <v>58</v>
      </c>
      <c r="BV69" s="106">
        <f>IF(ISNUMBER(tblData[Day'# Singapore]),betaSingapore/(deltaSingapore+betaPodeltaSingapore*EXP(-betaSingapore*tblData[Day'# Singapore])),"")</f>
        <v>399.81964875053541</v>
      </c>
      <c r="BW69" s="11">
        <f>IF(AND(ISNUMBER(tblData[Singapore]),tblData[Date]&gt;=StartDt2Singapore),(tblData[[#This Row],[Singapore LogiP(t)]]-tblData[[#This Row],[Singapore]])^2,"")</f>
        <v>219.62198908924566</v>
      </c>
      <c r="BX69" s="106">
        <f>IF(ISNUMBER(tblData[Day'# Singapore]),tblData[Singapore LogiP(t)]/$BV$9,"")</f>
        <v>683.45239102655626</v>
      </c>
      <c r="BY69" s="106">
        <f>IF(AND(ISNUMBER(tblData[Singapore]),tblData[Date]&gt;StartDt2Singapore),(tblData[Singapore]-AVERAGE(tblData[Singapore]))^2,"")</f>
        <v>34622.202142432056</v>
      </c>
      <c r="BZ69" s="11">
        <f>tblData[[#This Row],[Date]]-Singapore100dt+1</f>
        <v>39</v>
      </c>
      <c r="CA69" s="11">
        <f ca="1">IF(AND(tblData[Date]&gt;StartDt2Generic,ISNUMBER(tblData[Day'# Generic])),betaGeneric/(deltaGeneric+betaPodeltaGeneric*EXP(-betaGeneric*tblData[Day'# Generic])),"")</f>
        <v>88.749006376995538</v>
      </c>
      <c r="CB69" s="106">
        <f ca="1">IF(AND(ISNUMBER(tblData[Generic]),tblData[Date]&gt;StartDt2Generic),(tblData[Generic LogiP(t)]-tblData[[#This Row],[Generic]])^2,"")</f>
        <v>2474.9636354983427</v>
      </c>
      <c r="CC69" s="11">
        <f ca="1">IF(AND(ISNUMBER(tblData[Generic]),tblData[Date]&gt;StartDt2Generic),tblData[Generic LogiP(t)]/$CA$9,"")</f>
        <v>169.69217280496278</v>
      </c>
      <c r="CD69" s="106">
        <f ca="1">IF(AND(ISNUMBER(tblData[Generic]),tblData[Date]&gt;StartDt2Generic),(tblData[Generic]-AVERAGE(tblData[Generic]))^2,"")</f>
        <v>7259.0400000000009</v>
      </c>
      <c r="CE69" s="11">
        <f>tblData[[#This Row],[Date]]-Generic100dt+1</f>
        <v>0</v>
      </c>
      <c r="CF69">
        <v>40298</v>
      </c>
      <c r="CG69" s="11"/>
      <c r="CH69" s="11">
        <f>IF(ISNUMBER(tblData[[#This Row],[Tests]]),tblData[[#This Row],[Tests]]-CF68,"")</f>
        <v>1516</v>
      </c>
      <c r="CI69" s="11" t="str">
        <f>IF(ISNUMBER(tblData[[#This Row],[NSW Under Investigation'']]),tblData[[#This Row],[NSW Under Investigation'']]-CG68,"")</f>
        <v/>
      </c>
      <c r="CJ69" s="11">
        <f>IF(tblData[[#This Row],[Date]]&gt;myData!TestsStart,tblData[[#This Row],[Date]]-myData!TestsStart,"")</f>
        <v>15</v>
      </c>
      <c r="CK69" s="11">
        <f>IF(AND(tblData[[#This Row],[NSW Test Day Number]]&gt;0,ISNUMBER(tblData[[#This Row],[NSW Test Day Number]])),betaTests/(deltaTests+betaPodeltaTests*EXP(-betaTests*tblData[[#This Row],[NSW Test Day Number]])),"")</f>
        <v>41873.073761087246</v>
      </c>
      <c r="CL69" s="11">
        <f>IF(tblData[Tests]&gt;0,(tblData[[#This Row],[Tests]]-tblData[[#This Row],[NSW Test Logi]])^2,"")</f>
        <v>2480857.3528655218</v>
      </c>
      <c r="CM69" s="106">
        <f>IF(AND(ISNUMBER(tblData[Tests]),tblData[Date]&gt;StartDt2Tests),(tblData[Tests]-AVERAGE(tblData[Tests]))^2,"")</f>
        <v>18541932.966706324</v>
      </c>
      <c r="CN69" s="11">
        <f>IF(ISNUMBER(tblData[Tests]),tblData[Tests]/$CN$9/100,"")</f>
        <v>498.73762376237619</v>
      </c>
      <c r="CO69" s="106">
        <f ca="1">IF(AND(tblData[[#This Row],[NSW Test Day Number]]&gt;0,ISNUMBER(tblData[[#This Row],[NSW Test Day Number]])),TestsLogestB*TestsLogestM^tblData[[#This Row],[NSW Test Day Number]],"")</f>
        <v>33884.31062542725</v>
      </c>
      <c r="CP69" s="106">
        <f>IF(AND(tblData[[#This Row],[NSW Test Day Number]]&gt;0,ISNUMBER(tblData[Tests])),(tblData[Tests]-tblData[[#This Row],[NSW Test Per Capita]])^2,"")</f>
        <v>1583981285.6926036</v>
      </c>
      <c r="CQ69" s="39">
        <f ca="1">IF(AND(tblData[Day '# NSW]&gt;0,ISNUMBER(tblData[[#This Row],[Day '# NSW]])),NSWLogestB*NSWLogestM^tblData[[#This Row],[Day '# NSW]]/$CR$9,"")</f>
        <v>357.11901637278891</v>
      </c>
      <c r="CR69" s="39">
        <f ca="1">IF(AND(ISNUMBER(tblData[NSW]),tblData[Date]&gt;StartDt2NSW),(tblData[NSW]/$CR$9-tblData[[#This Row],[NSW Cases LogEst]])^2,"")</f>
        <v>6362.0040416420607</v>
      </c>
      <c r="CS69" s="106"/>
      <c r="CT69" s="11"/>
      <c r="CW69" s="25"/>
      <c r="CX69"/>
      <c r="DL69" s="25"/>
      <c r="DR69"/>
      <c r="DS69"/>
      <c r="DT69"/>
      <c r="DU69"/>
      <c r="DW69" s="25"/>
      <c r="DX69" s="25"/>
      <c r="EB69" s="25"/>
      <c r="EC69" s="25"/>
      <c r="ED69" s="25"/>
      <c r="EE69" s="25"/>
      <c r="EK69"/>
      <c r="EL69"/>
      <c r="EM69"/>
      <c r="EN69"/>
      <c r="EQ69" s="69"/>
      <c r="ER69" s="26"/>
      <c r="ET69" s="69"/>
      <c r="EU69" s="25" t="s">
        <v>58</v>
      </c>
      <c r="EV69" s="69">
        <v>43912.326678240737</v>
      </c>
      <c r="EW69" s="26">
        <v>43860</v>
      </c>
      <c r="EX69" s="26">
        <v>43860</v>
      </c>
      <c r="EY69" s="25">
        <v>2</v>
      </c>
      <c r="EZ69" s="25">
        <v>0.25947894792637805</v>
      </c>
      <c r="FA69" s="24">
        <v>4.2793930730069226E-6</v>
      </c>
      <c r="FB69" s="21">
        <v>0.44221157817092033</v>
      </c>
      <c r="FC69" s="82">
        <v>60634.520713483966</v>
      </c>
      <c r="FD69" s="82">
        <v>1498.6578455090564</v>
      </c>
      <c r="FE69" s="25">
        <v>0.58677128401401213</v>
      </c>
      <c r="FF69" s="84">
        <v>4.2793930730069228E-3</v>
      </c>
      <c r="FG69" s="26">
        <v>43911</v>
      </c>
      <c r="FH69" s="25" t="s">
        <v>1066</v>
      </c>
      <c r="FI69" s="84"/>
      <c r="FJ69" s="84">
        <v>53578</v>
      </c>
      <c r="FK69" s="25" t="s">
        <v>487</v>
      </c>
      <c r="FL69" s="26">
        <v>43911</v>
      </c>
      <c r="FM69" s="25">
        <v>52</v>
      </c>
      <c r="FN69" s="25" t="s">
        <v>1067</v>
      </c>
      <c r="FO69" s="25"/>
      <c r="FP69" s="25" t="s">
        <v>1068</v>
      </c>
      <c r="FR69" s="25" t="s">
        <v>1069</v>
      </c>
      <c r="FS69" s="19">
        <v>8863.1927212572373</v>
      </c>
      <c r="FT69" s="72">
        <v>43895</v>
      </c>
      <c r="FU69" s="25">
        <v>16</v>
      </c>
      <c r="FV69" s="142">
        <v>43894</v>
      </c>
      <c r="FW69" s="25">
        <v>18</v>
      </c>
      <c r="FX69" s="25"/>
      <c r="FY69" s="25"/>
      <c r="FZ69" s="25"/>
    </row>
    <row r="70" spans="2:216" ht="15" customHeight="1" x14ac:dyDescent="0.25">
      <c r="B70" s="1">
        <f t="shared" si="3"/>
        <v>43911</v>
      </c>
      <c r="D70" s="25">
        <v>9</v>
      </c>
      <c r="E70">
        <v>436</v>
      </c>
      <c r="F70">
        <v>3</v>
      </c>
      <c r="G70">
        <v>221</v>
      </c>
      <c r="H70">
        <v>67</v>
      </c>
      <c r="I70">
        <v>16</v>
      </c>
      <c r="J70">
        <v>229</v>
      </c>
      <c r="K70">
        <v>90</v>
      </c>
      <c r="L70" s="12">
        <f>IF(ISNUMBER(tblData[[#This Row],[NSW]]),tblData[[#This Row],[New South Wales]]/$L$9,"")</f>
        <v>539.60396039603961</v>
      </c>
      <c r="M70" s="25">
        <v>53578</v>
      </c>
      <c r="N70" s="106">
        <f>IF(ISNUMBER(tblData[Italy]),tblData[Italy]/$N$9,"")</f>
        <v>8858.0639828056555</v>
      </c>
      <c r="O70">
        <v>25489</v>
      </c>
      <c r="P70" s="106">
        <f>IF(ISNUMBER(tblData[US]),tblData[US]/$P$9,"")</f>
        <v>774.20570743755002</v>
      </c>
      <c r="Q70">
        <v>8799</v>
      </c>
      <c r="R70" s="106">
        <f>IF(ISNUMBER(tblData[SKorea]),tblData[SKorea]/$R$9,"")</f>
        <v>1711.8677042801557</v>
      </c>
      <c r="S70">
        <v>5067</v>
      </c>
      <c r="T70" s="106">
        <f>IF(ISNUMBER(tblData[UK]),tblData[UK]/$T$9,"")</f>
        <v>762.64298615291989</v>
      </c>
      <c r="U70">
        <v>81305</v>
      </c>
      <c r="V70" s="106">
        <f>IF(ISNUMBER(tblData[China]),tblData[China]/$V$9,"")</f>
        <v>564.88332476486516</v>
      </c>
      <c r="W70">
        <v>432</v>
      </c>
      <c r="X70" s="106">
        <f>IF(ISNUMBER(tblData[Singapore]),tblData[Singapore]/$X$9,"")</f>
        <v>738.46153846153845</v>
      </c>
      <c r="Y70">
        <v>52</v>
      </c>
      <c r="Z70" s="20">
        <f>IF(AND(LEN(tblData[Generic])&gt;0,ISNUMBER(tblData[Generic])),tblData[Generic]/$Z$9,"")</f>
        <v>99.426386233269596</v>
      </c>
      <c r="AA70" s="25">
        <f ca="1">IF(tblData[[#This Row],[Date]]&lt;StartDt2Italy,"",tblData[[#This Row],[Date]]-ItalyStart)</f>
        <v>51</v>
      </c>
      <c r="AB70" s="25">
        <f ca="1">IF(tblData[[#This Row],[Date]]&lt;=StartDt2US,"",tblData[[#This Row],[Date]]-USStart)</f>
        <v>59</v>
      </c>
      <c r="AC70" s="25">
        <f ca="1">IF(tblData[[#This Row],[Date]]&lt;StartDt2China,"",tblData[[#This Row],[Date]]-ChinaStart)</f>
        <v>59</v>
      </c>
      <c r="AD70" s="25">
        <f>IF(tblData[[#This Row],[Date]]&lt;=SKoreaStart,"",tblData[[#This Row],[Date]]-SKoreaStart)</f>
        <v>59</v>
      </c>
      <c r="AE70" s="25">
        <f ca="1">IF(tblData[[#This Row],[Date]]&lt;=StartDt2UK,"",tblData[[#This Row],[Date]]-UKStart)</f>
        <v>51</v>
      </c>
      <c r="AF70" s="25">
        <f>IF(tblData[[#This Row],[Date]]&lt;StartDt2Singapore,"",tblData[[#This Row],[Date]]-SingaporeStart)</f>
        <v>58</v>
      </c>
      <c r="AG70" s="25">
        <f ca="1">IF(tblData[[#This Row],[Date]]&lt;StartDt2Generic,"",tblData[[#This Row],[Date]]-GenericStart)</f>
        <v>59</v>
      </c>
      <c r="AH70">
        <f ca="1">IF(tblData[Date]&gt;StartDt2Au,tblData[Date]-AuStart,"")</f>
        <v>56</v>
      </c>
      <c r="AI70" s="25">
        <f>IF(tblData[New South Wales]&gt;=0,SUM(tblData[[#This Row],[Australian Capital Territory]:[Western Australia]]),"")</f>
        <v>1071</v>
      </c>
      <c r="AJ70" s="12">
        <f>IF(ISNUMBER(tblData[Au]),tblData[Au]/$AE$9,"")</f>
        <v>422.25201072386056</v>
      </c>
      <c r="AK70" s="19">
        <f ca="1">IF(ISNUMBER(tblData[[#This Row],[Day'# Aust]]),betaAu/(deltaAu+betaPodeltaAu*EXP(-betaAu*tblData[[#This Row],[Day'# Aust]])),"")</f>
        <v>1160.680647360829</v>
      </c>
      <c r="AL70" s="62">
        <f ca="1">IF(ISNUMBER(tblData[Day'# Aust]),tblData[Au LogiP(t)]/$AJ$9,"")</f>
        <v>457.60946513200952</v>
      </c>
      <c r="AM70" s="11">
        <f ca="1">IF(AND(tblData[Date]&gt;StartDt2Au,ISNUMBER(tblData[NSW])),(tblData[[#This Row],[Au LogiP(t)]]-tblData[[#This Row],[Au]])^2,"")</f>
        <v>8042.6185110573606</v>
      </c>
      <c r="AN70" s="11">
        <f ca="1">IF(AND(ISNUMBER(tblData[Au]),tblData[Date]&gt;StartDt2Au),(tblData[Au]-AVERAGE(tblData[Au]))^2,"")</f>
        <v>393937.28041789937</v>
      </c>
      <c r="AO70" s="11">
        <f>tblData[[#This Row],[Date]]-Au100dt</f>
        <v>7</v>
      </c>
      <c r="AP70">
        <f ca="1">IF(tblData[Date]&gt;StartDt2NSW,tblData[Date]-StartDt2NSW,"")</f>
        <v>56</v>
      </c>
      <c r="AQ70" s="25">
        <f>IF(tblData[[#This Row],[New South Wales]]&gt;0,tblData[[#This Row],[New South Wales]],"")</f>
        <v>436</v>
      </c>
      <c r="AR70" s="11">
        <f ca="1">IF(tblData[Date]&gt;StartDt2NSW,betaNSW/(deltaNSW+betaPodeltaNSW*EXP(-betaNSW*tblData[[#This Row],[Day '# NSW]])),"")</f>
        <v>505.07715988005231</v>
      </c>
      <c r="AS70" s="12">
        <f ca="1">IF(AND(ISNUMBER(tblData[NSW]),tblData[Date]&gt;StartDt2NSW),(tblData[[#This Row],[NSW LogiP(t)]]-tblData[[#This Row],[NSW]])^2,"")</f>
        <v>4771.6540170943081</v>
      </c>
      <c r="AT70" s="12">
        <f ca="1">IF(AND(tblData[Date]&gt;StartDt2NSW,ISNUMBER(tblData[Day'# Aust])),tblData[NSW LogiP(t)]/$AR$9,"")</f>
        <v>625.09549490105485</v>
      </c>
      <c r="AU70" s="11">
        <f>tblData[[#This Row],[Date]]-NSW100dt+1</f>
        <v>11</v>
      </c>
      <c r="AV70" s="11">
        <f ca="1">IF(AND(ISNUMBER(tblData[NSW]),tblData[Date]&gt;StartDt2NSW),(tblData[NSW]-AVERAGE(tblData[NSW]))^2,"")</f>
        <v>20217.54274312119</v>
      </c>
      <c r="AW70" s="39">
        <f ca="1">IF(AND(tblData[Date]&gt;StartDt2Italy,ISNUMBER(tblData[Days'# Italy])),betaItaly/(deltaItaly+betaPodeltaItaly*EXP(-betaItaly*tblData[Days'# Italy])),"")</f>
        <v>66892.366943336528</v>
      </c>
      <c r="AX70" s="11">
        <f ca="1">IF(AND(tblData[Date]&gt;StartDt2Italy,ISNUMBER(tblData[Italy])),(tblData[[#This Row],[Italy LogiP(t)]]-tblData[[#This Row],[Italy]])^2,"")</f>
        <v>177272367.10181248</v>
      </c>
      <c r="AY70" s="39">
        <f ca="1">IF(AND(tblData[Date]&gt;StartDt2Italy,ISNUMBER(tblData[Days'# Italy])),tblData[[#This Row],[Italy LogiP(t)]]/$AW$9,"")</f>
        <v>11059.331560442512</v>
      </c>
      <c r="AZ70" s="39">
        <f ca="1">IF(AND(ISNUMBER(tblData[Italy]),tblData[Date]&gt;StartDt2Italy),(tblData[Italy]-AVERAGE(tblData[Italy]))^2,"")</f>
        <v>1062709289.4938272</v>
      </c>
      <c r="BA70" s="11">
        <f>tblData[[#This Row],[Date]]-Italy100dt+1</f>
        <v>24</v>
      </c>
      <c r="BB70" s="11">
        <f ca="1">IF(AND(tblData[Date]&gt;StartDt2US,ISNUMBER(tblData[[#This Row],[Days'# US]])),betaUS/(deltaUS+betaPodeltaUS*EXP(-betaUS*tblData[Days'# US])),"")</f>
        <v>18134.391166691574</v>
      </c>
      <c r="BC70" s="11">
        <f ca="1">IF(AND(tblData[Date]&gt;StartDt2US,ISNUMBER(tblData[US])),(tblData[[#This Row],[US LogiP(t)]]-tblData[US])^2,"")</f>
        <v>54090271.090978332</v>
      </c>
      <c r="BD70" s="137">
        <f ca="1">IF(AND(tblData[Date]&gt;=StartDt2US,ISNUMBER(tblData[[#This Row],[Days'# US]])),tblData[[#This Row],[US LogiP(t)]]/$BB$9,"")</f>
        <v>550.8160046356353</v>
      </c>
      <c r="BE70" s="137">
        <f ca="1">IF(AND(ISNUMBER(tblData[US]),tblData[Date]&gt;StartDt2US),(tblData[US]-AVERAGE(tblData[US]))^2,"")</f>
        <v>51471328.2366594</v>
      </c>
      <c r="BF70" s="11">
        <f>tblData[[#This Row],[Date]]-US100dt+1</f>
        <v>8</v>
      </c>
      <c r="BG70" s="20">
        <f ca="1">IF(tblData[Date]&gt;StartDt2SKorea,betaSKorea/(deltaSKorea+betaPodeltaSKorea*EXP(-betaSKorea*(tblData[Date]-StartDt2SKorea))),"")</f>
        <v>8962.3808835452328</v>
      </c>
      <c r="BH70" s="20">
        <f ca="1">IF(AND(tblData[Date]&gt;StartDt2SKorea,ISNUMBER(tblData[SKorea])),(tblData[[#This Row],[SKorea LogiP(t)]]-tblData[[#This Row],[SKorea]])^2,"")</f>
        <v>26693.31310802092</v>
      </c>
      <c r="BI70" s="20">
        <f ca="1">IF(tblData[Date]&gt;StartDt2SKorea,tblData[[#This Row],[SKorea LogiP(t)]]/$BG$9,"")</f>
        <v>1743.6538683940144</v>
      </c>
      <c r="BJ70" s="137">
        <f ca="1">IF(AND(ISNUMBER(tblData[SKorea]),tblData[Date]&gt;StartDt2SKorea),(tblData[SKorea]-AVERAGE(tblData[SKorea]))^2,"")</f>
        <v>25390243.523110494</v>
      </c>
      <c r="BK70" s="11">
        <f>tblData[[#This Row],[Date]]-SKorea100dt+1</f>
        <v>29</v>
      </c>
      <c r="BL70" s="137">
        <f ca="1">IF(AND(tblData[Date]&gt;StartDt2UK,ISNUMBER(tblData[Days'# UK])),betaUK/(deltaUK+betaPodeltaUK*EXP(-betaUK*tblData[Days'# UK])),"")</f>
        <v>4468.8859556645757</v>
      </c>
      <c r="BM70" s="20">
        <f ca="1">IF(AND(tblData[Date]&gt;StartDt2UK,ISNUMBER(tblData[UK])),(tblData[[#This Row],[UK LogiP(t)]]-tblData[[#This Row],[UK]])^2,"")</f>
        <v>357740.41003127792</v>
      </c>
      <c r="BN70" s="20">
        <f ca="1">IF(ISNUMBER(tblData[Days'# UK]),tblData[[#This Row],[UK LogiP(t)]]/$BL$9,"")</f>
        <v>672.61980067197101</v>
      </c>
      <c r="BO70" s="137">
        <f ca="1">IF(AND(ISNUMBER(tblData[UK]),tblData[Date]&gt;StartDt2UK),(tblData[UK]-AVERAGE(tblData[UK]))^2,"")</f>
        <v>3850004.5918367356</v>
      </c>
      <c r="BP70" s="11">
        <f>tblData[[#This Row],[Date]]-UK100dt</f>
        <v>9</v>
      </c>
      <c r="BQ70" s="11">
        <f ca="1">IF(ISNUMBER(tblData[Days'# China]),betaChina/(deltaChina+betaPodeltaChina*EXP(-betaChina*tblData[Days'# China])),"")</f>
        <v>81214.886571834359</v>
      </c>
      <c r="BR70" s="11">
        <f ca="1">IF(ISNUMBER(tblData[China]),(tblData[[#This Row],[China LogiP(t)]]-tblData[[#This Row],[China]])^2,"")</f>
        <v>8120.4299357642094</v>
      </c>
      <c r="BS70" s="11">
        <f ca="1">tblData[[#This Row],[China LogiP(t)]]/$BQ$9</f>
        <v>564.25724306130246</v>
      </c>
      <c r="BT70" s="137">
        <f ca="1">IF(AND(ISNUMBER(tblData[China]),tblData[Date]&gt;StartDt2China),(tblData[China]-AVERAGE(tblData[China]))^2,"")</f>
        <v>448424765.52291209</v>
      </c>
      <c r="BU70" s="11">
        <f>tblData[[#This Row],[Date]]-China100dt</f>
        <v>59</v>
      </c>
      <c r="BV70" s="106">
        <f>IF(ISNUMBER(tblData[Day'# Singapore]),betaSingapore/(deltaSingapore+betaPodeltaSingapore*EXP(-betaSingapore*tblData[Day'# Singapore])),"")</f>
        <v>432.83967535508395</v>
      </c>
      <c r="BW70" s="11">
        <f>IF(AND(ISNUMBER(tblData[Singapore]),tblData[Date]&gt;=StartDt2Singapore),(tblData[[#This Row],[Singapore LogiP(t)]]-tblData[[#This Row],[Singapore]])^2,"")</f>
        <v>0.70505470193536568</v>
      </c>
      <c r="BX70" s="106">
        <f>IF(ISNUMBER(tblData[Day'# Singapore]),tblData[Singapore LogiP(t)]/$BV$9,"")</f>
        <v>739.89688094886151</v>
      </c>
      <c r="BY70" s="106">
        <f>IF(AND(ISNUMBER(tblData[Singapore]),tblData[Date]&gt;StartDt2Singapore),(tblData[Singapore]-AVERAGE(tblData[Singapore]))^2,"")</f>
        <v>54321.821860741911</v>
      </c>
      <c r="BZ70" s="11">
        <f>tblData[[#This Row],[Date]]-Singapore100dt+1</f>
        <v>40</v>
      </c>
      <c r="CA70" s="11">
        <f ca="1">IF(AND(tblData[Date]&gt;StartDt2Generic,ISNUMBER(tblData[Day'# Generic])),betaGeneric/(deltaGeneric+betaPodeltaGeneric*EXP(-betaGeneric*tblData[Day'# Generic])),"")</f>
        <v>107.4752954963807</v>
      </c>
      <c r="CB70" s="106">
        <f ca="1">IF(AND(ISNUMBER(tblData[Generic]),tblData[Date]&gt;StartDt2Generic),(tblData[Generic LogiP(t)]-tblData[[#This Row],[Generic]])^2,"")</f>
        <v>3077.5084104107564</v>
      </c>
      <c r="CC70" s="11">
        <f ca="1">IF(AND(ISNUMBER(tblData[Generic]),tblData[Date]&gt;StartDt2Generic),tblData[Generic LogiP(t)]/$CA$9,"")</f>
        <v>205.49769693380628</v>
      </c>
      <c r="CD70" s="106">
        <f ca="1">IF(AND(ISNUMBER(tblData[Generic]),tblData[Date]&gt;StartDt2Generic),(tblData[Generic]-AVERAGE(tblData[Generic]))^2,"")</f>
        <v>5212.84</v>
      </c>
      <c r="CE70" s="11">
        <f>tblData[[#This Row],[Date]]-Generic100dt+1</f>
        <v>1</v>
      </c>
      <c r="CF70">
        <v>46456</v>
      </c>
      <c r="CG70" s="11"/>
      <c r="CH70" s="11">
        <f>IF(ISNUMBER(tblData[[#This Row],[Tests]]),tblData[[#This Row],[Tests]]-CF69,"")</f>
        <v>6158</v>
      </c>
      <c r="CI70" s="11" t="str">
        <f>IF(ISNUMBER(tblData[[#This Row],[NSW Under Investigation'']]),tblData[[#This Row],[NSW Under Investigation'']]-CG69,"")</f>
        <v/>
      </c>
      <c r="CJ70" s="11">
        <f>IF(tblData[[#This Row],[Date]]&gt;myData!TestsStart,tblData[[#This Row],[Date]]-myData!TestsStart,"")</f>
        <v>16</v>
      </c>
      <c r="CK70" s="11">
        <f>IF(AND(tblData[[#This Row],[NSW Test Day Number]]&gt;0,ISNUMBER(tblData[[#This Row],[NSW Test Day Number]])),betaTests/(deltaTests+betaPodeltaTests*EXP(-betaTests*tblData[[#This Row],[NSW Test Day Number]])),"")</f>
        <v>46961.134463539689</v>
      </c>
      <c r="CL70" s="11">
        <f>IF(tblData[Tests]&gt;0,(tblData[[#This Row],[Tests]]-tblData[[#This Row],[NSW Test Logi]])^2,"")</f>
        <v>255160.82625552942</v>
      </c>
      <c r="CM70" s="106">
        <f>IF(AND(ISNUMBER(tblData[Tests]),tblData[Date]&gt;StartDt2Tests),(tblData[Tests]-AVERAGE(tblData[Tests]))^2,"")</f>
        <v>3429776.2770511205</v>
      </c>
      <c r="CN70" s="11">
        <f>IF(ISNUMBER(tblData[Tests]),tblData[Tests]/$CN$9/100,"")</f>
        <v>574.95049504950487</v>
      </c>
      <c r="CO70" s="106">
        <f ca="1">IF(AND(tblData[[#This Row],[NSW Test Day Number]]&gt;0,ISNUMBER(tblData[[#This Row],[NSW Test Day Number]])),TestsLogestB*TestsLogestM^tblData[[#This Row],[NSW Test Day Number]],"")</f>
        <v>38019.539540575548</v>
      </c>
      <c r="CP70" s="106">
        <f>IF(AND(tblData[[#This Row],[NSW Test Day Number]]&gt;0,ISNUMBER(tblData[Tests])),(tblData[Tests]-tblData[[#This Row],[NSW Test Per Capita]])^2,"")</f>
        <v>2105070703.6757183</v>
      </c>
      <c r="CQ70" s="39">
        <f ca="1">IF(AND(tblData[Day '# NSW]&gt;0,ISNUMBER(tblData[[#This Row],[Day '# NSW]])),NSWLogestB*NSWLogestM^tblData[[#This Row],[Day '# NSW]]/$CR$9,"")</f>
        <v>397.451635783776</v>
      </c>
      <c r="CR70" s="39">
        <f ca="1">IF(AND(ISNUMBER(tblData[NSW]),tblData[Date]&gt;StartDt2NSW),(tblData[NSW]/$CR$9-tblData[[#This Row],[NSW Cases LogEst]])^2,"")</f>
        <v>20207.283392670368</v>
      </c>
      <c r="CS70" s="106"/>
      <c r="CT70" s="11"/>
      <c r="CW70" s="25"/>
      <c r="CX70"/>
      <c r="DL70" s="25"/>
      <c r="DR70"/>
      <c r="DS70"/>
      <c r="DT70"/>
      <c r="DU70"/>
      <c r="DW70" s="25"/>
      <c r="DX70" s="25"/>
      <c r="EB70" s="25"/>
      <c r="EC70" s="25"/>
      <c r="ED70" s="25"/>
      <c r="EE70" s="25"/>
      <c r="EK70"/>
      <c r="EL70"/>
      <c r="EM70"/>
      <c r="EN70"/>
      <c r="EO70"/>
      <c r="EP70"/>
      <c r="EQ70"/>
      <c r="ER70"/>
      <c r="ES70" s="69"/>
      <c r="EU70" s="25" t="s">
        <v>58</v>
      </c>
      <c r="EV70" s="69">
        <v>43912.58871527778</v>
      </c>
      <c r="EW70" s="26">
        <v>43860</v>
      </c>
      <c r="EX70" s="26">
        <v>43860</v>
      </c>
      <c r="EY70" s="25">
        <v>2</v>
      </c>
      <c r="EZ70" s="25">
        <v>0.25947894792637805</v>
      </c>
      <c r="FA70" s="24">
        <v>4.2793930730069226E-6</v>
      </c>
      <c r="FB70" s="21">
        <v>0.44221157817092033</v>
      </c>
      <c r="FC70" s="82">
        <v>60634.520713483966</v>
      </c>
      <c r="FD70" s="82">
        <v>1498.6578455090564</v>
      </c>
      <c r="FE70" s="25">
        <v>0.58677128401401213</v>
      </c>
      <c r="FF70" s="84">
        <v>4.2793930730069228E-3</v>
      </c>
      <c r="FG70" s="26">
        <v>43911</v>
      </c>
      <c r="FH70" s="25" t="s">
        <v>1066</v>
      </c>
      <c r="FI70" s="84"/>
      <c r="FJ70" s="84">
        <v>53578</v>
      </c>
      <c r="FK70" s="25" t="s">
        <v>487</v>
      </c>
      <c r="FL70" s="26">
        <v>43911</v>
      </c>
      <c r="FM70" s="25">
        <v>52</v>
      </c>
      <c r="FN70" s="25" t="s">
        <v>1067</v>
      </c>
      <c r="FO70" s="25"/>
      <c r="FP70" s="25" t="s">
        <v>1068</v>
      </c>
      <c r="FR70" s="25" t="s">
        <v>1069</v>
      </c>
      <c r="FS70" s="19">
        <v>8863.1927212572373</v>
      </c>
      <c r="FT70" s="72">
        <v>43896</v>
      </c>
      <c r="FU70" s="25">
        <v>16</v>
      </c>
      <c r="FV70" s="142">
        <v>43894</v>
      </c>
      <c r="FW70" s="25">
        <v>18</v>
      </c>
      <c r="FX70" s="25"/>
      <c r="FY70" s="25"/>
    </row>
    <row r="71" spans="2:216" x14ac:dyDescent="0.25">
      <c r="B71" s="1">
        <f t="shared" si="3"/>
        <v>43912</v>
      </c>
      <c r="D71" s="25">
        <v>19</v>
      </c>
      <c r="E71">
        <v>669</v>
      </c>
      <c r="F71">
        <v>5</v>
      </c>
      <c r="G71">
        <v>259</v>
      </c>
      <c r="H71">
        <v>100</v>
      </c>
      <c r="I71">
        <v>22</v>
      </c>
      <c r="J71">
        <v>355</v>
      </c>
      <c r="K71">
        <v>120</v>
      </c>
      <c r="L71" s="12">
        <f>IF(ISNUMBER(tblData[[#This Row],[NSW]]),tblData[[#This Row],[New South Wales]]/$L$9,"")</f>
        <v>827.97029702970292</v>
      </c>
      <c r="M71" s="25">
        <v>59138</v>
      </c>
      <c r="N71" s="106">
        <f>IF(ISNUMBER(tblData[Italy]),tblData[Italy]/$N$9,"")</f>
        <v>9777.3001570637352</v>
      </c>
      <c r="O71">
        <v>33276</v>
      </c>
      <c r="P71" s="106">
        <f>IF(ISNUMBER(tblData[US]),tblData[US]/$P$9,"")</f>
        <v>1010.7289073989531</v>
      </c>
      <c r="Q71">
        <v>8961</v>
      </c>
      <c r="R71" s="106">
        <f>IF(ISNUMBER(tblData[SKorea]),tblData[SKorea]/$R$9,"")</f>
        <v>1743.3852140077822</v>
      </c>
      <c r="S71">
        <v>5745</v>
      </c>
      <c r="T71" s="106">
        <f>IF(ISNUMBER(tblData[UK]),tblData[UK]/$T$9,"")</f>
        <v>864.68994581577363</v>
      </c>
      <c r="U71">
        <v>81435</v>
      </c>
      <c r="V71" s="106">
        <f>IF(ISNUMBER(tblData[China]),tblData[China]/$V$9,"")</f>
        <v>565.78652668626523</v>
      </c>
      <c r="W71">
        <v>455</v>
      </c>
      <c r="X71" s="106">
        <f>IF(ISNUMBER(tblData[Singapore]),tblData[Singapore]/$X$9,"")</f>
        <v>777.77777777777783</v>
      </c>
      <c r="Y71">
        <v>102</v>
      </c>
      <c r="Z71" s="20">
        <f>IF(AND(LEN(tblData[Generic])&gt;0,ISNUMBER(tblData[Generic])),tblData[Generic]/$Z$9,"")</f>
        <v>195.02868068833652</v>
      </c>
      <c r="AA71" s="25">
        <f ca="1">IF(tblData[[#This Row],[Date]]&lt;StartDt2Italy,"",tblData[[#This Row],[Date]]-ItalyStart)</f>
        <v>52</v>
      </c>
      <c r="AB71" s="25">
        <f ca="1">IF(tblData[[#This Row],[Date]]&lt;=StartDt2US,"",tblData[[#This Row],[Date]]-USStart)</f>
        <v>60</v>
      </c>
      <c r="AC71" s="25">
        <f ca="1">IF(tblData[[#This Row],[Date]]&lt;StartDt2China,"",tblData[[#This Row],[Date]]-ChinaStart)</f>
        <v>60</v>
      </c>
      <c r="AD71" s="25">
        <f>IF(tblData[[#This Row],[Date]]&lt;=SKoreaStart,"",tblData[[#This Row],[Date]]-SKoreaStart)</f>
        <v>60</v>
      </c>
      <c r="AE71" s="25">
        <f ca="1">IF(tblData[[#This Row],[Date]]&lt;=StartDt2UK,"",tblData[[#This Row],[Date]]-UKStart)</f>
        <v>52</v>
      </c>
      <c r="AF71" s="25">
        <f>IF(tblData[[#This Row],[Date]]&lt;StartDt2Singapore,"",tblData[[#This Row],[Date]]-SingaporeStart)</f>
        <v>59</v>
      </c>
      <c r="AG71" s="25">
        <f ca="1">IF(tblData[[#This Row],[Date]]&lt;StartDt2Generic,"",tblData[[#This Row],[Date]]-GenericStart)</f>
        <v>60</v>
      </c>
      <c r="AH71">
        <f ca="1">IF(tblData[Date]&gt;StartDt2Au,tblData[Date]-AuStart,"")</f>
        <v>57</v>
      </c>
      <c r="AI71" s="25">
        <f>IF(tblData[New South Wales]&gt;=0,SUM(tblData[[#This Row],[Australian Capital Territory]:[Western Australia]]),"")</f>
        <v>1549</v>
      </c>
      <c r="AJ71" s="12">
        <f>IF(ISNUMBER(tblData[Au]),tblData[Au]/$AE$9,"")</f>
        <v>610.70809020659203</v>
      </c>
      <c r="AK71" s="19">
        <f ca="1">IF(ISNUMBER(tblData[[#This Row],[Day'# Aust]]),betaAu/(deltaAu+betaPodeltaAu*EXP(-betaAu*tblData[[#This Row],[Day'# Aust]])),"")</f>
        <v>1418.2298388276217</v>
      </c>
      <c r="AL71" s="62">
        <f ca="1">IF(ISNUMBER(tblData[Day'# Aust]),tblData[Au LogiP(t)]/$AJ$9,"")</f>
        <v>559.15070131983191</v>
      </c>
      <c r="AM71" s="11">
        <f ca="1">IF(AND(tblData[Date]&gt;StartDt2Au,ISNUMBER(tblData[NSW])),(tblData[[#This Row],[Au LogiP(t)]]-tblData[[#This Row],[Au]])^2,"")</f>
        <v>17100.835053049788</v>
      </c>
      <c r="AN71" s="11">
        <f ca="1">IF(AND(ISNUMBER(tblData[Au]),tblData[Date]&gt;StartDt2Au),(tblData[Au]-AVERAGE(tblData[Au]))^2,"")</f>
        <v>1222449.1650332839</v>
      </c>
      <c r="AO71" s="11">
        <f>tblData[[#This Row],[Date]]-Au100dt</f>
        <v>8</v>
      </c>
      <c r="AP71">
        <f ca="1">IF(tblData[Date]&gt;StartDt2NSW,tblData[Date]-StartDt2NSW,"")</f>
        <v>57</v>
      </c>
      <c r="AQ71" s="25">
        <f>IF(tblData[[#This Row],[New South Wales]]&gt;0,tblData[[#This Row],[New South Wales]],"")</f>
        <v>669</v>
      </c>
      <c r="AR71" s="11">
        <f ca="1">IF(tblData[Date]&gt;StartDt2NSW,betaNSW/(deltaNSW+betaPodeltaNSW*EXP(-betaNSW*tblData[[#This Row],[Day '# NSW]])),"")</f>
        <v>612.96614269159795</v>
      </c>
      <c r="AS71" s="12">
        <f ca="1">IF(AND(ISNUMBER(tblData[NSW]),tblData[Date]&gt;StartDt2NSW),(tblData[[#This Row],[NSW LogiP(t)]]-tblData[[#This Row],[NSW]])^2,"")</f>
        <v>3139.7931648583617</v>
      </c>
      <c r="AT71" s="12">
        <f ca="1">IF(AND(tblData[Date]&gt;StartDt2NSW,ISNUMBER(tblData[Day'# Aust])),tblData[NSW LogiP(t)]/$AR$9,"")</f>
        <v>758.62146372722509</v>
      </c>
      <c r="AU71" s="11">
        <f>tblData[[#This Row],[Date]]-NSW100dt+1</f>
        <v>12</v>
      </c>
      <c r="AV71" s="11">
        <f ca="1">IF(AND(ISNUMBER(tblData[NSW]),tblData[Date]&gt;StartDt2NSW),(tblData[NSW]-AVERAGE(tblData[NSW]))^2,"")</f>
        <v>140766.33984457047</v>
      </c>
      <c r="AW71" s="39">
        <f ca="1">IF(AND(tblData[Date]&gt;StartDt2Italy,ISNUMBER(tblData[Days'# Italy])),betaItaly/(deltaItaly+betaPodeltaItaly*EXP(-betaItaly*tblData[Days'# Italy])),"")</f>
        <v>71980.607535600473</v>
      </c>
      <c r="AX71" s="11">
        <f ca="1">IF(AND(tblData[Date]&gt;StartDt2Italy,ISNUMBER(tblData[Italy])),(tblData[[#This Row],[Italy LogiP(t)]]-tblData[[#This Row],[Italy]])^2,"")</f>
        <v>164932568.31346205</v>
      </c>
      <c r="AY71" s="39">
        <f ca="1">IF(AND(tblData[Date]&gt;StartDt2Italy,ISNUMBER(tblData[Days'# Italy])),tblData[[#This Row],[Italy LogiP(t)]]/$AW$9,"")</f>
        <v>11900.571635215421</v>
      </c>
      <c r="AZ71" s="39">
        <f ca="1">IF(AND(ISNUMBER(tblData[Italy]),tblData[Date]&gt;StartDt2Italy),(tblData[Italy]-AVERAGE(tblData[Italy]))^2,"")</f>
        <v>1456126240.604938</v>
      </c>
      <c r="BA71" s="11">
        <f>tblData[[#This Row],[Date]]-Italy100dt+1</f>
        <v>25</v>
      </c>
      <c r="BB71" s="11">
        <f ca="1">IF(AND(tblData[Date]&gt;StartDt2US,ISNUMBER(tblData[[#This Row],[Days'# US]])),betaUS/(deltaUS+betaPodeltaUS*EXP(-betaUS*tblData[Days'# US])),"")</f>
        <v>23860.528643476002</v>
      </c>
      <c r="BC71" s="11">
        <f ca="1">IF(AND(tblData[Date]&gt;StartDt2US,ISNUMBER(tblData[US])),(tblData[[#This Row],[US LogiP(t)]]-tblData[US])^2,"")</f>
        <v>88651100.86552386</v>
      </c>
      <c r="BD71" s="137">
        <f ca="1">IF(AND(tblData[Date]&gt;=StartDt2US,ISNUMBER(tblData[[#This Row],[Days'# US]])),tblData[[#This Row],[US LogiP(t)]]/$BB$9,"")</f>
        <v>724.74233819515337</v>
      </c>
      <c r="BE71" s="137">
        <f ca="1">IF(AND(ISNUMBER(tblData[US]),tblData[Date]&gt;StartDt2US),(tblData[US]-AVERAGE(tblData[US]))^2,"")</f>
        <v>223842057.03947631</v>
      </c>
      <c r="BF71" s="11">
        <f>tblData[[#This Row],[Date]]-US100dt+1</f>
        <v>9</v>
      </c>
      <c r="BG71" s="20">
        <f ca="1">IF(tblData[Date]&gt;StartDt2SKorea,betaSKorea/(deltaSKorea+betaPodeltaSKorea*EXP(-betaSKorea*(tblData[Date]-StartDt2SKorea))),"")</f>
        <v>8979.5119121473872</v>
      </c>
      <c r="BH71" s="20">
        <f ca="1">IF(AND(tblData[Date]&gt;StartDt2SKorea,ISNUMBER(tblData[SKorea])),(tblData[[#This Row],[SKorea LogiP(t)]]-tblData[[#This Row],[SKorea]])^2,"")</f>
        <v>342.6908913525815</v>
      </c>
      <c r="BI71" s="20">
        <f ca="1">IF(tblData[Date]&gt;StartDt2SKorea,tblData[[#This Row],[SKorea LogiP(t)]]/$BG$9,"")</f>
        <v>1746.9867533360677</v>
      </c>
      <c r="BJ71" s="137">
        <f ca="1">IF(AND(ISNUMBER(tblData[SKorea]),tblData[Date]&gt;StartDt2SKorea),(tblData[SKorea]-AVERAGE(tblData[SKorea]))^2,"")</f>
        <v>27049082.45268796</v>
      </c>
      <c r="BK71" s="11">
        <f>tblData[[#This Row],[Date]]-SKorea100dt+1</f>
        <v>30</v>
      </c>
      <c r="BL71" s="137">
        <f ca="1">IF(AND(tblData[Date]&gt;StartDt2UK,ISNUMBER(tblData[Days'# UK])),betaUK/(deltaUK+betaPodeltaUK*EXP(-betaUK*tblData[Days'# UK])),"")</f>
        <v>5455.5649577057011</v>
      </c>
      <c r="BM71" s="20">
        <f ca="1">IF(AND(tblData[Date]&gt;StartDt2UK,ISNUMBER(tblData[UK])),(tblData[[#This Row],[UK LogiP(t)]]-tblData[[#This Row],[UK]])^2,"")</f>
        <v>83772.643707902593</v>
      </c>
      <c r="BN71" s="20">
        <f ca="1">IF(ISNUMBER(tblData[Days'# UK]),tblData[[#This Row],[UK LogiP(t)]]/$BL$9,"")</f>
        <v>821.1265740074806</v>
      </c>
      <c r="BO71" s="137">
        <f ca="1">IF(AND(ISNUMBER(tblData[UK]),tblData[Date]&gt;StartDt2UK),(tblData[UK]-AVERAGE(tblData[UK]))^2,"")</f>
        <v>6970354.3061224502</v>
      </c>
      <c r="BP71" s="11">
        <f>tblData[[#This Row],[Date]]-UK100dt</f>
        <v>10</v>
      </c>
      <c r="BQ71" s="11">
        <f ca="1">IF(ISNUMBER(tblData[Days'# China]),betaChina/(deltaChina+betaPodeltaChina*EXP(-betaChina*tblData[Days'# China])),"")</f>
        <v>81216.682780767063</v>
      </c>
      <c r="BR71" s="11">
        <f ca="1">IF(ISNUMBER(tblData[China]),(tblData[[#This Row],[China LogiP(t)]]-tblData[[#This Row],[China]])^2,"")</f>
        <v>47662.40821360211</v>
      </c>
      <c r="BS71" s="11">
        <f ca="1">tblData[[#This Row],[China LogiP(t)]]/$BQ$9</f>
        <v>564.26972259483512</v>
      </c>
      <c r="BT71" s="137">
        <f ca="1">IF(AND(ISNUMBER(tblData[China]),tblData[Date]&gt;StartDt2China),(tblData[China]-AVERAGE(tblData[China]))^2,"")</f>
        <v>453947436.50882757</v>
      </c>
      <c r="BU71" s="11">
        <f>tblData[[#This Row],[Date]]-China100dt</f>
        <v>60</v>
      </c>
      <c r="BV71" s="106">
        <f>IF(ISNUMBER(tblData[Day'# Singapore]),betaSingapore/(deltaSingapore+betaPodeltaSingapore*EXP(-betaSingapore*tblData[Day'# Singapore])),"")</f>
        <v>468.57763023704939</v>
      </c>
      <c r="BW71" s="11">
        <f>IF(AND(ISNUMBER(tblData[Singapore]),tblData[Date]&gt;=StartDt2Singapore),(tblData[[#This Row],[Singapore LogiP(t)]]-tblData[[#This Row],[Singapore]])^2,"")</f>
        <v>184.3520428540379</v>
      </c>
      <c r="BX71" s="106">
        <f>IF(ISNUMBER(tblData[Day'# Singapore]),tblData[Singapore LogiP(t)]/$BV$9,"")</f>
        <v>800.98740211461438</v>
      </c>
      <c r="BY71" s="106">
        <f>IF(AND(ISNUMBER(tblData[Singapore]),tblData[Date]&gt;StartDt2Singapore),(tblData[Singapore]-AVERAGE(tblData[Singapore]))^2,"")</f>
        <v>65572.061297361637</v>
      </c>
      <c r="BZ71" s="11">
        <f>tblData[[#This Row],[Date]]-Singapore100dt+1</f>
        <v>41</v>
      </c>
      <c r="CA71" s="11">
        <f ca="1">IF(AND(tblData[Date]&gt;StartDt2Generic,ISNUMBER(tblData[Day'# Generic])),betaGeneric/(deltaGeneric+betaPodeltaGeneric*EXP(-betaGeneric*tblData[Day'# Generic])),"")</f>
        <v>130.00436719924639</v>
      </c>
      <c r="CB71" s="106">
        <f ca="1">IF(AND(ISNUMBER(tblData[Generic]),tblData[Date]&gt;StartDt2Generic),(tblData[Generic LogiP(t)]-tblData[[#This Row],[Generic]])^2,"")</f>
        <v>784.24458223022702</v>
      </c>
      <c r="CC71" s="11">
        <f ca="1">IF(AND(ISNUMBER(tblData[Generic]),tblData[Date]&gt;StartDt2Generic),tblData[Generic LogiP(t)]/$CA$9,"")</f>
        <v>248.57431586853994</v>
      </c>
      <c r="CD71" s="106">
        <f ca="1">IF(AND(ISNUMBER(tblData[Generic]),tblData[Date]&gt;StartDt2Generic),(tblData[Generic]-AVERAGE(tblData[Generic]))^2,"")</f>
        <v>492.84000000000015</v>
      </c>
      <c r="CE71" s="11">
        <f>tblData[[#This Row],[Date]]-Generic100dt+1</f>
        <v>2</v>
      </c>
      <c r="CF71">
        <v>52130</v>
      </c>
      <c r="CG71" s="11"/>
      <c r="CH71" s="11">
        <f>IF(ISNUMBER(tblData[[#This Row],[Tests]]),tblData[[#This Row],[Tests]]-CF70,"")</f>
        <v>5674</v>
      </c>
      <c r="CI71" s="11" t="str">
        <f>IF(ISNUMBER(tblData[[#This Row],[NSW Under Investigation'']]),tblData[[#This Row],[NSW Under Investigation'']]-CG70,"")</f>
        <v/>
      </c>
      <c r="CJ71" s="11">
        <f>IF(tblData[[#This Row],[Date]]&gt;myData!TestsStart,tblData[[#This Row],[Date]]-myData!TestsStart,"")</f>
        <v>17</v>
      </c>
      <c r="CK71" s="11">
        <f>IF(AND(tblData[[#This Row],[NSW Test Day Number]]&gt;0,ISNUMBER(tblData[[#This Row],[NSW Test Day Number]])),betaTests/(deltaTests+betaPodeltaTests*EXP(-betaTests*tblData[[#This Row],[NSW Test Day Number]])),"")</f>
        <v>52288.725400089621</v>
      </c>
      <c r="CL71" s="11">
        <f>IF(tblData[Tests]&gt;0,(tblData[[#This Row],[Tests]]-tblData[[#This Row],[NSW Test Logi]])^2,"")</f>
        <v>25193.752633610246</v>
      </c>
      <c r="CM71" s="106">
        <f>IF(AND(ISNUMBER(tblData[Tests]),tblData[Date]&gt;StartDt2Tests),(tblData[Tests]-AVERAGE(tblData[Tests]))^2,"")</f>
        <v>56640156.966706261</v>
      </c>
      <c r="CN71" s="11">
        <f>IF(ISNUMBER(tblData[Tests]),tblData[Tests]/$CN$9/100,"")</f>
        <v>645.17326732673257</v>
      </c>
      <c r="CO71" s="106">
        <f ca="1">IF(AND(tblData[[#This Row],[NSW Test Day Number]]&gt;0,ISNUMBER(tblData[[#This Row],[NSW Test Day Number]])),TestsLogestB*TestsLogestM^tblData[[#This Row],[NSW Test Day Number]],"")</f>
        <v>42659.430284902293</v>
      </c>
      <c r="CP71" s="106">
        <f>IF(AND(tblData[[#This Row],[NSW Test Day Number]]&gt;0,ISNUMBER(tblData[Tests])),(tblData[Tests]-tblData[[#This Row],[NSW Test Per Capita]])^2,"")</f>
        <v>2650687383.693388</v>
      </c>
      <c r="CQ71" s="39">
        <f ca="1">IF(AND(tblData[Day '# NSW]&gt;0,ISNUMBER(tblData[[#This Row],[Day '# NSW]])),NSWLogestB*NSWLogestM^tblData[[#This Row],[Day '# NSW]]/$CR$9,"")</f>
        <v>442.33937579593947</v>
      </c>
      <c r="CR71" s="39">
        <f ca="1">IF(AND(ISNUMBER(tblData[NSW]),tblData[Date]&gt;StartDt2NSW),(tblData[NSW]/$CR$9-tblData[[#This Row],[NSW Cases LogEst]])^2,"")</f>
        <v>148711.20741160106</v>
      </c>
      <c r="CS71" s="106"/>
      <c r="CT71" s="11"/>
      <c r="CW71" s="25"/>
      <c r="CX71"/>
      <c r="DL71" s="25"/>
      <c r="DR71"/>
      <c r="DS71"/>
      <c r="DT71"/>
      <c r="DU71"/>
      <c r="DW71" s="25"/>
      <c r="DX71" s="25"/>
      <c r="EB71" s="25"/>
      <c r="EC71" s="25"/>
      <c r="ED71" s="25"/>
      <c r="EE71" s="25"/>
      <c r="EK71"/>
      <c r="EL71"/>
      <c r="EM71"/>
      <c r="EN71"/>
      <c r="EO71"/>
      <c r="EP71"/>
      <c r="EQ71"/>
      <c r="ER71"/>
      <c r="ES71" s="69"/>
      <c r="EU71" s="25" t="s">
        <v>58</v>
      </c>
      <c r="EV71" s="69">
        <v>43912.787511574075</v>
      </c>
      <c r="EW71" s="26">
        <v>43860</v>
      </c>
      <c r="EX71" s="26">
        <v>43860</v>
      </c>
      <c r="EY71" s="25">
        <v>2</v>
      </c>
      <c r="EZ71" s="25">
        <v>0.25947894792637805</v>
      </c>
      <c r="FA71" s="24">
        <v>4.2793930730069226E-6</v>
      </c>
      <c r="FB71" s="21">
        <v>0.44221157817092033</v>
      </c>
      <c r="FC71" s="82">
        <v>60634.520713483966</v>
      </c>
      <c r="FD71" s="82">
        <v>1498.6578455090564</v>
      </c>
      <c r="FE71" s="25">
        <v>0.58677128401401213</v>
      </c>
      <c r="FF71" s="84">
        <v>4.2793930730069228E-3</v>
      </c>
      <c r="FG71" s="26">
        <v>43911</v>
      </c>
      <c r="FH71" s="25" t="s">
        <v>1066</v>
      </c>
      <c r="FI71" s="84">
        <v>60634.520713483966</v>
      </c>
      <c r="FJ71" s="84">
        <v>53578</v>
      </c>
      <c r="FK71" s="25" t="s">
        <v>487</v>
      </c>
      <c r="FL71" s="26">
        <v>43911</v>
      </c>
      <c r="FM71" s="25">
        <v>52</v>
      </c>
      <c r="FN71" s="25" t="s">
        <v>1118</v>
      </c>
      <c r="FO71" s="25"/>
      <c r="FP71" s="25" t="s">
        <v>1068</v>
      </c>
      <c r="FR71" s="25" t="s">
        <v>1119</v>
      </c>
      <c r="FS71" s="19">
        <v>8863.1927212572373</v>
      </c>
      <c r="FT71" s="72">
        <v>43896</v>
      </c>
      <c r="FU71" s="25">
        <v>16</v>
      </c>
      <c r="FV71" s="142">
        <v>43895</v>
      </c>
      <c r="FW71" s="25">
        <v>17</v>
      </c>
      <c r="FX71" s="25"/>
      <c r="FY71" s="25"/>
      <c r="FZ71" s="25"/>
    </row>
    <row r="72" spans="2:216" ht="15" customHeight="1" x14ac:dyDescent="0.25">
      <c r="B72" s="1">
        <f t="shared" si="3"/>
        <v>43913</v>
      </c>
      <c r="D72" s="25">
        <v>32</v>
      </c>
      <c r="E72">
        <v>669</v>
      </c>
      <c r="F72">
        <v>5</v>
      </c>
      <c r="G72">
        <v>319</v>
      </c>
      <c r="H72">
        <v>134</v>
      </c>
      <c r="I72">
        <v>28</v>
      </c>
      <c r="J72">
        <v>355</v>
      </c>
      <c r="K72">
        <v>140</v>
      </c>
      <c r="L72" s="12">
        <f>IF(ISNUMBER(tblData[[#This Row],[NSW]]),tblData[[#This Row],[New South Wales]]/$L$9,"")</f>
        <v>827.97029702970292</v>
      </c>
      <c r="M72" s="25">
        <v>63927</v>
      </c>
      <c r="N72" s="106">
        <f>IF(ISNUMBER(tblData[Italy]),tblData[Italy]/$N$9,"")</f>
        <v>10569.066710754732</v>
      </c>
      <c r="O72">
        <v>43847</v>
      </c>
      <c r="P72" s="106">
        <f>IF(ISNUMBER(tblData[US]),tblData[US]/$P$9,"")</f>
        <v>1331.8136315278848</v>
      </c>
      <c r="Q72">
        <v>8961</v>
      </c>
      <c r="R72" s="106">
        <f>IF(ISNUMBER(tblData[SKorea]),tblData[SKorea]/$R$9,"")</f>
        <v>1743.3852140077822</v>
      </c>
      <c r="S72">
        <v>6726</v>
      </c>
      <c r="T72" s="106">
        <f>IF(ISNUMBER(tblData[UK]),tblData[UK]/$T$9,"")</f>
        <v>1012.3419626730885</v>
      </c>
      <c r="U72">
        <v>81498</v>
      </c>
      <c r="V72" s="106">
        <f>IF(ISNUMBER(tblData[China]),tblData[China]/$V$9,"")</f>
        <v>566.22423223278986</v>
      </c>
      <c r="W72">
        <v>509</v>
      </c>
      <c r="X72" s="106">
        <f>IF(ISNUMBER(tblData[Singapore]),tblData[Singapore]/$X$9,"")</f>
        <v>870.08547008547009</v>
      </c>
      <c r="Y72">
        <v>102</v>
      </c>
      <c r="Z72" s="20">
        <f>IF(AND(LEN(tblData[Generic])&gt;0,ISNUMBER(tblData[Generic])),tblData[Generic]/$Z$9,"")</f>
        <v>195.02868068833652</v>
      </c>
      <c r="AA72" s="25">
        <f ca="1">IF(tblData[[#This Row],[Date]]&lt;StartDt2Italy,"",tblData[[#This Row],[Date]]-ItalyStart)</f>
        <v>53</v>
      </c>
      <c r="AB72" s="25">
        <f ca="1">IF(tblData[[#This Row],[Date]]&lt;=StartDt2US,"",tblData[[#This Row],[Date]]-USStart)</f>
        <v>61</v>
      </c>
      <c r="AC72" s="25">
        <f ca="1">IF(tblData[[#This Row],[Date]]&lt;StartDt2China,"",tblData[[#This Row],[Date]]-ChinaStart)</f>
        <v>61</v>
      </c>
      <c r="AD72" s="25">
        <f>IF(tblData[[#This Row],[Date]]&lt;=SKoreaStart,"",tblData[[#This Row],[Date]]-SKoreaStart)</f>
        <v>61</v>
      </c>
      <c r="AE72" s="25">
        <f ca="1">IF(tblData[[#This Row],[Date]]&lt;=StartDt2UK,"",tblData[[#This Row],[Date]]-UKStart)</f>
        <v>53</v>
      </c>
      <c r="AF72" s="25">
        <f>IF(tblData[[#This Row],[Date]]&lt;StartDt2Singapore,"",tblData[[#This Row],[Date]]-SingaporeStart)</f>
        <v>60</v>
      </c>
      <c r="AG72" s="25">
        <f ca="1">IF(tblData[[#This Row],[Date]]&lt;StartDt2Generic,"",tblData[[#This Row],[Date]]-GenericStart)</f>
        <v>61</v>
      </c>
      <c r="AH72">
        <f ca="1">IF(tblData[Date]&gt;StartDt2Au,tblData[Date]-AuStart,"")</f>
        <v>58</v>
      </c>
      <c r="AI72" s="25">
        <f>IF(tblData[New South Wales]&gt;=0,SUM(tblData[[#This Row],[Australian Capital Territory]:[Western Australia]]),"")</f>
        <v>1682</v>
      </c>
      <c r="AJ72" s="12">
        <f>IF(ISNUMBER(tblData[Au]),tblData[Au]/$AE$9,"")</f>
        <v>663.14461441413027</v>
      </c>
      <c r="AK72" s="19">
        <f ca="1">IF(ISNUMBER(tblData[[#This Row],[Day'# Aust]]),betaAu/(deltaAu+betaPodeltaAu*EXP(-betaAu*tblData[[#This Row],[Day'# Aust]])),"")</f>
        <v>1713.418017492671</v>
      </c>
      <c r="AL72" s="62">
        <f ca="1">IF(ISNUMBER(tblData[Day'# Aust]),tblData[Au LogiP(t)]/$AJ$9,"")</f>
        <v>675.53146881117766</v>
      </c>
      <c r="AM72" s="11">
        <f ca="1">IF(AND(tblData[Date]&gt;StartDt2Au,ISNUMBER(tblData[NSW])),(tblData[[#This Row],[Au LogiP(t)]]-tblData[[#This Row],[Au]])^2,"")</f>
        <v>987.09182316977899</v>
      </c>
      <c r="AN72" s="11">
        <f ca="1">IF(AND(ISNUMBER(tblData[Au]),tblData[Date]&gt;StartDt2Au),(tblData[Au]-AVERAGE(tblData[Au]))^2,"")</f>
        <v>1534239.5304178994</v>
      </c>
      <c r="AO72" s="11">
        <f>tblData[[#This Row],[Date]]-Au100dt</f>
        <v>9</v>
      </c>
      <c r="AP72">
        <f ca="1">IF(tblData[Date]&gt;StartDt2NSW,tblData[Date]-StartDt2NSW,"")</f>
        <v>58</v>
      </c>
      <c r="AQ72" s="25">
        <f>IF(tblData[[#This Row],[New South Wales]]&gt;0,tblData[[#This Row],[New South Wales]],"")</f>
        <v>669</v>
      </c>
      <c r="AR72" s="11">
        <f ca="1">IF(tblData[Date]&gt;StartDt2NSW,betaNSW/(deltaNSW+betaPodeltaNSW*EXP(-betaNSW*tblData[[#This Row],[Day '# NSW]])),"")</f>
        <v>737.0932213149822</v>
      </c>
      <c r="AS72" s="12">
        <f ca="1">IF(AND(ISNUMBER(tblData[NSW]),tblData[Date]&gt;StartDt2NSW),(tblData[[#This Row],[NSW LogiP(t)]]-tblData[[#This Row],[NSW]])^2,"")</f>
        <v>4636.6867890511467</v>
      </c>
      <c r="AT72" s="12">
        <f ca="1">IF(AND(tblData[Date]&gt;StartDt2NSW,ISNUMBER(tblData[Day'# Aust])),tblData[NSW LogiP(t)]/$AR$9,"")</f>
        <v>912.24408578586895</v>
      </c>
      <c r="AU72" s="11">
        <f>tblData[[#This Row],[Date]]-NSW100dt+1</f>
        <v>13</v>
      </c>
      <c r="AV72" s="11">
        <f ca="1">IF(AND(ISNUMBER(tblData[NSW]),tblData[Date]&gt;StartDt2NSW),(tblData[NSW]-AVERAGE(tblData[NSW]))^2,"")</f>
        <v>140766.33984457047</v>
      </c>
      <c r="AW72" s="39">
        <f ca="1">IF(AND(tblData[Date]&gt;StartDt2Italy,ISNUMBER(tblData[Days'# Italy])),betaItaly/(deltaItaly+betaPodeltaItaly*EXP(-betaItaly*tblData[Days'# Italy])),"")</f>
        <v>76481.430670177317</v>
      </c>
      <c r="AX72" s="11">
        <f ca="1">IF(AND(tblData[Date]&gt;StartDt2Italy,ISNUMBER(tblData[Italy])),(tblData[[#This Row],[Italy LogiP(t)]]-tblData[[#This Row],[Italy]])^2,"")</f>
        <v>157613729.45228887</v>
      </c>
      <c r="AY72" s="39">
        <f ca="1">IF(AND(tblData[Date]&gt;StartDt2Italy,ISNUMBER(tblData[Days'# Italy])),tblData[[#This Row],[Italy LogiP(t)]]/$AW$9,"")</f>
        <v>12644.693836517701</v>
      </c>
      <c r="AZ72" s="39">
        <f ca="1">IF(AND(ISNUMBER(tblData[Italy]),tblData[Date]&gt;StartDt2Italy),(tblData[Italy]-AVERAGE(tblData[Italy]))^2,"")</f>
        <v>1844549792.0493824</v>
      </c>
      <c r="BA72" s="11">
        <f>tblData[[#This Row],[Date]]-Italy100dt+1</f>
        <v>26</v>
      </c>
      <c r="BB72" s="11">
        <f ca="1">IF(AND(tblData[Date]&gt;StartDt2US,ISNUMBER(tblData[[#This Row],[Days'# US]])),betaUS/(deltaUS+betaPodeltaUS*EXP(-betaUS*tblData[Days'# US])),"")</f>
        <v>31302.734919908726</v>
      </c>
      <c r="BC72" s="11">
        <f ca="1">IF(AND(tblData[Date]&gt;StartDt2US,ISNUMBER(tblData[US])),(tblData[[#This Row],[US LogiP(t)]]-tblData[US])^2,"")</f>
        <v>157358586.39959735</v>
      </c>
      <c r="BD72" s="137">
        <f ca="1">IF(AND(tblData[Date]&gt;=StartDt2US,ISNUMBER(tblData[[#This Row],[Days'# US]])),tblData[[#This Row],[US LogiP(t)]]/$BB$9,"")</f>
        <v>950.79273543089312</v>
      </c>
      <c r="BE72" s="137">
        <f ca="1">IF(AND(ISNUMBER(tblData[US]),tblData[Date]&gt;StartDt2US),(tblData[US]-AVERAGE(tblData[US]))^2,"")</f>
        <v>651901004.4056735</v>
      </c>
      <c r="BF72" s="11">
        <f>tblData[[#This Row],[Date]]-US100dt+1</f>
        <v>10</v>
      </c>
      <c r="BG72" s="20">
        <f ca="1">IF(tblData[Date]&gt;StartDt2SKorea,betaSKorea/(deltaSKorea+betaPodeltaSKorea*EXP(-betaSKorea*(tblData[Date]-StartDt2SKorea))),"")</f>
        <v>8992.7470249045145</v>
      </c>
      <c r="BH72" s="20">
        <f ca="1">IF(AND(tblData[Date]&gt;StartDt2SKorea,ISNUMBER(tblData[SKorea])),(tblData[[#This Row],[SKorea LogiP(t)]]-tblData[[#This Row],[SKorea]])^2,"")</f>
        <v>1007.8735902878668</v>
      </c>
      <c r="BI72" s="20">
        <f ca="1">IF(tblData[Date]&gt;StartDt2SKorea,tblData[[#This Row],[SKorea LogiP(t)]]/$BG$9,"")</f>
        <v>1749.5616779969873</v>
      </c>
      <c r="BJ72" s="137">
        <f ca="1">IF(AND(ISNUMBER(tblData[SKorea]),tblData[Date]&gt;StartDt2SKorea),(tblData[SKorea]-AVERAGE(tblData[SKorea]))^2,"")</f>
        <v>27049082.45268796</v>
      </c>
      <c r="BK72" s="11">
        <f>tblData[[#This Row],[Date]]-SKorea100dt+1</f>
        <v>31</v>
      </c>
      <c r="BL72" s="137">
        <f ca="1">IF(AND(tblData[Date]&gt;StartDt2UK,ISNUMBER(tblData[Days'# UK])),betaUK/(deltaUK+betaPodeltaUK*EXP(-betaUK*tblData[Days'# UK])),"")</f>
        <v>6639.4531917243521</v>
      </c>
      <c r="BM72" s="20">
        <f ca="1">IF(AND(tblData[Date]&gt;StartDt2UK,ISNUMBER(tblData[UK])),(tblData[[#This Row],[UK LogiP(t)]]-tblData[[#This Row],[UK]])^2,"")</f>
        <v>7490.3500227017539</v>
      </c>
      <c r="BN72" s="20">
        <f ca="1">IF(ISNUMBER(tblData[Days'# UK]),tblData[[#This Row],[UK LogiP(t)]]/$BL$9,"")</f>
        <v>999.31565197536906</v>
      </c>
      <c r="BO72" s="137">
        <f ca="1">IF(AND(ISNUMBER(tblData[UK]),tblData[Date]&gt;StartDt2UK),(tblData[UK]-AVERAGE(tblData[UK]))^2,"")</f>
        <v>13112675.591836736</v>
      </c>
      <c r="BP72" s="11">
        <f>tblData[[#This Row],[Date]]-UK100dt</f>
        <v>11</v>
      </c>
      <c r="BQ72" s="11">
        <f ca="1">IF(ISNUMBER(tblData[Days'# China]),betaChina/(deltaChina+betaPodeltaChina*EXP(-betaChina*tblData[Days'# China])),"")</f>
        <v>81218.123089780856</v>
      </c>
      <c r="BR72" s="11">
        <f ca="1">IF(ISNUMBER(tblData[China]),(tblData[[#This Row],[China LogiP(t)]]-tblData[[#This Row],[China]])^2,"")</f>
        <v>78331.084873814572</v>
      </c>
      <c r="BS72" s="11">
        <f ca="1">tblData[[#This Row],[China LogiP(t)]]/$BQ$9</f>
        <v>564.27972943997872</v>
      </c>
      <c r="BT72" s="137">
        <f ca="1">IF(AND(ISNUMBER(tblData[China]),tblData[Date]&gt;StartDt2China),(tblData[China]-AVERAGE(tblData[China]))^2,"")</f>
        <v>456635966.83277124</v>
      </c>
      <c r="BU72" s="11">
        <f>tblData[[#This Row],[Date]]-China100dt</f>
        <v>61</v>
      </c>
      <c r="BV72" s="106">
        <f>IF(ISNUMBER(tblData[Day'# Singapore]),betaSingapore/(deltaSingapore+betaPodeltaSingapore*EXP(-betaSingapore*tblData[Day'# Singapore])),"")</f>
        <v>507.25566491236191</v>
      </c>
      <c r="BW72" s="11">
        <f>IF(AND(ISNUMBER(tblData[Singapore]),tblData[Date]&gt;=StartDt2Singapore),(tblData[[#This Row],[Singapore LogiP(t)]]-tblData[[#This Row],[Singapore]])^2,"")</f>
        <v>3.0427048979653897</v>
      </c>
      <c r="BX72" s="106">
        <f>IF(ISNUMBER(tblData[Day'# Singapore]),tblData[Singapore LogiP(t)]/$BV$9,"")</f>
        <v>867.10370070489216</v>
      </c>
      <c r="BY72" s="106">
        <f>IF(AND(ISNUMBER(tblData[Singapore]),tblData[Date]&gt;StartDt2Singapore),(tblData[Singapore]-AVERAGE(tblData[Singapore]))^2,"")</f>
        <v>96143.666931164451</v>
      </c>
      <c r="BZ72" s="11">
        <f>tblData[[#This Row],[Date]]-Singapore100dt+1</f>
        <v>42</v>
      </c>
      <c r="CA72" s="11">
        <f ca="1">IF(AND(tblData[Date]&gt;StartDt2Generic,ISNUMBER(tblData[Day'# Generic])),betaGeneric/(deltaGeneric+betaPodeltaGeneric*EXP(-betaGeneric*tblData[Day'# Generic])),"")</f>
        <v>157.04041566024728</v>
      </c>
      <c r="CB72" s="106">
        <f ca="1">IF(AND(ISNUMBER(tblData[Generic]),tblData[Date]&gt;StartDt2Generic),(tblData[Generic LogiP(t)]-tblData[[#This Row],[Generic]])^2,"")</f>
        <v>3029.4473560527936</v>
      </c>
      <c r="CC72" s="11">
        <f ca="1">IF(AND(ISNUMBER(tblData[Generic]),tblData[Date]&gt;StartDt2Generic),tblData[Generic LogiP(t)]/$CA$9,"")</f>
        <v>300.26848118594125</v>
      </c>
      <c r="CD72" s="106">
        <f ca="1">IF(AND(ISNUMBER(tblData[Generic]),tblData[Date]&gt;StartDt2Generic),(tblData[Generic]-AVERAGE(tblData[Generic]))^2,"")</f>
        <v>492.84000000000015</v>
      </c>
      <c r="CE72" s="11">
        <f>tblData[[#This Row],[Date]]-Generic100dt+1</f>
        <v>3</v>
      </c>
      <c r="CF72">
        <v>56272</v>
      </c>
      <c r="CG72" s="11"/>
      <c r="CH72" s="11">
        <f>IF(ISNUMBER(tblData[[#This Row],[Tests]]),tblData[[#This Row],[Tests]]-CF71,"")</f>
        <v>4142</v>
      </c>
      <c r="CI72" s="11" t="str">
        <f>IF(ISNUMBER(tblData[[#This Row],[NSW Under Investigation'']]),tblData[[#This Row],[NSW Under Investigation'']]-CG71,"")</f>
        <v/>
      </c>
      <c r="CJ72" s="11">
        <f>IF(tblData[[#This Row],[Date]]&gt;myData!TestsStart,tblData[[#This Row],[Date]]-myData!TestsStart,"")</f>
        <v>18</v>
      </c>
      <c r="CK72" s="11">
        <f>IF(AND(tblData[[#This Row],[NSW Test Day Number]]&gt;0,ISNUMBER(tblData[[#This Row],[NSW Test Day Number]])),betaTests/(deltaTests+betaPodeltaTests*EXP(-betaTests*tblData[[#This Row],[NSW Test Day Number]])),"")</f>
        <v>57785.620465959888</v>
      </c>
      <c r="CL72" s="11">
        <f>IF(tblData[Tests]&gt;0,(tblData[[#This Row],[Tests]]-tblData[[#This Row],[NSW Test Logi]])^2,"")</f>
        <v>2291046.9149726285</v>
      </c>
      <c r="CM72" s="106">
        <f>IF(AND(ISNUMBER(tblData[Tests]),tblData[Date]&gt;StartDt2Tests),(tblData[Tests]-AVERAGE(tblData[Tests]))^2,"")</f>
        <v>136141419.31153384</v>
      </c>
      <c r="CN72" s="11">
        <f>IF(ISNUMBER(tblData[Tests]),tblData[Tests]/$CN$9/100,"")</f>
        <v>696.43564356435638</v>
      </c>
      <c r="CO72" s="106">
        <f ca="1">IF(AND(tblData[[#This Row],[NSW Test Day Number]]&gt;0,ISNUMBER(tblData[[#This Row],[NSW Test Day Number]])),TestsLogestB*TestsLogestM^tblData[[#This Row],[NSW Test Day Number]],"")</f>
        <v>47865.571604050259</v>
      </c>
      <c r="CP72" s="106">
        <f>IF(AND(tblData[[#This Row],[NSW Test Day Number]]&gt;0,ISNUMBER(tblData[Tests])),(tblData[Tests]-tblData[[#This Row],[NSW Test Per Capita]])^2,"")</f>
        <v>3088643353.5363197</v>
      </c>
      <c r="CQ72" s="39">
        <f ca="1">IF(AND(tblData[Day '# NSW]&gt;0,ISNUMBER(tblData[[#This Row],[Day '# NSW]])),NSWLogestB*NSWLogestM^tblData[[#This Row],[Day '# NSW]]/$CR$9,"")</f>
        <v>492.29668659858697</v>
      </c>
      <c r="CR72" s="39">
        <f ca="1">IF(AND(ISNUMBER(tblData[NSW]),tblData[Date]&gt;StartDt2NSW),(tblData[NSW]/$CR$9-tblData[[#This Row],[NSW Cases LogEst]])^2,"")</f>
        <v>112676.77273986059</v>
      </c>
      <c r="CS72" s="106"/>
      <c r="CT72" s="11"/>
      <c r="CW72" s="25"/>
      <c r="CX72"/>
      <c r="DL72" s="25"/>
      <c r="DR72"/>
      <c r="DS72"/>
      <c r="DT72"/>
      <c r="DU72"/>
      <c r="DW72" s="25"/>
      <c r="DX72" s="25"/>
      <c r="EB72" s="25"/>
      <c r="EC72" s="25"/>
      <c r="ED72" s="25"/>
      <c r="EE72" s="25"/>
      <c r="EK72"/>
      <c r="EL72"/>
      <c r="EM72"/>
      <c r="EN72"/>
      <c r="EO72"/>
      <c r="EP72"/>
      <c r="EQ72"/>
      <c r="ER72"/>
      <c r="ES72" s="69"/>
      <c r="EU72" s="25" t="s">
        <v>58</v>
      </c>
      <c r="EV72" s="69">
        <v>43913.581655092596</v>
      </c>
      <c r="EW72" s="26">
        <v>43860</v>
      </c>
      <c r="EX72" s="26">
        <v>43860</v>
      </c>
      <c r="EY72" s="25">
        <v>2</v>
      </c>
      <c r="EZ72" s="25">
        <v>0.25947894792637805</v>
      </c>
      <c r="FA72" s="81">
        <v>4.2793930730069226E-6</v>
      </c>
      <c r="FB72" s="21">
        <v>0.44221157817092033</v>
      </c>
      <c r="FC72" s="82">
        <v>60634.520713483966</v>
      </c>
      <c r="FD72" s="82">
        <v>1498.6578455090564</v>
      </c>
      <c r="FE72" s="25">
        <v>0.58677128401401213</v>
      </c>
      <c r="FF72" s="84">
        <v>4.2793930730069228E-3</v>
      </c>
      <c r="FG72" s="26">
        <v>43911</v>
      </c>
      <c r="FH72" s="25" t="s">
        <v>1066</v>
      </c>
      <c r="FI72" s="84">
        <v>60634.520713483966</v>
      </c>
      <c r="FJ72" s="84">
        <v>53578</v>
      </c>
      <c r="FK72" s="25" t="s">
        <v>487</v>
      </c>
      <c r="FL72" s="26">
        <v>43911</v>
      </c>
      <c r="FM72" s="25">
        <v>52</v>
      </c>
      <c r="FN72" s="25" t="s">
        <v>1118</v>
      </c>
      <c r="FO72" s="25"/>
      <c r="FP72" s="25" t="s">
        <v>1068</v>
      </c>
      <c r="FR72" s="25" t="s">
        <v>1119</v>
      </c>
      <c r="FS72" s="19">
        <v>8863.1927212572373</v>
      </c>
      <c r="FT72" s="72">
        <v>43897</v>
      </c>
      <c r="FU72" s="25">
        <v>16</v>
      </c>
      <c r="FV72" s="142">
        <v>43896</v>
      </c>
      <c r="FW72" s="25">
        <v>16</v>
      </c>
      <c r="FX72" s="25"/>
      <c r="FY72" s="25"/>
    </row>
    <row r="73" spans="2:216" x14ac:dyDescent="0.25">
      <c r="B73" s="1">
        <f t="shared" si="3"/>
        <v>43914</v>
      </c>
      <c r="D73" s="25">
        <v>39</v>
      </c>
      <c r="E73">
        <v>818</v>
      </c>
      <c r="F73">
        <v>6</v>
      </c>
      <c r="G73">
        <v>397</v>
      </c>
      <c r="H73">
        <v>170</v>
      </c>
      <c r="I73">
        <v>28</v>
      </c>
      <c r="J73">
        <v>411</v>
      </c>
      <c r="K73">
        <v>175</v>
      </c>
      <c r="L73" s="12">
        <f>IF(ISNUMBER(tblData[[#This Row],[NSW]]),tblData[[#This Row],[New South Wales]]/$L$9,"")</f>
        <v>1012.3762376237623</v>
      </c>
      <c r="M73" s="25">
        <v>69176</v>
      </c>
      <c r="N73" s="106">
        <f>IF(ISNUMBER(tblData[Italy]),tblData[Italy]/$N$9,"")</f>
        <v>11436.885178143342</v>
      </c>
      <c r="O73">
        <v>53740</v>
      </c>
      <c r="P73" s="106">
        <f>IF(ISNUMBER(tblData[US]),tblData[US]/$P$9,"")</f>
        <v>1632.3047086073968</v>
      </c>
      <c r="Q73">
        <v>9037</v>
      </c>
      <c r="R73" s="106">
        <f>IF(ISNUMBER(tblData[SKorea]),tblData[SKorea]/$R$9,"")</f>
        <v>1758.1712062256811</v>
      </c>
      <c r="S73">
        <v>8164</v>
      </c>
      <c r="T73" s="106">
        <f>IF(ISNUMBER(tblData[UK]),tblData[UK]/$T$9,"")</f>
        <v>1228.7778446718844</v>
      </c>
      <c r="U73">
        <v>81591</v>
      </c>
      <c r="V73" s="20">
        <f>IF(ISNUMBER(tblData[China]),tblData[China]/$V$9,"")</f>
        <v>566.87036899194527</v>
      </c>
      <c r="W73">
        <v>558</v>
      </c>
      <c r="X73" s="106">
        <f>IF(ISNUMBER(tblData[Singapore]),tblData[Singapore]/$X$9,"")</f>
        <v>953.84615384615392</v>
      </c>
      <c r="Y73">
        <v>155</v>
      </c>
      <c r="Z73" s="20">
        <f>IF(AND(LEN(tblData[Generic])&gt;0,ISNUMBER(tblData[Generic])),tblData[Generic]/$Z$9,"")</f>
        <v>296.36711281070745</v>
      </c>
      <c r="AA73" s="25">
        <f ca="1">IF(tblData[[#This Row],[Date]]&lt;StartDt2Italy,"",tblData[[#This Row],[Date]]-ItalyStart)</f>
        <v>54</v>
      </c>
      <c r="AB73" s="25">
        <f ca="1">IF(tblData[[#This Row],[Date]]&lt;=StartDt2US,"",tblData[[#This Row],[Date]]-USStart)</f>
        <v>62</v>
      </c>
      <c r="AC73" s="25">
        <f ca="1">IF(tblData[[#This Row],[Date]]&lt;StartDt2China,"",tblData[[#This Row],[Date]]-ChinaStart)</f>
        <v>62</v>
      </c>
      <c r="AD73" s="25">
        <f>IF(tblData[[#This Row],[Date]]&lt;=SKoreaStart,"",tblData[[#This Row],[Date]]-SKoreaStart)</f>
        <v>62</v>
      </c>
      <c r="AE73" s="25">
        <f ca="1">IF(tblData[[#This Row],[Date]]&lt;=StartDt2UK,"",tblData[[#This Row],[Date]]-UKStart)</f>
        <v>54</v>
      </c>
      <c r="AF73" s="25">
        <f>IF(tblData[[#This Row],[Date]]&lt;StartDt2Singapore,"",tblData[[#This Row],[Date]]-SingaporeStart)</f>
        <v>61</v>
      </c>
      <c r="AG73" s="25">
        <f ca="1">IF(tblData[[#This Row],[Date]]&lt;StartDt2Generic,"",tblData[[#This Row],[Date]]-GenericStart)</f>
        <v>62</v>
      </c>
      <c r="AH73">
        <f ca="1">IF(tblData[Date]&gt;StartDt2Au,tblData[Date]-AuStart,"")</f>
        <v>59</v>
      </c>
      <c r="AI73" s="25">
        <f>IF(tblData[New South Wales]&gt;=0,SUM(tblData[[#This Row],[Australian Capital Territory]:[Western Australia]]),"")</f>
        <v>2044</v>
      </c>
      <c r="AJ73" s="12">
        <f>IF(ISNUMBER(tblData[Au]),tblData[Au]/$AE$9,"")</f>
        <v>805.86658255795612</v>
      </c>
      <c r="AK73" s="19">
        <f ca="1">IF(ISNUMBER(tblData[[#This Row],[Day'# Aust]]),betaAu/(deltaAu+betaPodeltaAu*EXP(-betaAu*tblData[[#This Row],[Day'# Aust]])),"")</f>
        <v>2043.6753185065975</v>
      </c>
      <c r="AL73" s="62">
        <f ca="1">IF(ISNUMBER(tblData[Day'# Aust]),tblData[Au LogiP(t)]/$AJ$9,"")</f>
        <v>805.73857376856859</v>
      </c>
      <c r="AM73" s="11">
        <f ca="1">IF(AND(tblData[Date]&gt;StartDt2Au,ISNUMBER(tblData[NSW])),(tblData[[#This Row],[Au LogiP(t)]]-tblData[[#This Row],[Au]])^2,"")</f>
        <v>0.10541807215809219</v>
      </c>
      <c r="AN73" s="11">
        <f ca="1">IF(AND(ISNUMBER(tblData[Au]),tblData[Date]&gt;StartDt2Au),(tblData[Au]-AVERAGE(tblData[Au]))^2,"")</f>
        <v>2562061.9534948221</v>
      </c>
      <c r="AO73" s="11">
        <f>tblData[[#This Row],[Date]]-Au100dt</f>
        <v>10</v>
      </c>
      <c r="AP73">
        <f ca="1">IF(tblData[Date]&gt;StartDt2NSW,tblData[Date]-StartDt2NSW,"")</f>
        <v>59</v>
      </c>
      <c r="AQ73" s="25">
        <f>IF(tblData[[#This Row],[New South Wales]]&gt;0,tblData[[#This Row],[New South Wales]],"")</f>
        <v>818</v>
      </c>
      <c r="AR73" s="11">
        <f ca="1">IF(tblData[Date]&gt;StartDt2NSW,betaNSW/(deltaNSW+betaPodeltaNSW*EXP(-betaNSW*tblData[[#This Row],[Day '# NSW]])),"")</f>
        <v>877.12104031221736</v>
      </c>
      <c r="AS73" s="12">
        <f ca="1">IF(AND(ISNUMBER(tblData[NSW]),tblData[Date]&gt;StartDt2NSW),(tblData[[#This Row],[NSW LogiP(t)]]-tblData[[#This Row],[NSW]])^2,"")</f>
        <v>3495.29740759883</v>
      </c>
      <c r="AT73" s="12">
        <f ca="1">IF(AND(tblData[Date]&gt;StartDt2NSW,ISNUMBER(tblData[Day'# Aust])),tblData[NSW LogiP(t)]/$AR$9,"")</f>
        <v>1085.545841970566</v>
      </c>
      <c r="AU73" s="11">
        <f>tblData[[#This Row],[Date]]-NSW100dt+1</f>
        <v>14</v>
      </c>
      <c r="AV73" s="11">
        <f ca="1">IF(AND(ISNUMBER(tblData[NSW]),tblData[Date]&gt;StartDt2NSW),(tblData[NSW]-AVERAGE(tblData[NSW]))^2,"")</f>
        <v>274773.48477210675</v>
      </c>
      <c r="AW73" s="39">
        <f ca="1">IF(AND(tblData[Date]&gt;StartDt2Italy,ISNUMBER(tblData[Days'# Italy])),betaItaly/(deltaItaly+betaPodeltaItaly*EXP(-betaItaly*tblData[Days'# Italy])),"")</f>
        <v>80369.29843811458</v>
      </c>
      <c r="AX73" s="11">
        <f ca="1">IF(AND(tblData[Date]&gt;StartDt2Italy,ISNUMBER(tblData[Italy])),(tblData[[#This Row],[Italy LogiP(t)]]-tblData[[#This Row],[Italy]])^2,"")</f>
        <v>125289929.92469829</v>
      </c>
      <c r="AY73" s="39">
        <f ca="1">IF(AND(tblData[Date]&gt;StartDt2Italy,ISNUMBER(tblData[Days'# Italy])),tblData[[#This Row],[Italy LogiP(t)]]/$AW$9,"")</f>
        <v>13287.475975550067</v>
      </c>
      <c r="AZ73" s="39">
        <f ca="1">IF(AND(ISNUMBER(tblData[Italy]),tblData[Date]&gt;StartDt2Italy),(tblData[Italy]-AVERAGE(tblData[Italy]))^2,"")</f>
        <v>2322972229.9382715</v>
      </c>
      <c r="BA73" s="11">
        <f>tblData[[#This Row],[Date]]-Italy100dt+1</f>
        <v>27</v>
      </c>
      <c r="BB73" s="11">
        <f ca="1">IF(AND(tblData[Date]&gt;StartDt2US,ISNUMBER(tblData[[#This Row],[Days'# US]])),betaUS/(deltaUS+betaPodeltaUS*EXP(-betaUS*tblData[Days'# US])),"")</f>
        <v>40910.346245742432</v>
      </c>
      <c r="BC73" s="11">
        <f ca="1">IF(AND(tblData[Date]&gt;StartDt2US,ISNUMBER(tblData[US])),(tblData[[#This Row],[US LogiP(t)]]-tblData[US])^2,"")</f>
        <v>164600015.4541353</v>
      </c>
      <c r="BD73" s="137">
        <f ca="1">IF(AND(tblData[Date]&gt;=StartDt2US,ISNUMBER(tblData[[#This Row],[Days'# US]])),tblData[[#This Row],[US LogiP(t)]]/$BB$9,"")</f>
        <v>1242.6153853309324</v>
      </c>
      <c r="BE73" s="137">
        <f ca="1">IF(AND(ISNUMBER(tblData[US]),tblData[Date]&gt;StartDt2US),(tblData[US]-AVERAGE(tblData[US]))^2,"")</f>
        <v>1254955572.3070822</v>
      </c>
      <c r="BF73" s="11">
        <f>tblData[[#This Row],[Date]]-US100dt+1</f>
        <v>11</v>
      </c>
      <c r="BG73" s="20">
        <f ca="1">IF(tblData[Date]&gt;StartDt2SKorea,betaSKorea/(deltaSKorea+betaPodeltaSKorea*EXP(-betaSKorea*(tblData[Date]-StartDt2SKorea))),"")</f>
        <v>9002.9643136998602</v>
      </c>
      <c r="BH73" s="20">
        <f ca="1">IF(AND(tblData[Date]&gt;StartDt2SKorea,ISNUMBER(tblData[SKorea])),(tblData[[#This Row],[SKorea LogiP(t)]]-tblData[[#This Row],[SKorea]])^2,"")</f>
        <v>1158.4279419215231</v>
      </c>
      <c r="BI73" s="20">
        <f ca="1">IF(tblData[Date]&gt;StartDt2SKorea,tblData[[#This Row],[SKorea LogiP(t)]]/$BG$9,"")</f>
        <v>1751.5494773735138</v>
      </c>
      <c r="BJ73" s="137">
        <f ca="1">IF(AND(ISNUMBER(tblData[SKorea]),tblData[Date]&gt;StartDt2SKorea),(tblData[SKorea]-AVERAGE(tblData[SKorea]))^2,"")</f>
        <v>27845391.185082324</v>
      </c>
      <c r="BK73" s="11">
        <f>tblData[[#This Row],[Date]]-SKorea100dt+1</f>
        <v>32</v>
      </c>
      <c r="BL73" s="137">
        <f ca="1">IF(AND(tblData[Date]&gt;StartDt2UK,ISNUMBER(tblData[Days'# UK])),betaUK/(deltaUK+betaPodeltaUK*EXP(-betaUK*tblData[Days'# UK])),"")</f>
        <v>8050.319517302034</v>
      </c>
      <c r="BM73" s="20">
        <f ca="1">IF(AND(tblData[Date]&gt;StartDt2UK,ISNUMBER(tblData[UK])),(tblData[[#This Row],[UK LogiP(t)]]-tblData[[#This Row],[UK]])^2,"")</f>
        <v>12923.252146442546</v>
      </c>
      <c r="BN73" s="20">
        <f ca="1">IF(ISNUMBER(tblData[Days'# UK]),tblData[[#This Row],[UK LogiP(t)]]/$BL$9,"")</f>
        <v>1211.6675974265554</v>
      </c>
      <c r="BO73" s="137">
        <f ca="1">IF(AND(ISNUMBER(tblData[UK]),tblData[Date]&gt;StartDt2UK),(tblData[UK]-AVERAGE(tblData[UK]))^2,"")</f>
        <v>25594926.44897959</v>
      </c>
      <c r="BP73" s="11">
        <f>tblData[[#This Row],[Date]]-UK100dt</f>
        <v>12</v>
      </c>
      <c r="BQ73" s="11">
        <f ca="1">IF(ISNUMBER(tblData[Days'# China]),betaChina/(deltaChina+betaPodeltaChina*EXP(-betaChina*tblData[Days'# China])),"")</f>
        <v>81219.278007583576</v>
      </c>
      <c r="BR73" s="11">
        <f ca="1">IF(ISNUMBER(tblData[China]),(tblData[[#This Row],[China LogiP(t)]]-tblData[[#This Row],[China]])^2,"")</f>
        <v>138177.2396460358</v>
      </c>
      <c r="BS73" s="11">
        <f ca="1">tblData[[#This Row],[China LogiP(t)]]/$BQ$9</f>
        <v>564.2877534705824</v>
      </c>
      <c r="BT73" s="137">
        <f ca="1">IF(AND(ISNUMBER(tblData[China]),tblData[Date]&gt;StartDt2China),(tblData[China]-AVERAGE(tblData[China]))^2,"")</f>
        <v>460619257.69192618</v>
      </c>
      <c r="BU73" s="11">
        <f>tblData[[#This Row],[Date]]-China100dt</f>
        <v>62</v>
      </c>
      <c r="BV73" s="106">
        <f>IF(ISNUMBER(tblData[Day'# Singapore]),betaSingapore/(deltaSingapore+betaPodeltaSingapore*EXP(-betaSingapore*tblData[Day'# Singapore])),"")</f>
        <v>549.11381969768604</v>
      </c>
      <c r="BW73" s="11">
        <f>IF(AND(ISNUMBER(tblData[Singapore]),tblData[Date]&gt;=StartDt2Singapore),(tblData[[#This Row],[Singapore LogiP(t)]]-tblData[[#This Row],[Singapore]])^2,"")</f>
        <v>78.964200365232628</v>
      </c>
      <c r="BX73" s="106">
        <f>IF(ISNUMBER(tblData[Day'# Singapore]),tblData[Singapore LogiP(t)]/$BV$9,"")</f>
        <v>938.65610204732661</v>
      </c>
      <c r="BY73" s="106">
        <f>IF(AND(ISNUMBER(tblData[Singapore]),tblData[Date]&gt;StartDt2Singapore),(tblData[Singapore]-AVERAGE(tblData[Singapore]))^2,"")</f>
        <v>128931.56833961516</v>
      </c>
      <c r="BZ73" s="11">
        <f>tblData[[#This Row],[Date]]-Singapore100dt+1</f>
        <v>43</v>
      </c>
      <c r="CA73" s="11">
        <f ca="1">IF(AND(tblData[Date]&gt;StartDt2Generic,ISNUMBER(tblData[Day'# Generic])),betaGeneric/(deltaGeneric+betaPodeltaGeneric*EXP(-betaGeneric*tblData[Day'# Generic])),"")</f>
        <v>189.38737205553693</v>
      </c>
      <c r="CB73" s="106">
        <f ca="1">IF(AND(ISNUMBER(tblData[Generic]),tblData[Date]&gt;StartDt2Generic),(tblData[Generic LogiP(t)]-tblData[[#This Row],[Generic]])^2,"")</f>
        <v>1182.491356885922</v>
      </c>
      <c r="CC73" s="11">
        <f ca="1">IF(AND(ISNUMBER(tblData[Generic]),tblData[Date]&gt;StartDt2Generic),tblData[Generic LogiP(t)]/$CA$9,"")</f>
        <v>362.11734618649507</v>
      </c>
      <c r="CD73" s="106">
        <f ca="1">IF(AND(ISNUMBER(tblData[Generic]),tblData[Date]&gt;StartDt2Generic),(tblData[Generic]-AVERAGE(tblData[Generic]))^2,"")</f>
        <v>948.63999999999987</v>
      </c>
      <c r="CE73" s="11">
        <f>tblData[[#This Row],[Date]]-Generic100dt+1</f>
        <v>4</v>
      </c>
      <c r="CF73">
        <v>61030</v>
      </c>
      <c r="CG73" s="11"/>
      <c r="CH73" s="11">
        <f>IF(ISNUMBER(tblData[[#This Row],[Tests]]),tblData[[#This Row],[Tests]]-CF72,"")</f>
        <v>4758</v>
      </c>
      <c r="CI73" s="11" t="str">
        <f>IF(ISNUMBER(tblData[[#This Row],[NSW Under Investigation'']]),tblData[[#This Row],[NSW Under Investigation'']]-CG72,"")</f>
        <v/>
      </c>
      <c r="CJ73" s="11">
        <f>IF(tblData[[#This Row],[Date]]&gt;myData!TestsStart,tblData[[#This Row],[Date]]-myData!TestsStart,"")</f>
        <v>19</v>
      </c>
      <c r="CK73" s="11">
        <f>IF(AND(tblData[[#This Row],[NSW Test Day Number]]&gt;0,ISNUMBER(tblData[[#This Row],[NSW Test Day Number]])),betaTests/(deltaTests+betaPodeltaTests*EXP(-betaTests*tblData[[#This Row],[NSW Test Day Number]])),"")</f>
        <v>63371.74242789072</v>
      </c>
      <c r="CL73" s="11">
        <f>IF(tblData[Tests]&gt;0,(tblData[[#This Row],[Tests]]-tblData[[#This Row],[NSW Test Logi]])^2,"")</f>
        <v>5483757.598583525</v>
      </c>
      <c r="CM73" s="106">
        <f>IF(AND(ISNUMBER(tblData[Tests]),tblData[Date]&gt;StartDt2Tests),(tblData[Tests]-AVERAGE(tblData[Tests]))^2,"")</f>
        <v>269812343.17360276</v>
      </c>
      <c r="CN73" s="11">
        <f>IF(ISNUMBER(tblData[Tests]),tblData[Tests]/$CN$9/100,"")</f>
        <v>755.32178217821786</v>
      </c>
      <c r="CO73" s="106">
        <f ca="1">IF(AND(tblData[[#This Row],[NSW Test Day Number]]&gt;0,ISNUMBER(tblData[[#This Row],[NSW Test Day Number]])),TestsLogestB*TestsLogestM^tblData[[#This Row],[NSW Test Day Number]],"")</f>
        <v>53707.068511726386</v>
      </c>
      <c r="CP73" s="106">
        <f>IF(AND(tblData[[#This Row],[NSW Test Day Number]]&gt;0,ISNUMBER(tblData[Tests])),(tblData[Tests]-tblData[[#This Row],[NSW Test Per Capita]])^2,"")</f>
        <v>3633036834.2619596</v>
      </c>
      <c r="CQ73" s="39">
        <f ca="1">IF(AND(tblData[Day '# NSW]&gt;0,ISNUMBER(tblData[[#This Row],[Day '# NSW]])),NSWLogestB*NSWLogestM^tblData[[#This Row],[Day '# NSW]]/$CR$9,"")</f>
        <v>547.8961198058737</v>
      </c>
      <c r="CR73" s="39">
        <f ca="1">IF(AND(ISNUMBER(tblData[NSW]),tblData[Date]&gt;StartDt2NSW),(tblData[NSW]/$CR$9-tblData[[#This Row],[NSW Cases LogEst]])^2,"")</f>
        <v>215741.77984811971</v>
      </c>
      <c r="CS73" s="106"/>
      <c r="CT73" s="11"/>
      <c r="CW73" s="25"/>
      <c r="CX73"/>
      <c r="DL73" s="25"/>
      <c r="DR73"/>
      <c r="DS73"/>
      <c r="DT73"/>
      <c r="DU73"/>
      <c r="DW73" s="25"/>
      <c r="DX73" s="25"/>
      <c r="EB73" s="25"/>
      <c r="EC73" s="25"/>
      <c r="ED73" s="25"/>
      <c r="EE73" s="25"/>
      <c r="EK73"/>
      <c r="EL73"/>
      <c r="EM73"/>
      <c r="EN73"/>
      <c r="EO73"/>
      <c r="EP73"/>
      <c r="EQ73"/>
      <c r="ER73"/>
      <c r="ES73" s="69"/>
      <c r="EU73" s="25" t="s">
        <v>58</v>
      </c>
      <c r="EV73" s="69">
        <v>43913.686712962961</v>
      </c>
      <c r="EW73" s="26">
        <v>43860</v>
      </c>
      <c r="EX73" s="26">
        <v>43860</v>
      </c>
      <c r="EY73" s="25">
        <v>2</v>
      </c>
      <c r="EZ73" s="25">
        <v>0.25874561068947871</v>
      </c>
      <c r="FA73" s="81">
        <v>3.9549126775453369E-6</v>
      </c>
      <c r="FB73" s="21">
        <v>0.4422145518547565</v>
      </c>
      <c r="FC73" s="82">
        <v>65423.849218858661</v>
      </c>
      <c r="FD73" s="82">
        <v>1794.1813077040256</v>
      </c>
      <c r="FE73" s="25">
        <v>0.58510933365785012</v>
      </c>
      <c r="FF73" s="84">
        <v>3.9549126775453372E-3</v>
      </c>
      <c r="FG73" s="26">
        <v>43912</v>
      </c>
      <c r="FH73" s="25" t="s">
        <v>1296</v>
      </c>
      <c r="FI73" s="84">
        <v>65423.849218858661</v>
      </c>
      <c r="FJ73" s="84">
        <v>59138</v>
      </c>
      <c r="FK73" s="25" t="s">
        <v>1297</v>
      </c>
      <c r="FL73" s="26">
        <v>43912</v>
      </c>
      <c r="FM73" s="25">
        <v>53</v>
      </c>
      <c r="FN73" s="25" t="s">
        <v>1298</v>
      </c>
      <c r="FO73"/>
      <c r="FP73" t="s">
        <v>1299</v>
      </c>
      <c r="FR73" s="25" t="s">
        <v>1300</v>
      </c>
      <c r="FS73" s="19">
        <v>9782.9611248966085</v>
      </c>
      <c r="FT73" s="72">
        <v>43897</v>
      </c>
      <c r="FU73" s="25">
        <v>16</v>
      </c>
      <c r="FV73" s="142">
        <v>43896</v>
      </c>
      <c r="FW73" s="25">
        <v>17</v>
      </c>
      <c r="FX73" s="25"/>
      <c r="FY73" s="25"/>
    </row>
    <row r="74" spans="2:216" x14ac:dyDescent="0.25">
      <c r="B74" s="1">
        <f t="shared" si="3"/>
        <v>43915</v>
      </c>
      <c r="D74" s="25">
        <v>44</v>
      </c>
      <c r="E74">
        <v>1029</v>
      </c>
      <c r="F74">
        <v>5</v>
      </c>
      <c r="G74">
        <v>443</v>
      </c>
      <c r="H74">
        <v>197</v>
      </c>
      <c r="I74">
        <v>42</v>
      </c>
      <c r="J74">
        <v>466</v>
      </c>
      <c r="K74">
        <v>205</v>
      </c>
      <c r="L74" s="12">
        <f>IF(ISNUMBER(tblData[[#This Row],[NSW]]),tblData[[#This Row],[New South Wales]]/$L$9,"")</f>
        <v>1273.5148514851485</v>
      </c>
      <c r="M74" s="25">
        <v>74386</v>
      </c>
      <c r="N74" s="106">
        <f>IF(ISNUMBER(tblData[Italy]),tblData[Italy]/$N$9,"")</f>
        <v>12298.255765892371</v>
      </c>
      <c r="O74">
        <v>65778</v>
      </c>
      <c r="P74" s="106">
        <f>IF(ISNUMBER(tblData[US]),tblData[US]/$P$9,"")</f>
        <v>1997.9482531220199</v>
      </c>
      <c r="Q74">
        <v>9137</v>
      </c>
      <c r="R74" s="106">
        <f>IF(ISNUMBER(tblData[SKorea]),tblData[SKorea]/$R$9,"")</f>
        <v>1777.626459143969</v>
      </c>
      <c r="S74">
        <v>9640</v>
      </c>
      <c r="T74" s="12">
        <f>IF(ISNUMBER(tblData[UK]),tblData[UK]/$T$9,"")</f>
        <v>1450.9331727874774</v>
      </c>
      <c r="U74">
        <v>81661</v>
      </c>
      <c r="V74" s="20">
        <f>IF(ISNUMBER(tblData[China]),tblData[China]/$V$9,"")</f>
        <v>567.35670848808377</v>
      </c>
      <c r="W74">
        <v>631</v>
      </c>
      <c r="X74" s="20">
        <f>IF(ISNUMBER(tblData[Singapore]),tblData[Singapore]/$X$9,"")</f>
        <v>1078.6324786324788</v>
      </c>
      <c r="Y74">
        <v>205</v>
      </c>
      <c r="Z74" s="20">
        <f>IF(AND(LEN(tblData[Generic])&gt;0,ISNUMBER(tblData[Generic])),tblData[Generic]/$Z$9,"")</f>
        <v>391.96940726577435</v>
      </c>
      <c r="AA74" s="25">
        <f ca="1">IF(tblData[[#This Row],[Date]]&lt;StartDt2Italy,"",tblData[[#This Row],[Date]]-ItalyStart)</f>
        <v>55</v>
      </c>
      <c r="AB74" s="25">
        <f ca="1">IF(tblData[[#This Row],[Date]]&lt;=StartDt2US,"",tblData[[#This Row],[Date]]-USStart)</f>
        <v>63</v>
      </c>
      <c r="AC74" s="25">
        <f ca="1">IF(tblData[[#This Row],[Date]]&lt;StartDt2China,"",tblData[[#This Row],[Date]]-ChinaStart)</f>
        <v>63</v>
      </c>
      <c r="AD74" s="25">
        <f>IF(tblData[[#This Row],[Date]]&lt;=SKoreaStart,"",tblData[[#This Row],[Date]]-SKoreaStart)</f>
        <v>63</v>
      </c>
      <c r="AE74" s="25">
        <f ca="1">IF(tblData[[#This Row],[Date]]&lt;=StartDt2UK,"",tblData[[#This Row],[Date]]-UKStart)</f>
        <v>55</v>
      </c>
      <c r="AF74" s="25">
        <f>IF(tblData[[#This Row],[Date]]&lt;StartDt2Singapore,"",tblData[[#This Row],[Date]]-SingaporeStart)</f>
        <v>62</v>
      </c>
      <c r="AG74" s="25">
        <f ca="1">IF(tblData[[#This Row],[Date]]&lt;StartDt2Generic,"",tblData[[#This Row],[Date]]-GenericStart)</f>
        <v>63</v>
      </c>
      <c r="AH74">
        <f ca="1">IF(tblData[Date]&gt;StartDt2Au,tblData[Date]-AuStart,"")</f>
        <v>60</v>
      </c>
      <c r="AI74" s="25">
        <f>IF(tblData[New South Wales]&gt;=0,SUM(tblData[[#This Row],[Australian Capital Territory]:[Western Australia]]),"")</f>
        <v>2431</v>
      </c>
      <c r="AJ74" s="12">
        <f>IF(ISNUMBER(tblData[Au]),tblData[Au]/$AE$9,"")</f>
        <v>958.44504021447722</v>
      </c>
      <c r="AK74" s="19">
        <f ca="1">IF(ISNUMBER(tblData[[#This Row],[Day'# Aust]]),betaAu/(deltaAu+betaPodeltaAu*EXP(-betaAu*tblData[[#This Row],[Day'# Aust]])),"")</f>
        <v>2403.3348424327996</v>
      </c>
      <c r="AL74" s="62">
        <f ca="1">IF(ISNUMBER(tblData[Day'# Aust]),tblData[Au LogiP(t)]/$AJ$9,"")</f>
        <v>947.53778679735046</v>
      </c>
      <c r="AM74" s="11">
        <f ca="1">IF(AND(tblData[Date]&gt;StartDt2Au,ISNUMBER(tblData[NSW])),(tblData[[#This Row],[Au LogiP(t)]]-tblData[[#This Row],[Au]])^2,"")</f>
        <v>765.36094321802375</v>
      </c>
      <c r="AN74" s="11">
        <f ca="1">IF(AND(ISNUMBER(tblData[Au]),tblData[Date]&gt;StartDt2Au),(tblData[Au]-AVERAGE(tblData[Au]))^2,"")</f>
        <v>3950729.5881102071</v>
      </c>
      <c r="AO74" s="11">
        <f>tblData[[#This Row],[Date]]-Au100dt</f>
        <v>11</v>
      </c>
      <c r="AP74">
        <f ca="1">IF(tblData[Date]&gt;StartDt2NSW,tblData[Date]-StartDt2NSW,"")</f>
        <v>60</v>
      </c>
      <c r="AQ74" s="25">
        <f>IF(tblData[[#This Row],[New South Wales]]&gt;0,tblData[[#This Row],[New South Wales]],"")</f>
        <v>1029</v>
      </c>
      <c r="AR74" s="11">
        <f ca="1">IF(tblData[Date]&gt;StartDt2NSW,betaNSW/(deltaNSW+betaPodeltaNSW*EXP(-betaNSW*tblData[[#This Row],[Day '# NSW]])),"")</f>
        <v>1031.6245394813909</v>
      </c>
      <c r="AS74" s="12">
        <f ca="1">IF(AND(ISNUMBER(tblData[NSW]),tblData[Date]&gt;StartDt2NSW),(tblData[[#This Row],[NSW LogiP(t)]]-tblData[[#This Row],[NSW]])^2,"")</f>
        <v>6.888207489379675</v>
      </c>
      <c r="AT74" s="12">
        <f ca="1">IF(AND(tblData[Date]&gt;StartDt2NSW,ISNUMBER(tblData[Day'# Aust])),tblData[NSW LogiP(t)]/$AR$9,"")</f>
        <v>1276.7630439126124</v>
      </c>
      <c r="AU74" s="11">
        <f>tblData[[#This Row],[Date]]-NSW100dt+1</f>
        <v>15</v>
      </c>
      <c r="AV74" s="11">
        <f ca="1">IF(AND(ISNUMBER(tblData[NSW]),tblData[Date]&gt;StartDt2NSW),(tblData[NSW]-AVERAGE(tblData[NSW]))^2,"")</f>
        <v>540501.99201848358</v>
      </c>
      <c r="AW74" s="39">
        <f ca="1">IF(AND(tblData[Date]&gt;StartDt2Italy,ISNUMBER(tblData[Days'# Italy])),betaItaly/(deltaItaly+betaPodeltaItaly*EXP(-betaItaly*tblData[Days'# Italy])),"")</f>
        <v>83659.445678130738</v>
      </c>
      <c r="AX74" s="11">
        <f ca="1">IF(AND(tblData[Date]&gt;StartDt2Italy,ISNUMBER(tblData[Italy])),(tblData[[#This Row],[Italy LogiP(t)]]-tblData[[#This Row],[Italy]])^2,"")</f>
        <v>85996794.745241672</v>
      </c>
      <c r="AY74" s="39">
        <f ca="1">IF(AND(tblData[Date]&gt;StartDt2Italy,ISNUMBER(tblData[Days'# Italy])),tblData[[#This Row],[Italy LogiP(t)]]/$AW$9,"")</f>
        <v>13831.43683196342</v>
      </c>
      <c r="AZ74" s="39">
        <f ca="1">IF(AND(ISNUMBER(tblData[Italy]),tblData[Date]&gt;StartDt2Italy),(tblData[Italy]-AVERAGE(tblData[Italy]))^2,"")</f>
        <v>2852331385.4938269</v>
      </c>
      <c r="BA74" s="11">
        <f>tblData[[#This Row],[Date]]-Italy100dt+1</f>
        <v>28</v>
      </c>
      <c r="BB74" s="11">
        <f ca="1">IF(AND(tblData[Date]&gt;StartDt2US,ISNUMBER(tblData[[#This Row],[Days'# US]])),betaUS/(deltaUS+betaPodeltaUS*EXP(-betaUS*tblData[Days'# US])),"")</f>
        <v>53206.101465441869</v>
      </c>
      <c r="BC74" s="11">
        <f ca="1">IF(AND(tblData[Date]&gt;StartDt2US,ISNUMBER(tblData[US])),(tblData[[#This Row],[US LogiP(t)]]-tblData[US])^2,"")</f>
        <v>158052632.7632249</v>
      </c>
      <c r="BD74" s="137">
        <f ca="1">IF(AND(tblData[Date]&gt;=StartDt2US,ISNUMBER(tblData[[#This Row],[Days'# US]])),tblData[[#This Row],[US LogiP(t)]]/$BB$9,"")</f>
        <v>1616.0880154202396</v>
      </c>
      <c r="BE74" s="137">
        <f ca="1">IF(AND(ISNUMBER(tblData[US]),tblData[Date]&gt;StartDt2US),(tblData[US]-AVERAGE(tblData[US]))^2,"")</f>
        <v>2252769793.7718711</v>
      </c>
      <c r="BF74" s="11">
        <f>tblData[[#This Row],[Date]]-US100dt+1</f>
        <v>12</v>
      </c>
      <c r="BG74" s="20">
        <f ca="1">IF(tblData[Date]&gt;StartDt2SKorea,betaSKorea/(deltaSKorea+betaPodeltaSKorea*EXP(-betaSKorea*(tblData[Date]-StartDt2SKorea))),"")</f>
        <v>9010.8471796715621</v>
      </c>
      <c r="BH74" s="20">
        <f ca="1">IF(AND(tblData[Date]&gt;StartDt2SKorea,ISNUMBER(tblData[SKorea])),(tblData[[#This Row],[SKorea LogiP(t)]]-tblData[[#This Row],[SKorea]])^2,"")</f>
        <v>15914.534076819131</v>
      </c>
      <c r="BI74" s="20">
        <f ca="1">IF(tblData[Date]&gt;StartDt2SKorea,tblData[[#This Row],[SKorea LogiP(t)]]/$BG$9,"")</f>
        <v>1753.083108885518</v>
      </c>
      <c r="BJ74" s="137">
        <f ca="1">IF(AND(ISNUMBER(tblData[SKorea]),tblData[Date]&gt;StartDt2SKorea),(tblData[SKorea]-AVERAGE(tblData[SKorea]))^2,"")</f>
        <v>28910765.832969651</v>
      </c>
      <c r="BK74" s="11">
        <f>tblData[[#This Row],[Date]]-SKorea100dt+1</f>
        <v>33</v>
      </c>
      <c r="BL74" s="137">
        <f ca="1">IF(AND(tblData[Date]&gt;StartDt2UK,ISNUMBER(tblData[Days'# UK])),betaUK/(deltaUK+betaPodeltaUK*EXP(-betaUK*tblData[Days'# UK])),"")</f>
        <v>9718.0898371161802</v>
      </c>
      <c r="BM74" s="20">
        <f ca="1">IF(AND(tblData[Date]&gt;StartDt2UK,ISNUMBER(tblData[UK])),(tblData[[#This Row],[UK LogiP(t)]]-tblData[[#This Row],[UK]])^2,"")</f>
        <v>6098.0226608315561</v>
      </c>
      <c r="BN74" s="20">
        <f ca="1">IF(ISNUMBER(tblData[Days'# UK]),tblData[[#This Row],[UK LogiP(t)]]/$BL$9,"")</f>
        <v>1462.6866100415684</v>
      </c>
      <c r="BO74" s="137">
        <f ca="1">IF(AND(ISNUMBER(tblData[UK]),tblData[Date]&gt;StartDt2UK),(tblData[UK]-AVERAGE(tblData[UK]))^2,"")</f>
        <v>42708092.163265303</v>
      </c>
      <c r="BP74" s="11">
        <f>tblData[[#This Row],[Date]]-UK100dt</f>
        <v>13</v>
      </c>
      <c r="BQ74" s="11">
        <f ca="1">IF(ISNUMBER(tblData[Days'# China]),betaChina/(deltaChina+betaPodeltaChina*EXP(-betaChina*tblData[Days'# China])),"")</f>
        <v>81220.204077386967</v>
      </c>
      <c r="BR74" s="11">
        <f ca="1">IF(ISNUMBER(tblData[China]),(tblData[[#This Row],[China LogiP(t)]]-tblData[[#This Row],[China]])^2,"")</f>
        <v>194301.04539227526</v>
      </c>
      <c r="BS74" s="11">
        <f ca="1">tblData[[#This Row],[China LogiP(t)]]/$BQ$9</f>
        <v>564.29418753231914</v>
      </c>
      <c r="BT74" s="137">
        <f ca="1">IF(AND(ISNUMBER(tblData[China]),tblData[Date]&gt;StartDt2China),(tblData[China]-AVERAGE(tblData[China]))^2,"")</f>
        <v>463628843.60741913</v>
      </c>
      <c r="BU74" s="11">
        <f>tblData[[#This Row],[Date]]-China100dt</f>
        <v>63</v>
      </c>
      <c r="BV74" s="106">
        <f>IF(ISNUMBER(tblData[Day'# Singapore]),betaSingapore/(deltaSingapore+betaPodeltaSingapore*EXP(-betaSingapore*tblData[Day'# Singapore])),"")</f>
        <v>594.41141797663738</v>
      </c>
      <c r="BW74" s="11">
        <f>IF(AND(ISNUMBER(tblData[Singapore]),tblData[Date]&gt;=StartDt2Singapore),(tblData[[#This Row],[Singapore LogiP(t)]]-tblData[[#This Row],[Singapore]])^2,"")</f>
        <v>1338.7243344803342</v>
      </c>
      <c r="BX74" s="106">
        <f>IF(ISNUMBER(tblData[Day'# Singapore]),tblData[Singapore LogiP(t)]/$BV$9,"")</f>
        <v>1016.0878939771579</v>
      </c>
      <c r="BY74" s="106">
        <f>IF(AND(ISNUMBER(tblData[Singapore]),tblData[Date]&gt;StartDt2Singapore),(tblData[Singapore]-AVERAGE(tblData[Singapore]))^2,"")</f>
        <v>186684.85002975599</v>
      </c>
      <c r="BZ74" s="11">
        <f>tblData[[#This Row],[Date]]-Singapore100dt+1</f>
        <v>44</v>
      </c>
      <c r="CA74" s="11">
        <f ca="1">IF(AND(tblData[Date]&gt;StartDt2Generic,ISNUMBER(tblData[Day'# Generic])),betaGeneric/(deltaGeneric+betaPodeltaGeneric*EXP(-betaGeneric*tblData[Day'# Generic])),"")</f>
        <v>227.94915485031999</v>
      </c>
      <c r="CB74" s="106">
        <f ca="1">IF(AND(ISNUMBER(tblData[Generic]),tblData[Date]&gt;StartDt2Generic),(tblData[Generic LogiP(t)]-tblData[[#This Row],[Generic]])^2,"")</f>
        <v>526.66370834396525</v>
      </c>
      <c r="CC74" s="11">
        <f ca="1">IF(AND(ISNUMBER(tblData[Generic]),tblData[Date]&gt;StartDt2Generic),tblData[Generic LogiP(t)]/$CA$9,"")</f>
        <v>435.84924445567873</v>
      </c>
      <c r="CD74" s="106">
        <f ca="1">IF(AND(ISNUMBER(tblData[Generic]),tblData[Date]&gt;StartDt2Generic),(tblData[Generic]-AVERAGE(tblData[Generic]))^2,"")</f>
        <v>6528.6399999999994</v>
      </c>
      <c r="CE74" s="11">
        <f>tblData[[#This Row],[Date]]-Generic100dt+1</f>
        <v>5</v>
      </c>
      <c r="CF74">
        <v>67148</v>
      </c>
      <c r="CG74" s="11"/>
      <c r="CH74" s="11">
        <f>IF(ISNUMBER(tblData[[#This Row],[Tests]]),tblData[[#This Row],[Tests]]-CF73,"")</f>
        <v>6118</v>
      </c>
      <c r="CI74" s="11" t="str">
        <f>IF(ISNUMBER(tblData[[#This Row],[NSW Under Investigation'']]),tblData[[#This Row],[NSW Under Investigation'']]-CG73,"")</f>
        <v/>
      </c>
      <c r="CJ74" s="11">
        <f>IF(tblData[[#This Row],[Date]]&gt;myData!TestsStart,tblData[[#This Row],[Date]]-myData!TestsStart,"")</f>
        <v>20</v>
      </c>
      <c r="CK74" s="11">
        <f>IF(AND(tblData[[#This Row],[NSW Test Day Number]]&gt;0,ISNUMBER(tblData[[#This Row],[NSW Test Day Number]])),betaTests/(deltaTests+betaPodeltaTests*EXP(-betaTests*tblData[[#This Row],[NSW Test Day Number]])),"")</f>
        <v>68961.636325866843</v>
      </c>
      <c r="CL74" s="11">
        <f>IF(tblData[Tests]&gt;0,(tblData[[#This Row],[Tests]]-tblData[[#This Row],[NSW Test Logi]])^2,"")</f>
        <v>3289276.7225037799</v>
      </c>
      <c r="CM74" s="106">
        <f>IF(AND(ISNUMBER(tblData[Tests]),tblData[Date]&gt;StartDt2Tests),(tblData[Tests]-AVERAGE(tblData[Tests]))^2,"")</f>
        <v>508230381.24256825</v>
      </c>
      <c r="CN74" s="11">
        <f>IF(ISNUMBER(tblData[Tests]),tblData[Tests]/$CN$9/100,"")</f>
        <v>831.03960396039611</v>
      </c>
      <c r="CO74" s="106">
        <f ca="1">IF(AND(tblData[[#This Row],[NSW Test Day Number]]&gt;0,ISNUMBER(tblData[[#This Row],[NSW Test Day Number]])),TestsLogestB*TestsLogestM^tblData[[#This Row],[NSW Test Day Number]],"")</f>
        <v>60261.459572315987</v>
      </c>
      <c r="CP74" s="106">
        <f>IF(AND(tblData[[#This Row],[NSW Test Day Number]]&gt;0,ISNUMBER(tblData[Tests])),(tblData[Tests]-tblData[[#This Row],[NSW Test Per Capita]])^2,"")</f>
        <v>4397939236.1698856</v>
      </c>
      <c r="CQ74" s="39">
        <f ca="1">IF(AND(tblData[Day '# NSW]&gt;0,ISNUMBER(tblData[[#This Row],[Day '# NSW]])),NSWLogestB*NSWLogestM^tblData[[#This Row],[Day '# NSW]]/$CR$9,"")</f>
        <v>609.77489036627185</v>
      </c>
      <c r="CR74" s="39">
        <f ca="1">IF(AND(ISNUMBER(tblData[NSW]),tblData[Date]&gt;StartDt2NSW),(tblData[NSW]/$CR$9-tblData[[#This Row],[NSW Cases LogEst]])^2,"")</f>
        <v>440550.73598608788</v>
      </c>
      <c r="CS74" s="106"/>
      <c r="CT74" s="11"/>
      <c r="CW74" s="25"/>
      <c r="CX74"/>
      <c r="DL74" s="25"/>
      <c r="DR74"/>
      <c r="DS74"/>
      <c r="DT74"/>
      <c r="DU74"/>
      <c r="DW74" s="25"/>
      <c r="DX74" s="25"/>
      <c r="EB74" s="25"/>
      <c r="EC74" s="25"/>
      <c r="ED74" s="25"/>
      <c r="EE74" s="25"/>
      <c r="EK74"/>
      <c r="EL74"/>
      <c r="EM74"/>
      <c r="EN74"/>
      <c r="EO74"/>
      <c r="EP74"/>
      <c r="EQ74"/>
      <c r="ER74"/>
      <c r="ES74" s="69"/>
      <c r="EU74" s="26" t="s">
        <v>58</v>
      </c>
      <c r="EV74" s="69">
        <v>43914.462719907409</v>
      </c>
      <c r="EW74" s="26">
        <v>43860</v>
      </c>
      <c r="EX74" s="26">
        <v>43860</v>
      </c>
      <c r="EY74" s="25">
        <v>2</v>
      </c>
      <c r="EZ74" s="25">
        <v>0.25874561068947871</v>
      </c>
      <c r="FA74" s="25">
        <v>3.9549126775453369E-6</v>
      </c>
      <c r="FB74" s="21">
        <v>0.4422145518547565</v>
      </c>
      <c r="FC74" s="82">
        <v>65423.849218858661</v>
      </c>
      <c r="FD74" s="82">
        <v>1794.1813077040256</v>
      </c>
      <c r="FE74" s="83">
        <v>0.58510933365785012</v>
      </c>
      <c r="FF74" s="84">
        <v>3.9549126775453372E-3</v>
      </c>
      <c r="FG74" s="26">
        <v>43912</v>
      </c>
      <c r="FH74" s="25" t="s">
        <v>1296</v>
      </c>
      <c r="FI74" s="84">
        <v>65423.849218858661</v>
      </c>
      <c r="FJ74" s="84">
        <v>59138</v>
      </c>
      <c r="FK74" s="84" t="s">
        <v>1297</v>
      </c>
      <c r="FL74" s="26">
        <v>43912</v>
      </c>
      <c r="FM74" s="25">
        <v>53</v>
      </c>
      <c r="FN74" s="25" t="s">
        <v>1298</v>
      </c>
      <c r="FO74"/>
      <c r="FP74" s="25" t="s">
        <v>1299</v>
      </c>
      <c r="FQ74"/>
      <c r="FR74" s="25" t="s">
        <v>1300</v>
      </c>
      <c r="FS74" s="19">
        <v>9782.9611248966085</v>
      </c>
      <c r="FT74" s="72">
        <v>43898</v>
      </c>
      <c r="FU74" s="25">
        <v>16</v>
      </c>
      <c r="FV74" s="142">
        <v>43896</v>
      </c>
      <c r="FW74">
        <v>17</v>
      </c>
      <c r="FY74" s="25"/>
    </row>
    <row r="75" spans="2:216" x14ac:dyDescent="0.25">
      <c r="B75" s="1">
        <f t="shared" si="3"/>
        <v>43916</v>
      </c>
      <c r="D75" s="25">
        <v>53</v>
      </c>
      <c r="E75">
        <v>1219</v>
      </c>
      <c r="F75">
        <v>8</v>
      </c>
      <c r="G75">
        <v>493</v>
      </c>
      <c r="H75">
        <v>235</v>
      </c>
      <c r="I75">
        <v>47</v>
      </c>
      <c r="J75">
        <v>520</v>
      </c>
      <c r="K75">
        <v>231</v>
      </c>
      <c r="L75" s="12">
        <f>IF(ISNUMBER(tblData[[#This Row],[NSW]]),tblData[[#This Row],[New South Wales]]/$L$9,"")</f>
        <v>1508.6633663366335</v>
      </c>
      <c r="M75" s="25">
        <v>80589</v>
      </c>
      <c r="N75" s="106">
        <f>IF(ISNUMBER(tblData[Italy]),tblData[Italy]/$N$9,"")</f>
        <v>13323.799289079938</v>
      </c>
      <c r="O75" s="25">
        <v>83836</v>
      </c>
      <c r="P75" s="106">
        <f>IF(ISNUMBER(tblData[US]),tblData[US]/$P$9,"")</f>
        <v>2546.4439440046467</v>
      </c>
      <c r="Q75" s="25">
        <v>9241</v>
      </c>
      <c r="R75" s="19">
        <f>IF(ISNUMBER(tblData[SKorea]),tblData[SKorea]/$R$9,"")</f>
        <v>1797.8599221789884</v>
      </c>
      <c r="S75">
        <v>11812</v>
      </c>
      <c r="T75" s="12">
        <f>IF(ISNUMBER(tblData[UK]),tblData[UK]/$T$9,"")</f>
        <v>1777.844671884407</v>
      </c>
      <c r="U75">
        <v>81782</v>
      </c>
      <c r="V75" s="20">
        <f>IF(ISNUMBER(tblData[China]),tblData[China]/$V$9,"")</f>
        <v>568.19738104569467</v>
      </c>
      <c r="W75" s="20">
        <v>683</v>
      </c>
      <c r="X75" s="20">
        <f>IF(ISNUMBER(tblData[Singapore]),tblData[Singapore]/$X$9,"")</f>
        <v>1167.5213675213677</v>
      </c>
      <c r="Y75">
        <v>283</v>
      </c>
      <c r="Z75" s="20">
        <f>IF(AND(LEN(tblData[Generic])&gt;0,ISNUMBER(tblData[Generic])),tblData[Generic]/$Z$9,"")</f>
        <v>541.10898661567876</v>
      </c>
      <c r="AA75" s="25">
        <f ca="1">IF(tblData[[#This Row],[Date]]&lt;StartDt2Italy,"",tblData[[#This Row],[Date]]-ItalyStart)</f>
        <v>56</v>
      </c>
      <c r="AB75" s="25">
        <f ca="1">IF(tblData[[#This Row],[Date]]&lt;=StartDt2US,"",tblData[[#This Row],[Date]]-USStart)</f>
        <v>64</v>
      </c>
      <c r="AC75" s="25">
        <f ca="1">IF(tblData[[#This Row],[Date]]&lt;StartDt2China,"",tblData[[#This Row],[Date]]-ChinaStart)</f>
        <v>64</v>
      </c>
      <c r="AD75" s="25">
        <f>IF(tblData[[#This Row],[Date]]&lt;=SKoreaStart,"",tblData[[#This Row],[Date]]-SKoreaStart)</f>
        <v>64</v>
      </c>
      <c r="AE75" s="25">
        <f ca="1">IF(tblData[[#This Row],[Date]]&lt;=StartDt2UK,"",tblData[[#This Row],[Date]]-UKStart)</f>
        <v>56</v>
      </c>
      <c r="AF75" s="25">
        <f>IF(tblData[[#This Row],[Date]]&lt;StartDt2Singapore,"",tblData[[#This Row],[Date]]-SingaporeStart)</f>
        <v>63</v>
      </c>
      <c r="AG75" s="25">
        <f ca="1">IF(tblData[[#This Row],[Date]]&lt;StartDt2Generic,"",tblData[[#This Row],[Date]]-GenericStart)</f>
        <v>64</v>
      </c>
      <c r="AH75">
        <f ca="1">IF(tblData[Date]&gt;StartDt2Au,tblData[Date]-AuStart,"")</f>
        <v>61</v>
      </c>
      <c r="AI75" s="25">
        <f>IF(tblData[New South Wales]&gt;=0,SUM(tblData[[#This Row],[Australian Capital Territory]:[Western Australia]]),"")</f>
        <v>2806</v>
      </c>
      <c r="AJ75" s="12">
        <f>IF(ISNUMBER(tblData[Au]),tblData[Au]/$AE$9,"")</f>
        <v>1106.2923829049046</v>
      </c>
      <c r="AK75" s="19">
        <f ca="1">IF(ISNUMBER(tblData[[#This Row],[Day'# Aust]]),betaAu/(deltaAu+betaPodeltaAu*EXP(-betaAu*tblData[[#This Row],[Day'# Aust]])),"")</f>
        <v>2783.6894007207393</v>
      </c>
      <c r="AL75" s="62">
        <f ca="1">IF(ISNUMBER(tblData[Day'# Aust]),tblData[Au LogiP(t)]/$AJ$9,"")</f>
        <v>1097.4962153921856</v>
      </c>
      <c r="AM75" s="11">
        <f ca="1">IF(AND(tblData[Date]&gt;StartDt2Au,ISNUMBER(tblData[NSW])),(tblData[[#This Row],[Au LogiP(t)]]-tblData[[#This Row],[Au]])^2,"")</f>
        <v>497.76284019974867</v>
      </c>
      <c r="AN75" s="11">
        <f ca="1">IF(AND(ISNUMBER(tblData[Au]),tblData[Date]&gt;StartDt2Au),(tblData[Au]-AVERAGE(tblData[Au]))^2,"")</f>
        <v>5582087.7611871306</v>
      </c>
      <c r="AO75" s="11">
        <f>tblData[[#This Row],[Date]]-Au100dt</f>
        <v>12</v>
      </c>
      <c r="AP75">
        <f ca="1">IF(tblData[Date]&gt;StartDt2NSW,tblData[Date]-StartDt2NSW,"")</f>
        <v>61</v>
      </c>
      <c r="AQ75" s="25">
        <f>IF(tblData[[#This Row],[New South Wales]]&gt;0,tblData[[#This Row],[New South Wales]],"")</f>
        <v>1219</v>
      </c>
      <c r="AR75" s="11">
        <f ca="1">IF(tblData[Date]&gt;StartDt2NSW,betaNSW/(deltaNSW+betaPodeltaNSW*EXP(-betaNSW*tblData[[#This Row],[Day '# NSW]])),"")</f>
        <v>1197.9871375540906</v>
      </c>
      <c r="AS75" s="12">
        <f ca="1">IF(AND(ISNUMBER(tblData[NSW]),tblData[Date]&gt;StartDt2NSW),(tblData[[#This Row],[NSW LogiP(t)]]-tblData[[#This Row],[NSW]])^2,"")</f>
        <v>441.54038817070864</v>
      </c>
      <c r="AT75" s="12">
        <f ca="1">IF(AND(tblData[Date]&gt;StartDt2NSW,ISNUMBER(tblData[Day'# Aust])),tblData[NSW LogiP(t)]/$AR$9,"")</f>
        <v>1482.6573484580329</v>
      </c>
      <c r="AU75" s="11">
        <f>tblData[[#This Row],[Date]]-NSW100dt+1</f>
        <v>16</v>
      </c>
      <c r="AV75" s="11">
        <f ca="1">IF(AND(ISNUMBER(tblData[NSW]),tblData[Date]&gt;StartDt2NSW),(tblData[NSW]-AVERAGE(tblData[NSW]))^2,"")</f>
        <v>855973.58622138214</v>
      </c>
      <c r="AW75" s="39">
        <f ca="1">IF(AND(tblData[Date]&gt;StartDt2Italy,ISNUMBER(tblData[Days'# Italy])),betaItaly/(deltaItaly+betaPodeltaItaly*EXP(-betaItaly*tblData[Days'# Italy])),"")</f>
        <v>86395.737040316992</v>
      </c>
      <c r="AX75" s="11">
        <f ca="1">IF(AND(tblData[Date]&gt;StartDt2Italy,ISNUMBER(tblData[Italy])),(tblData[[#This Row],[Italy LogiP(t)]]-tblData[[#This Row],[Italy]])^2,"")</f>
        <v>33718195.055389337</v>
      </c>
      <c r="AY75" s="39">
        <f ca="1">IF(AND(tblData[Date]&gt;StartDt2Italy,ISNUMBER(tblData[Days'# Italy])),tblData[[#This Row],[Italy LogiP(t)]]/$AW$9,"")</f>
        <v>14283.828559199304</v>
      </c>
      <c r="AZ75" s="39">
        <f ca="1">IF(AND(ISNUMBER(tblData[Italy]),tblData[Date]&gt;StartDt2Italy),(tblData[Italy]-AVERAGE(tblData[Italy]))^2,"")</f>
        <v>3553378593.3827157</v>
      </c>
      <c r="BA75" s="11">
        <f>tblData[[#This Row],[Date]]-Italy100dt+1</f>
        <v>29</v>
      </c>
      <c r="BB75" s="11">
        <f ca="1">IF(AND(tblData[Date]&gt;StartDt2US,ISNUMBER(tblData[[#This Row],[Days'# US]])),betaUS/(deltaUS+betaPodeltaUS*EXP(-betaUS*tblData[Days'# US])),"")</f>
        <v>68768.300879875329</v>
      </c>
      <c r="BC75" s="11">
        <f ca="1">IF(AND(tblData[Date]&gt;StartDt2US,ISNUMBER(tblData[US])),(tblData[[#This Row],[US LogiP(t)]]-tblData[US])^2,"")</f>
        <v>227035556.77460578</v>
      </c>
      <c r="BD75" s="137">
        <f ca="1">IF(AND(tblData[Date]&gt;=StartDt2US,ISNUMBER(tblData[[#This Row],[Days'# US]])),tblData[[#This Row],[US LogiP(t)]]/$BB$9,"")</f>
        <v>2088.775983050813</v>
      </c>
      <c r="BE75" s="137">
        <f ca="1">IF(AND(ISNUMBER(tblData[US]),tblData[Date]&gt;StartDt2US),(tblData[US]-AVERAGE(tblData[US]))^2,"")</f>
        <v>4293047582.6732798</v>
      </c>
      <c r="BF75" s="11">
        <f>tblData[[#This Row],[Date]]-US100dt+1</f>
        <v>13</v>
      </c>
      <c r="BG75" s="20">
        <f ca="1">IF(tblData[Date]&gt;StartDt2SKorea,betaSKorea/(deltaSKorea+betaPodeltaSKorea*EXP(-betaSKorea*(tblData[Date]-StartDt2SKorea))),"")</f>
        <v>9016.9261826173042</v>
      </c>
      <c r="BH75" s="20">
        <f ca="1">IF(AND(tblData[Date]&gt;StartDt2SKorea,ISNUMBER(tblData[SKorea])),(tblData[[#This Row],[SKorea LogiP(t)]]-tblData[[#This Row],[SKorea]])^2,"")</f>
        <v>50209.075636453694</v>
      </c>
      <c r="BI75" s="20">
        <f ca="1">IF(tblData[Date]&gt;StartDt2SKorea,tblData[[#This Row],[SKorea LogiP(t)]]/$BG$9,"")</f>
        <v>1754.2657942835224</v>
      </c>
      <c r="BJ75" s="137">
        <f ca="1">IF(AND(ISNUMBER(tblData[SKorea]),tblData[Date]&gt;StartDt2SKorea),(tblData[SKorea]-AVERAGE(tblData[SKorea]))^2,"")</f>
        <v>30039971.466772467</v>
      </c>
      <c r="BK75" s="11">
        <f>tblData[[#This Row],[Date]]-SKorea100dt+1</f>
        <v>34</v>
      </c>
      <c r="BL75" s="137">
        <f ca="1">IF(AND(tblData[Date]&gt;StartDt2UK,ISNUMBER(tblData[Days'# UK])),betaUK/(deltaUK+betaPodeltaUK*EXP(-betaUK*tblData[Days'# UK])),"")</f>
        <v>11670.733799429654</v>
      </c>
      <c r="BM75" s="20">
        <f ca="1">IF(AND(tblData[Date]&gt;StartDt2UK,ISNUMBER(tblData[UK])),(tblData[[#This Row],[UK LogiP(t)]]-tblData[[#This Row],[UK]])^2,"")</f>
        <v>19956.139423581219</v>
      </c>
      <c r="BN75" s="20">
        <f ca="1">IF(ISNUMBER(tblData[Days'# UK]),tblData[[#This Row],[UK LogiP(t)]]/$BL$9,"")</f>
        <v>1756.582450245282</v>
      </c>
      <c r="BO75" s="137">
        <f ca="1">IF(AND(ISNUMBER(tblData[UK]),tblData[Date]&gt;StartDt2UK),(tblData[UK]-AVERAGE(tblData[UK]))^2,"")</f>
        <v>75814336.73469387</v>
      </c>
      <c r="BP75" s="11">
        <f>tblData[[#This Row],[Date]]-UK100dt</f>
        <v>14</v>
      </c>
      <c r="BQ75" s="11">
        <f ca="1">IF(ISNUMBER(tblData[Days'# China]),betaChina/(deltaChina+betaPodeltaChina*EXP(-betaChina*tblData[Days'# China])),"")</f>
        <v>81220.946641857343</v>
      </c>
      <c r="BR75" s="11">
        <f ca="1">IF(ISNUMBER(tblData[China]),(tblData[[#This Row],[China LogiP(t)]]-tblData[[#This Row],[China]])^2,"")</f>
        <v>314780.87068315264</v>
      </c>
      <c r="BS75" s="11">
        <f ca="1">tblData[[#This Row],[China LogiP(t)]]/$BQ$9</f>
        <v>564.299346652753</v>
      </c>
      <c r="BT75" s="137">
        <f ca="1">IF(AND(ISNUMBER(tblData[China]),tblData[Date]&gt;StartDt2China),(tblData[China]-AVERAGE(tblData[China]))^2,"")</f>
        <v>468854238.83277124</v>
      </c>
      <c r="BU75" s="11">
        <f>tblData[[#This Row],[Date]]-China100dt</f>
        <v>64</v>
      </c>
      <c r="BV75" s="106">
        <f>IF(ISNUMBER(tblData[Day'# Singapore]),betaSingapore/(deltaSingapore+betaPodeltaSingapore*EXP(-betaSingapore*tblData[Day'# Singapore])),"")</f>
        <v>643.42856114293545</v>
      </c>
      <c r="BW75" s="11">
        <f>IF(AND(ISNUMBER(tblData[Singapore]),tblData[Date]&gt;=StartDt2Singapore),(tblData[[#This Row],[Singapore LogiP(t)]]-tblData[[#This Row],[Singapore]])^2,"")</f>
        <v>1565.8987732183982</v>
      </c>
      <c r="BX75" s="106">
        <f>IF(ISNUMBER(tblData[Day'# Singapore]),tblData[Singapore LogiP(t)]/$BV$9,"")</f>
        <v>1099.8778822956162</v>
      </c>
      <c r="BY75" s="106">
        <f>IF(AND(ISNUMBER(tblData[Singapore]),tblData[Date]&gt;StartDt2Singapore),(tblData[Singapore]-AVERAGE(tblData[Singapore]))^2,"")</f>
        <v>234324.17397341796</v>
      </c>
      <c r="BZ75" s="11">
        <f>tblData[[#This Row],[Date]]-Singapore100dt+1</f>
        <v>45</v>
      </c>
      <c r="CA75" s="11">
        <f ca="1">IF(AND(tblData[Date]&gt;StartDt2Generic,ISNUMBER(tblData[Day'# Generic])),betaGeneric/(deltaGeneric+betaPodeltaGeneric*EXP(-betaGeneric*tblData[Day'# Generic])),"")</f>
        <v>273.72263450395513</v>
      </c>
      <c r="CB75" s="106">
        <f ca="1">IF(AND(ISNUMBER(tblData[Generic]),tblData[Date]&gt;StartDt2Generic),(tblData[Generic LogiP(t)]-tblData[[#This Row],[Generic]])^2,"")</f>
        <v>86.069510547203791</v>
      </c>
      <c r="CC75" s="11">
        <f ca="1">IF(AND(ISNUMBER(tblData[Generic]),tblData[Date]&gt;StartDt2Generic),tblData[Generic LogiP(t)]/$CA$9,"")</f>
        <v>523.37023805727563</v>
      </c>
      <c r="CD75" s="106">
        <f ca="1">IF(AND(ISNUMBER(tblData[Generic]),tblData[Date]&gt;StartDt2Generic),(tblData[Generic]-AVERAGE(tblData[Generic]))^2,"")</f>
        <v>25217.440000000002</v>
      </c>
      <c r="CE75" s="11">
        <f>tblData[[#This Row],[Date]]-Generic100dt+1</f>
        <v>6</v>
      </c>
      <c r="CF75" s="11">
        <v>72787</v>
      </c>
      <c r="CG75" s="11"/>
      <c r="CH75" s="11">
        <f>IF(ISNUMBER(tblData[[#This Row],[Tests]]),tblData[[#This Row],[Tests]]-CF74,"")</f>
        <v>5639</v>
      </c>
      <c r="CI75" s="11" t="str">
        <f>IF(ISNUMBER(tblData[[#This Row],[NSW Under Investigation'']]),tblData[[#This Row],[NSW Under Investigation'']]-CG74,"")</f>
        <v/>
      </c>
      <c r="CJ75" s="11">
        <f>IF(tblData[[#This Row],[Date]]&gt;myData!TestsStart,tblData[[#This Row],[Date]]-myData!TestsStart,"")</f>
        <v>21</v>
      </c>
      <c r="CK75" s="11">
        <f>IF(AND(tblData[[#This Row],[NSW Test Day Number]]&gt;0,ISNUMBER(tblData[[#This Row],[NSW Test Day Number]])),betaTests/(deltaTests+betaPodeltaTests*EXP(-betaTests*tblData[[#This Row],[NSW Test Day Number]])),"")</f>
        <v>74469.617038400742</v>
      </c>
      <c r="CL75" s="11">
        <f>IF(tblData[Tests]&gt;0,(tblData[[#This Row],[Tests]]-tblData[[#This Row],[NSW Test Logi]])^2,"")</f>
        <v>2831200.0979164839</v>
      </c>
      <c r="CM75" s="106">
        <f>IF(AND(ISNUMBER(tblData[Tests]),tblData[Date]&gt;StartDt2Tests),(tblData[Tests]-AVERAGE(tblData[Tests]))^2,"")</f>
        <v>794279545.34601653</v>
      </c>
      <c r="CN75" s="11">
        <f>IF(ISNUMBER(tblData[Tests]),tblData[Tests]/$CN$9/100,"")</f>
        <v>900.82920792079199</v>
      </c>
      <c r="CO75" s="106">
        <f ca="1">IF(AND(tblData[[#This Row],[NSW Test Day Number]]&gt;0,ISNUMBER(tblData[[#This Row],[NSW Test Day Number]])),TestsLogestB*TestsLogestM^tblData[[#This Row],[NSW Test Day Number]],"")</f>
        <v>67615.746128332932</v>
      </c>
      <c r="CP75" s="106">
        <f>IF(AND(tblData[[#This Row],[NSW Test Day Number]]&gt;0,ISNUMBER(tblData[Tests])),(tblData[Tests]-tblData[[#This Row],[NSW Test Per Capita]])^2,"")</f>
        <v>5167621551.1479826</v>
      </c>
      <c r="CQ75" s="39">
        <f ca="1">IF(AND(tblData[Day '# NSW]&gt;0,ISNUMBER(tblData[[#This Row],[Day '# NSW]])),NSWLogestB*NSWLogestM^tblData[[#This Row],[Day '# NSW]]/$CR$9,"")</f>
        <v>678.64217956670541</v>
      </c>
      <c r="CR75" s="39">
        <f ca="1">IF(AND(ISNUMBER(tblData[NSW]),tblData[Date]&gt;StartDt2NSW),(tblData[NSW]/$CR$9-tblData[[#This Row],[NSW Cases LogEst]])^2,"")</f>
        <v>688935.17048695998</v>
      </c>
      <c r="CS75" s="106"/>
      <c r="CT75" s="11"/>
      <c r="CW75" s="25"/>
      <c r="CX75"/>
      <c r="DL75" s="25"/>
      <c r="DR75"/>
      <c r="DS75"/>
      <c r="DT75"/>
      <c r="DU75"/>
      <c r="DW75" s="25"/>
      <c r="DX75" s="25"/>
      <c r="EB75" s="25"/>
      <c r="EC75" s="25"/>
      <c r="ED75" s="25"/>
      <c r="EE75" s="25"/>
      <c r="EK75"/>
      <c r="EL75"/>
      <c r="EM75"/>
      <c r="EN75"/>
      <c r="EO75"/>
      <c r="EP75"/>
      <c r="EQ75"/>
      <c r="ER75"/>
      <c r="ES75" s="69"/>
      <c r="EU75" s="26" t="s">
        <v>58</v>
      </c>
      <c r="EV75" s="69">
        <v>43915.873518518521</v>
      </c>
      <c r="EW75" s="26">
        <v>43860</v>
      </c>
      <c r="EX75" s="26">
        <v>43860</v>
      </c>
      <c r="EY75" s="25">
        <v>2</v>
      </c>
      <c r="EZ75" s="25">
        <v>0.25817905412496678</v>
      </c>
      <c r="FA75" s="25">
        <v>3.5765915584943579E-6</v>
      </c>
      <c r="FB75" s="21">
        <v>0.44243815709476098</v>
      </c>
      <c r="FC75" s="82">
        <v>72185.780764313138</v>
      </c>
      <c r="FD75" s="82">
        <v>2424.6918741970817</v>
      </c>
      <c r="FE75" s="83">
        <v>0.58353346691364316</v>
      </c>
      <c r="FF75" s="84">
        <v>3.576591558494358E-3</v>
      </c>
      <c r="FG75" s="26">
        <v>43914</v>
      </c>
      <c r="FH75" s="26" t="s">
        <v>1488</v>
      </c>
      <c r="FI75" s="84">
        <v>72185.780764313138</v>
      </c>
      <c r="FJ75" s="84">
        <v>69176</v>
      </c>
      <c r="FK75" s="84" t="s">
        <v>1489</v>
      </c>
      <c r="FL75" s="26">
        <v>43914</v>
      </c>
      <c r="FM75" s="25">
        <v>55</v>
      </c>
      <c r="FN75" s="25" t="s">
        <v>1490</v>
      </c>
      <c r="FO75" s="25"/>
      <c r="FP75" s="25" t="s">
        <v>1491</v>
      </c>
      <c r="FR75" s="25" t="s">
        <v>1492</v>
      </c>
      <c r="FS75" s="19">
        <v>11443.507030603805</v>
      </c>
      <c r="FT75" s="72">
        <v>43899</v>
      </c>
      <c r="FU75" s="25">
        <v>16</v>
      </c>
      <c r="FV75" s="142">
        <v>43897</v>
      </c>
      <c r="FW75" s="25">
        <v>18</v>
      </c>
      <c r="FY75" s="25"/>
    </row>
    <row r="76" spans="2:216" x14ac:dyDescent="0.25">
      <c r="B76" s="1">
        <f t="shared" si="3"/>
        <v>43917</v>
      </c>
      <c r="D76" s="25">
        <v>62</v>
      </c>
      <c r="E76">
        <v>1405</v>
      </c>
      <c r="F76">
        <v>12</v>
      </c>
      <c r="G76">
        <v>555</v>
      </c>
      <c r="H76">
        <v>257</v>
      </c>
      <c r="I76">
        <v>47</v>
      </c>
      <c r="J76">
        <v>574</v>
      </c>
      <c r="K76">
        <v>255</v>
      </c>
      <c r="L76" s="12">
        <f>IF(ISNUMBER(tblData[[#This Row],[NSW]]),tblData[[#This Row],[New South Wales]]/$L$9,"")</f>
        <v>1738.8613861386139</v>
      </c>
      <c r="M76" s="25">
        <v>86498</v>
      </c>
      <c r="N76" s="106">
        <f>IF(ISNUMBER(tblData[Italy]),tblData[Italy]/$N$9,"")</f>
        <v>14300.735719599901</v>
      </c>
      <c r="O76" s="25">
        <v>101657</v>
      </c>
      <c r="P76" s="106">
        <f>IF(ISNUMBER(tblData[US]),tblData[US]/$P$9,"")</f>
        <v>3087.7409706531844</v>
      </c>
      <c r="Q76" s="11">
        <v>9332</v>
      </c>
      <c r="R76" s="19">
        <f>IF(ISNUMBER(tblData[SKorea]),tblData[SKorea]/$R$9,"")</f>
        <v>1815.5642023346304</v>
      </c>
      <c r="S76">
        <v>14745</v>
      </c>
      <c r="T76" s="12">
        <f>IF(ISNUMBER(tblData[UK]),tblData[UK]/$T$9,"")</f>
        <v>2219.2956050571943</v>
      </c>
      <c r="U76">
        <v>81897</v>
      </c>
      <c r="V76" s="20">
        <f>IF(ISNUMBER(tblData[China]),tblData[China]/$V$9,"")</f>
        <v>568.99636736077935</v>
      </c>
      <c r="W76" s="20">
        <v>732</v>
      </c>
      <c r="X76" s="20">
        <f>IF(ISNUMBER(tblData[Singapore]),tblData[Singapore]/$X$9,"")</f>
        <v>1251.2820512820513</v>
      </c>
      <c r="Y76">
        <v>368</v>
      </c>
      <c r="Z76" s="20">
        <f>IF(AND(LEN(tblData[Generic])&gt;0,ISNUMBER(tblData[Generic])),tblData[Generic]/$Z$9,"")</f>
        <v>703.63288718929255</v>
      </c>
      <c r="AA76" s="25">
        <f ca="1">IF(tblData[[#This Row],[Date]]&lt;StartDt2Italy,"",tblData[[#This Row],[Date]]-ItalyStart)</f>
        <v>57</v>
      </c>
      <c r="AB76" s="25">
        <f ca="1">IF(tblData[[#This Row],[Date]]&lt;=StartDt2US,"",tblData[[#This Row],[Date]]-USStart)</f>
        <v>65</v>
      </c>
      <c r="AC76" s="25">
        <f ca="1">IF(tblData[[#This Row],[Date]]&lt;StartDt2China,"",tblData[[#This Row],[Date]]-ChinaStart)</f>
        <v>65</v>
      </c>
      <c r="AD76" s="25">
        <f>IF(tblData[[#This Row],[Date]]&lt;=SKoreaStart,"",tblData[[#This Row],[Date]]-SKoreaStart)</f>
        <v>65</v>
      </c>
      <c r="AE76" s="25">
        <f ca="1">IF(tblData[[#This Row],[Date]]&lt;=StartDt2UK,"",tblData[[#This Row],[Date]]-UKStart)</f>
        <v>57</v>
      </c>
      <c r="AF76" s="25">
        <f>IF(tblData[[#This Row],[Date]]&lt;StartDt2Singapore,"",tblData[[#This Row],[Date]]-SingaporeStart)</f>
        <v>64</v>
      </c>
      <c r="AG76" s="25">
        <f ca="1">IF(tblData[[#This Row],[Date]]&lt;StartDt2Generic,"",tblData[[#This Row],[Date]]-GenericStart)</f>
        <v>65</v>
      </c>
      <c r="AH76">
        <f ca="1">IF(tblData[Date]&gt;StartDt2Au,tblData[Date]-AuStart,"")</f>
        <v>62</v>
      </c>
      <c r="AI76" s="25">
        <f>IF(tblData[New South Wales]&gt;=0,SUM(tblData[[#This Row],[Australian Capital Territory]:[Western Australia]]),"")</f>
        <v>3167</v>
      </c>
      <c r="AJ76" s="12">
        <f>IF(ISNUMBER(tblData[Au]),tblData[Au]/$AE$9,"")</f>
        <v>1248.6200914682227</v>
      </c>
      <c r="AK76" s="19">
        <f ca="1">IF(ISNUMBER(tblData[[#This Row],[Day'# Aust]]),betaAu/(deltaAu+betaPodeltaAu*EXP(-betaAu*tblData[[#This Row],[Day'# Aust]])),"")</f>
        <v>3173.6508472847631</v>
      </c>
      <c r="AL76" s="62">
        <f ca="1">IF(ISNUMBER(tblData[Day'# Aust]),tblData[Au LogiP(t)]/$AJ$9,"")</f>
        <v>1251.2422517287348</v>
      </c>
      <c r="AM76" s="11">
        <f ca="1">IF(AND(tblData[Date]&gt;StartDt2Au,ISNUMBER(tblData[NSW])),(tblData[[#This Row],[Au LogiP(t)]]-tblData[[#This Row],[Au]])^2,"")</f>
        <v>44.233769605241115</v>
      </c>
      <c r="AN76" s="11">
        <f ca="1">IF(AND(ISNUMBER(tblData[Au]),tblData[Date]&gt;StartDt2Au),(tblData[Au]-AVERAGE(tblData[Au]))^2,"")</f>
        <v>7418237.8958025156</v>
      </c>
      <c r="AO76" s="11">
        <f>tblData[[#This Row],[Date]]-Au100dt</f>
        <v>13</v>
      </c>
      <c r="AP76">
        <f ca="1">IF(tblData[Date]&gt;StartDt2NSW,tblData[Date]-StartDt2NSW,"")</f>
        <v>62</v>
      </c>
      <c r="AQ76" s="25">
        <f>IF(tblData[[#This Row],[New South Wales]]&gt;0,tblData[[#This Row],[New South Wales]],"")</f>
        <v>1405</v>
      </c>
      <c r="AR76" s="11">
        <f ca="1">IF(tblData[Date]&gt;StartDt2NSW,betaNSW/(deltaNSW+betaPodeltaNSW*EXP(-betaNSW*tblData[[#This Row],[Day '# NSW]])),"")</f>
        <v>1372.4740785145043</v>
      </c>
      <c r="AS76" s="12">
        <f ca="1">IF(AND(ISNUMBER(tblData[NSW]),tblData[Date]&gt;StartDt2NSW),(tblData[[#This Row],[NSW LogiP(t)]]-tblData[[#This Row],[NSW]])^2,"")</f>
        <v>1057.9355684806308</v>
      </c>
      <c r="AT76" s="12">
        <f ca="1">IF(AND(tblData[Date]&gt;StartDt2NSW,ISNUMBER(tblData[Day'# Aust])),tblData[NSW LogiP(t)]/$AR$9,"")</f>
        <v>1698.6065328149805</v>
      </c>
      <c r="AU76" s="11">
        <f>tblData[[#This Row],[Date]]-NSW100dt+1</f>
        <v>17</v>
      </c>
      <c r="AV76" s="11">
        <f ca="1">IF(AND(ISNUMBER(tblData[NSW]),tblData[Date]&gt;StartDt2NSW),(tblData[NSW]-AVERAGE(tblData[NSW]))^2,"")</f>
        <v>1234739.673177904</v>
      </c>
      <c r="AW76" s="39">
        <f ca="1">IF(AND(tblData[Date]&gt;StartDt2Italy,ISNUMBER(tblData[Days'# Italy])),betaItaly/(deltaItaly+betaPodeltaItaly*EXP(-betaItaly*tblData[Days'# Italy])),"")</f>
        <v>88638.665569741264</v>
      </c>
      <c r="AX76" s="11">
        <f ca="1">IF(AND(tblData[Date]&gt;StartDt2Italy,ISNUMBER(tblData[Italy])),(tblData[[#This Row],[Italy LogiP(t)]]-tblData[[#This Row],[Italy]])^2,"")</f>
        <v>4582449.0814756919</v>
      </c>
      <c r="AY76" s="39">
        <f ca="1">IF(AND(tblData[Date]&gt;StartDt2Italy,ISNUMBER(tblData[Days'# Italy])),tblData[[#This Row],[Italy LogiP(t)]]/$AW$9,"")</f>
        <v>14654.652487350791</v>
      </c>
      <c r="AZ76" s="39">
        <f ca="1">IF(AND(ISNUMBER(tblData[Italy]),tblData[Date]&gt;StartDt2Italy),(tblData[Italy]-AVERAGE(tblData[Italy]))^2,"")</f>
        <v>4292768480.604938</v>
      </c>
      <c r="BA76" s="11">
        <f>tblData[[#This Row],[Date]]-Italy100dt+1</f>
        <v>30</v>
      </c>
      <c r="BB76" s="11">
        <f ca="1">IF(AND(tblData[Date]&gt;StartDt2US,ISNUMBER(tblData[[#This Row],[Days'# US]])),betaUS/(deltaUS+betaPodeltaUS*EXP(-betaUS*tblData[Days'# US])),"")</f>
        <v>88190.13116540316</v>
      </c>
      <c r="BC76" s="11">
        <f ca="1">IF(AND(tblData[Date]&gt;StartDt2US,ISNUMBER(tblData[US])),(tblData[[#This Row],[US LogiP(t)]]-tblData[US])^2,"")</f>
        <v>181356556.20823565</v>
      </c>
      <c r="BD76" s="137">
        <f ca="1">IF(AND(tblData[Date]&gt;=StartDt2US,ISNUMBER(tblData[[#This Row],[Days'# US]])),tblData[[#This Row],[US LogiP(t)]]/$BB$9,"")</f>
        <v>2678.6968059916544</v>
      </c>
      <c r="BE76" s="137">
        <f ca="1">IF(AND(ISNUMBER(tblData[US]),tblData[Date]&gt;StartDt2US),(tblData[US]-AVERAGE(tblData[US]))^2,"")</f>
        <v>6945947655.6732798</v>
      </c>
      <c r="BF76" s="11">
        <f>tblData[[#This Row],[Date]]-US100dt+1</f>
        <v>14</v>
      </c>
      <c r="BG76" s="20">
        <f ca="1">IF(tblData[Date]&gt;StartDt2SKorea,betaSKorea/(deltaSKorea+betaPodeltaSKorea*EXP(-betaSKorea*(tblData[Date]-StartDt2SKorea))),"")</f>
        <v>9021.6124398256361</v>
      </c>
      <c r="BH76" s="20">
        <f ca="1">IF(AND(tblData[Date]&gt;StartDt2SKorea,ISNUMBER(tblData[SKorea])),(tblData[[#This Row],[SKorea LogiP(t)]]-tblData[[#This Row],[SKorea]])^2,"")</f>
        <v>96340.437510994365</v>
      </c>
      <c r="BI76" s="20">
        <f ca="1">IF(tblData[Date]&gt;StartDt2SKorea,tblData[[#This Row],[SKorea LogiP(t)]]/$BG$9,"")</f>
        <v>1755.1775174758047</v>
      </c>
      <c r="BJ76" s="137">
        <f ca="1">IF(AND(ISNUMBER(tblData[SKorea]),tblData[Date]&gt;StartDt2SKorea),(tblData[SKorea]-AVERAGE(tblData[SKorea]))^2,"")</f>
        <v>31045771.396349933</v>
      </c>
      <c r="BK76" s="11">
        <f>tblData[[#This Row],[Date]]-SKorea100dt+1</f>
        <v>35</v>
      </c>
      <c r="BL76" s="137">
        <f ca="1">IF(AND(tblData[Date]&gt;StartDt2UK,ISNUMBER(tblData[Days'# UK])),betaUK/(deltaUK+betaPodeltaUK*EXP(-betaUK*tblData[Days'# UK])),"")</f>
        <v>13931.413986599722</v>
      </c>
      <c r="BM76" s="20">
        <f ca="1">IF(AND(tblData[Date]&gt;StartDt2UK,ISNUMBER(tblData[UK])),(tblData[[#This Row],[UK LogiP(t)]]-tblData[[#This Row],[UK]])^2,"")</f>
        <v>661922.20120055706</v>
      </c>
      <c r="BN76" s="20">
        <f ca="1">IF(ISNUMBER(tblData[Days'# UK]),tblData[[#This Row],[UK LogiP(t)]]/$BL$9,"")</f>
        <v>2096.8413586092297</v>
      </c>
      <c r="BO76" s="137">
        <f ca="1">IF(AND(ISNUMBER(tblData[UK]),tblData[Date]&gt;StartDt2UK),(tblData[UK]-AVERAGE(tblData[UK]))^2,"")</f>
        <v>135492925.73469388</v>
      </c>
      <c r="BP76" s="11">
        <f>tblData[[#This Row],[Date]]-UK100dt</f>
        <v>15</v>
      </c>
      <c r="BQ76" s="11">
        <f ca="1">IF(ISNUMBER(tblData[Days'# China]),betaChina/(deltaChina+betaPodeltaChina*EXP(-betaChina*tblData[Days'# China])),"")</f>
        <v>81221.54206106413</v>
      </c>
      <c r="BR76" s="11">
        <f ca="1">IF(ISNUMBER(tblData[China]),(tblData[[#This Row],[China LogiP(t)]]-tblData[[#This Row],[China]])^2,"")</f>
        <v>456243.42727149295</v>
      </c>
      <c r="BS76" s="11">
        <f ca="1">tblData[[#This Row],[China LogiP(t)]]/$BQ$9</f>
        <v>564.30348345099617</v>
      </c>
      <c r="BT76" s="137">
        <f ca="1">IF(AND(ISNUMBER(tblData[China]),tblData[Date]&gt;StartDt2China),(tblData[China]-AVERAGE(tblData[China]))^2,"")</f>
        <v>473847663.55108106</v>
      </c>
      <c r="BU76" s="11">
        <f>tblData[[#This Row],[Date]]-China100dt</f>
        <v>65</v>
      </c>
      <c r="BV76" s="106">
        <f>IF(ISNUMBER(tblData[Day'# Singapore]),betaSingapore/(deltaSingapore+betaPodeltaSingapore*EXP(-betaSingapore*tblData[Day'# Singapore])),"")</f>
        <v>696.46773008273897</v>
      </c>
      <c r="BW76" s="11">
        <f>IF(AND(ISNUMBER(tblData[Singapore]),tblData[Date]&gt;=StartDt2Singapore),(tblData[[#This Row],[Singapore LogiP(t)]]-tblData[[#This Row],[Singapore]])^2,"")</f>
        <v>1262.5422054730934</v>
      </c>
      <c r="BX76" s="106">
        <f>IF(ISNUMBER(tblData[Day'# Singapore]),tblData[Singapore LogiP(t)]/$BV$9,"")</f>
        <v>1190.5431283465623</v>
      </c>
      <c r="BY76" s="106">
        <f>IF(AND(ISNUMBER(tblData[Singapore]),tblData[Date]&gt;StartDt2Singapore),(tblData[Singapore]-AVERAGE(tblData[Singapore]))^2,"")</f>
        <v>284164.07538186869</v>
      </c>
      <c r="BZ76" s="11">
        <f>tblData[[#This Row],[Date]]-Singapore100dt+1</f>
        <v>46</v>
      </c>
      <c r="CA76" s="11">
        <f ca="1">IF(AND(tblData[Date]&gt;StartDt2Generic,ISNUMBER(tblData[Day'# Generic])),betaGeneric/(deltaGeneric+betaPodeltaGeneric*EXP(-betaGeneric*tblData[Day'# Generic])),"")</f>
        <v>327.78009646987414</v>
      </c>
      <c r="CB76" s="106">
        <f ca="1">IF(AND(ISNUMBER(tblData[Generic]),tblData[Date]&gt;StartDt2Generic),(tblData[Generic LogiP(t)]-tblData[[#This Row],[Generic]])^2,"")</f>
        <v>1617.6406399726307</v>
      </c>
      <c r="CC76" s="11">
        <f ca="1">IF(AND(ISNUMBER(tblData[Generic]),tblData[Date]&gt;StartDt2Generic),tblData[Generic LogiP(t)]/$CA$9,"")</f>
        <v>626.730585984463</v>
      </c>
      <c r="CD76" s="106">
        <f ca="1">IF(AND(ISNUMBER(tblData[Generic]),tblData[Date]&gt;StartDt2Generic),(tblData[Generic]-AVERAGE(tblData[Generic]))^2,"")</f>
        <v>59438.44</v>
      </c>
      <c r="CE76" s="11">
        <f>tblData[[#This Row],[Date]]-Generic100dt+1</f>
        <v>7</v>
      </c>
      <c r="CF76" s="11">
        <v>76284</v>
      </c>
      <c r="CG76" s="11"/>
      <c r="CH76" s="11">
        <f>IF(ISNUMBER(tblData[[#This Row],[Tests]]),tblData[[#This Row],[Tests]]-CF75,"")</f>
        <v>3497</v>
      </c>
      <c r="CI76" s="11" t="str">
        <f>IF(ISNUMBER(tblData[[#This Row],[NSW Under Investigation'']]),tblData[[#This Row],[NSW Under Investigation'']]-CG75,"")</f>
        <v/>
      </c>
      <c r="CJ76" s="11">
        <f>IF(tblData[[#This Row],[Date]]&gt;myData!TestsStart,tblData[[#This Row],[Date]]-myData!TestsStart,"")</f>
        <v>22</v>
      </c>
      <c r="CK76" s="11">
        <f>IF(AND(tblData[[#This Row],[NSW Test Day Number]]&gt;0,ISNUMBER(tblData[[#This Row],[NSW Test Day Number]])),betaTests/(deltaTests+betaPodeltaTests*EXP(-betaTests*tblData[[#This Row],[NSW Test Day Number]])),"")</f>
        <v>79814.946177751743</v>
      </c>
      <c r="CL76" s="11">
        <f>IF(tblData[Tests]&gt;0,(tblData[[#This Row],[Tests]]-tblData[[#This Row],[NSW Test Logi]])^2,"")</f>
        <v>12467580.910179641</v>
      </c>
      <c r="CM76" s="106">
        <f>IF(AND(ISNUMBER(tblData[Tests]),tblData[Date]&gt;StartDt2Tests),(tblData[Tests]-AVERAGE(tblData[Tests]))^2,"")</f>
        <v>1003620215.1736027</v>
      </c>
      <c r="CN76" s="11">
        <f>IF(ISNUMBER(tblData[Tests]),tblData[Tests]/$CN$9/100,"")</f>
        <v>944.10891089108907</v>
      </c>
      <c r="CO76" s="106">
        <f ca="1">IF(AND(tblData[[#This Row],[NSW Test Day Number]]&gt;0,ISNUMBER(tblData[[#This Row],[NSW Test Day Number]])),TestsLogestB*TestsLogestM^tblData[[#This Row],[NSW Test Day Number]],"")</f>
        <v>75867.547134412394</v>
      </c>
      <c r="CP76" s="106">
        <f>IF(AND(tblData[[#This Row],[NSW Test Day Number]]&gt;0,ISNUMBER(tblData[Tests])),(tblData[Tests]-tblData[[#This Row],[NSW Test Per Capita]])^2,"")</f>
        <v>5676099189.3187933</v>
      </c>
      <c r="CQ76" s="39">
        <f ca="1">IF(AND(tblData[Day '# NSW]&gt;0,ISNUMBER(tblData[[#This Row],[Day '# NSW]])),NSWLogestB*NSWLogestM^tblData[[#This Row],[Day '# NSW]]/$CR$9,"")</f>
        <v>755.28726282974333</v>
      </c>
      <c r="CR76" s="39">
        <f ca="1">IF(AND(ISNUMBER(tblData[NSW]),tblData[Date]&gt;StartDt2NSW),(tblData[NSW]/$CR$9-tblData[[#This Row],[NSW Cases LogEst]])^2,"")</f>
        <v>967418.05604281323</v>
      </c>
      <c r="CS76" s="106"/>
      <c r="CT76" s="11"/>
      <c r="CW76" s="25"/>
      <c r="CX76"/>
      <c r="DL76" s="25"/>
      <c r="DR76"/>
      <c r="DS76"/>
      <c r="DT76"/>
      <c r="DU76"/>
      <c r="DW76" s="25"/>
      <c r="DX76" s="25"/>
      <c r="EB76" s="25"/>
      <c r="EC76" s="25"/>
      <c r="ED76" s="25"/>
      <c r="EE76" s="25"/>
      <c r="EK76"/>
      <c r="EL76"/>
      <c r="EM76"/>
      <c r="EN76"/>
      <c r="EO76"/>
      <c r="EP76"/>
      <c r="EQ76"/>
      <c r="ER76"/>
      <c r="ES76" s="69"/>
      <c r="EU76" s="26" t="s">
        <v>58</v>
      </c>
      <c r="EV76" s="69">
        <v>43916.336550925924</v>
      </c>
      <c r="EW76" s="26">
        <v>43860</v>
      </c>
      <c r="EX76" s="26">
        <v>43860</v>
      </c>
      <c r="EY76" s="25">
        <v>2</v>
      </c>
      <c r="EZ76" s="25">
        <v>0.25752779680433807</v>
      </c>
      <c r="FA76" s="25">
        <v>3.3859219411555139E-6</v>
      </c>
      <c r="FB76" s="21">
        <v>0.44235943793467725</v>
      </c>
      <c r="FC76" s="82">
        <v>76058.397470454249</v>
      </c>
      <c r="FD76" s="82">
        <v>2641.5821671232216</v>
      </c>
      <c r="FE76" s="83">
        <v>0.5821652640942182</v>
      </c>
      <c r="FF76" s="84">
        <v>3.3859219411555138E-3</v>
      </c>
      <c r="FG76" s="26">
        <v>43915</v>
      </c>
      <c r="FH76" s="25" t="s">
        <v>1529</v>
      </c>
      <c r="FI76" s="84">
        <v>76058.397470454249</v>
      </c>
      <c r="FJ76" s="84">
        <v>74386</v>
      </c>
      <c r="FK76" s="25" t="s">
        <v>1530</v>
      </c>
      <c r="FL76" s="26">
        <v>43915</v>
      </c>
      <c r="FM76" s="25">
        <v>56</v>
      </c>
      <c r="FN76" s="25" t="s">
        <v>1531</v>
      </c>
      <c r="FO76" s="25"/>
      <c r="FP76" s="25" t="s">
        <v>1532</v>
      </c>
      <c r="FR76" s="72" t="s">
        <v>1533</v>
      </c>
      <c r="FS76" s="19">
        <v>12305.376344086022</v>
      </c>
      <c r="FT76" s="72">
        <v>43899</v>
      </c>
      <c r="FU76" s="25">
        <v>16</v>
      </c>
      <c r="FV76" s="142">
        <v>43897</v>
      </c>
      <c r="FW76" s="25">
        <v>19</v>
      </c>
      <c r="FY76" s="25"/>
    </row>
    <row r="77" spans="2:216" s="48" customFormat="1" x14ac:dyDescent="0.25">
      <c r="B77" s="47">
        <f t="shared" si="3"/>
        <v>43918</v>
      </c>
      <c r="D77" s="48">
        <v>71</v>
      </c>
      <c r="E77" s="48">
        <v>1617</v>
      </c>
      <c r="F77" s="48">
        <v>15</v>
      </c>
      <c r="G77" s="48">
        <v>625</v>
      </c>
      <c r="H77" s="48">
        <v>287</v>
      </c>
      <c r="I77" s="48">
        <v>62</v>
      </c>
      <c r="J77" s="48">
        <v>685</v>
      </c>
      <c r="K77" s="48">
        <v>278</v>
      </c>
      <c r="L77" s="12">
        <f>IF(ISNUMBER(tblData[[#This Row],[NSW]]),tblData[[#This Row],[New South Wales]]/$L$9,"")</f>
        <v>2001.2376237623762</v>
      </c>
      <c r="M77" s="48">
        <v>92472</v>
      </c>
      <c r="N77" s="106">
        <f>IF(ISNUMBER(tblData[Italy]),tblData[Italy]/$N$9,"")</f>
        <v>15288.418616185832</v>
      </c>
      <c r="O77" s="48">
        <v>121478</v>
      </c>
      <c r="P77" s="106">
        <f>IF(ISNUMBER(tblData[US]),tblData[US]/$P$9,"")</f>
        <v>3689.7862186864413</v>
      </c>
      <c r="Q77" s="51">
        <v>9478</v>
      </c>
      <c r="R77" s="19">
        <f>IF(ISNUMBER(tblData[SKorea]),tblData[SKorea]/$R$9,"")</f>
        <v>1843.9688715953309</v>
      </c>
      <c r="S77">
        <v>17312</v>
      </c>
      <c r="T77" s="12">
        <f>IF(ISNUMBER(tblData[UK]),tblData[UK]/$T$9,"")</f>
        <v>2605.6592414208308</v>
      </c>
      <c r="U77">
        <v>81999</v>
      </c>
      <c r="V77" s="53">
        <f>IF(ISNUMBER(tblData[China]),tblData[China]/$V$9,"")</f>
        <v>569.70503348372392</v>
      </c>
      <c r="W77" s="53">
        <v>802</v>
      </c>
      <c r="X77" s="53">
        <f>IF(ISNUMBER(tblData[Singapore]),tblData[Singapore]/$X$9,"")</f>
        <v>1370.9401709401711</v>
      </c>
      <c r="Y77">
        <v>451</v>
      </c>
      <c r="Z77" s="53">
        <f>IF(AND(LEN(tblData[Generic])&gt;0,ISNUMBER(tblData[Generic])),tblData[Generic]/$Z$9,"")</f>
        <v>862.33269598470361</v>
      </c>
      <c r="AA77" s="25">
        <f ca="1">IF(tblData[[#This Row],[Date]]&lt;StartDt2Italy,"",tblData[[#This Row],[Date]]-ItalyStart)</f>
        <v>58</v>
      </c>
      <c r="AB77" s="25">
        <f ca="1">IF(tblData[[#This Row],[Date]]&lt;=StartDt2US,"",tblData[[#This Row],[Date]]-USStart)</f>
        <v>66</v>
      </c>
      <c r="AC77" s="25">
        <f ca="1">IF(tblData[[#This Row],[Date]]&lt;StartDt2China,"",tblData[[#This Row],[Date]]-ChinaStart)</f>
        <v>66</v>
      </c>
      <c r="AD77" s="48">
        <f>IF(tblData[[#This Row],[Date]]&lt;=SKoreaStart,"",tblData[[#This Row],[Date]]-SKoreaStart)</f>
        <v>66</v>
      </c>
      <c r="AE77" s="48">
        <f ca="1">IF(tblData[[#This Row],[Date]]&lt;=StartDt2UK,"",tblData[[#This Row],[Date]]-UKStart)</f>
        <v>58</v>
      </c>
      <c r="AF77" s="48">
        <f>IF(tblData[[#This Row],[Date]]&lt;StartDt2Singapore,"",tblData[[#This Row],[Date]]-SingaporeStart)</f>
        <v>65</v>
      </c>
      <c r="AG77" s="48">
        <f ca="1">IF(tblData[[#This Row],[Date]]&lt;StartDt2Generic,"",tblData[[#This Row],[Date]]-GenericStart)</f>
        <v>66</v>
      </c>
      <c r="AH77" s="48">
        <f ca="1">IF(tblData[Date]&gt;StartDt2Au,tblData[Date]-AuStart,"")</f>
        <v>63</v>
      </c>
      <c r="AI77" s="25">
        <f>IF(tblData[New South Wales]&gt;=0,SUM(tblData[[#This Row],[Australian Capital Territory]:[Western Australia]]),"")</f>
        <v>3640</v>
      </c>
      <c r="AJ77" s="49">
        <f>IF(ISNUMBER(tblData[Au]),tblData[Au]/$AE$9,"")</f>
        <v>1435.1048730484151</v>
      </c>
      <c r="AK77" s="50">
        <f ca="1">IF(ISNUMBER(tblData[[#This Row],[Day'# Aust]]),betaAu/(deltaAu+betaPodeltaAu*EXP(-betaAu*tblData[[#This Row],[Day'# Aust]])),"")</f>
        <v>3560.9584154908598</v>
      </c>
      <c r="AL77" s="62">
        <f ca="1">IF(ISNUMBER(tblData[Day'# Aust]),tblData[Au LogiP(t)]/$AJ$9,"")</f>
        <v>1403.9419710971692</v>
      </c>
      <c r="AM77" s="51">
        <f ca="1">IF(AND(tblData[Date]&gt;StartDt2Au,ISNUMBER(tblData[NSW])),(tblData[[#This Row],[Au LogiP(t)]]-tblData[[#This Row],[Au]])^2,"")</f>
        <v>6247.5720817155507</v>
      </c>
      <c r="AN77" s="51">
        <f ca="1">IF(AND(ISNUMBER(tblData[Au]),tblData[Date]&gt;StartDt2Au),(tblData[Au]-AVERAGE(tblData[Au]))^2,"")</f>
        <v>10218534.338110209</v>
      </c>
      <c r="AO77" s="51">
        <f>tblData[[#This Row],[Date]]-Au100dt</f>
        <v>14</v>
      </c>
      <c r="AP77" s="48">
        <f ca="1">IF(tblData[Date]&gt;StartDt2NSW,tblData[Date]-StartDt2NSW,"")</f>
        <v>63</v>
      </c>
      <c r="AQ77" s="25">
        <f>IF(tblData[[#This Row],[New South Wales]]&gt;0,tblData[[#This Row],[New South Wales]],"")</f>
        <v>1617</v>
      </c>
      <c r="AR77" s="11">
        <f ca="1">IF(tblData[Date]&gt;StartDt2NSW,betaNSW/(deltaNSW+betaPodeltaNSW*EXP(-betaNSW*tblData[[#This Row],[Day '# NSW]])),"")</f>
        <v>1550.5111377174007</v>
      </c>
      <c r="AS77" s="12">
        <f ca="1">IF(AND(ISNUMBER(tblData[NSW]),tblData[Date]&gt;StartDt2NSW),(tblData[[#This Row],[NSW LogiP(t)]]-tblData[[#This Row],[NSW]])^2,"")</f>
        <v>4420.7688076344502</v>
      </c>
      <c r="AT77" s="49">
        <f ca="1">IF(AND(tblData[Date]&gt;StartDt2NSW,ISNUMBER(tblData[Day'# Aust])),tblData[NSW LogiP(t)]/$AR$9,"")</f>
        <v>1918.9494278680702</v>
      </c>
      <c r="AU77" s="11">
        <f>tblData[[#This Row],[Date]]-NSW100dt+1</f>
        <v>18</v>
      </c>
      <c r="AV77" s="11">
        <f ca="1">IF(AND(ISNUMBER(tblData[NSW]),tblData[Date]&gt;StartDt2NSW),(tblData[NSW]-AVERAGE(tblData[NSW]))^2,"")</f>
        <v>1750827.5572358749</v>
      </c>
      <c r="AW77" s="39">
        <f ca="1">IF(AND(tblData[Date]&gt;StartDt2Italy,ISNUMBER(tblData[Days'# Italy])),betaItaly/(deltaItaly+betaPodeltaItaly*EXP(-betaItaly*tblData[Days'# Italy])),"")</f>
        <v>90455.447136680363</v>
      </c>
      <c r="AX77" s="11">
        <f ca="1">IF(AND(tblData[Date]&gt;StartDt2Italy,ISNUMBER(tblData[Italy])),(tblData[[#This Row],[Italy LogiP(t)]]-tblData[[#This Row],[Italy]])^2,"")</f>
        <v>4066485.4505626275</v>
      </c>
      <c r="AY77" s="52">
        <f ca="1">IF(AND(tblData[Date]&gt;StartDt2Italy,ISNUMBER(tblData[Days'# Italy])),tblData[[#This Row],[Italy LogiP(t)]]/$AW$9,"")</f>
        <v>14955.021432864407</v>
      </c>
      <c r="AZ77" s="52">
        <f ca="1">IF(AND(ISNUMBER(tblData[Italy]),tblData[Date]&gt;StartDt2Italy),(tblData[Italy]-AVERAGE(tblData[Italy]))^2,"")</f>
        <v>5111280823.7160492</v>
      </c>
      <c r="BA77" s="11">
        <f>tblData[[#This Row],[Date]]-Italy100dt+1</f>
        <v>31</v>
      </c>
      <c r="BB77" s="11">
        <f ca="1">IF(AND(tblData[Date]&gt;StartDt2US,ISNUMBER(tblData[[#This Row],[Days'# US]])),betaUS/(deltaUS+betaPodeltaUS*EXP(-betaUS*tblData[Days'# US])),"")</f>
        <v>112008.60131103871</v>
      </c>
      <c r="BC77" s="11">
        <f ca="1">IF(AND(tblData[Date]&gt;StartDt2US,ISNUMBER(tblData[US])),(tblData[[#This Row],[US LogiP(t)]]-tblData[US])^2,"")</f>
        <v>89669511.530501723</v>
      </c>
      <c r="BD77" s="137">
        <f ca="1">IF(AND(tblData[Date]&gt;=StartDt2US,ISNUMBER(tblData[[#This Row],[Days'# US]])),tblData[[#This Row],[US LogiP(t)]]/$BB$9,"")</f>
        <v>3402.1616547178478</v>
      </c>
      <c r="BE77" s="137">
        <f ca="1">IF(AND(ISNUMBER(tblData[US]),tblData[Date]&gt;StartDt2US),(tblData[US]-AVERAGE(tblData[US]))^2,"")</f>
        <v>10642677219.123983</v>
      </c>
      <c r="BF77" s="11">
        <f>tblData[[#This Row],[Date]]-US100dt+1</f>
        <v>15</v>
      </c>
      <c r="BG77" s="53">
        <f ca="1">IF(tblData[Date]&gt;StartDt2SKorea,betaSKorea/(deltaSKorea+betaPodeltaSKorea*EXP(-betaSKorea*(tblData[Date]-StartDt2SKorea))),"")</f>
        <v>9025.2240496420745</v>
      </c>
      <c r="BH77" s="53">
        <f ca="1">IF(AND(tblData[Date]&gt;StartDt2SKorea,ISNUMBER(tblData[SKorea])),(tblData[[#This Row],[SKorea LogiP(t)]]-tblData[[#This Row],[SKorea]])^2,"")</f>
        <v>205006.06122252258</v>
      </c>
      <c r="BI77" s="53">
        <f ca="1">IF(tblData[Date]&gt;StartDt2SKorea,tblData[[#This Row],[SKorea LogiP(t)]]/$BG$9,"")</f>
        <v>1755.8801653000146</v>
      </c>
      <c r="BJ77" s="137">
        <f ca="1">IF(AND(ISNUMBER(tblData[SKorea]),tblData[Date]&gt;StartDt2SKorea),(tblData[SKorea]-AVERAGE(tblData[SKorea]))^2,"")</f>
        <v>32694074.382265422</v>
      </c>
      <c r="BK77" s="11">
        <f>tblData[[#This Row],[Date]]-SKorea100dt+1</f>
        <v>36</v>
      </c>
      <c r="BL77" s="137">
        <f ca="1">IF(AND(tblData[Date]&gt;StartDt2UK,ISNUMBER(tblData[Days'# UK])),betaUK/(deltaUK+betaPodeltaUK*EXP(-betaUK*tblData[Days'# UK])),"")</f>
        <v>16514.98868088434</v>
      </c>
      <c r="BM77" s="53">
        <f ca="1">IF(AND(tblData[Date]&gt;StartDt2UK,ISNUMBER(tblData[UK])),(tblData[[#This Row],[UK LogiP(t)]]-tblData[[#This Row],[UK]])^2,"")</f>
        <v>635227.04279848398</v>
      </c>
      <c r="BN77" s="53">
        <f ca="1">IF(ISNUMBER(tblData[Days'# UK]),tblData[[#This Row],[UK LogiP(t)]]/$BL$9,"")</f>
        <v>2485.6996810482151</v>
      </c>
      <c r="BO77" s="137">
        <f ca="1">IF(AND(ISNUMBER(tblData[UK]),tblData[Date]&gt;StartDt2UK),(tblData[UK]-AVERAGE(tblData[UK]))^2,"")</f>
        <v>201842908.16326529</v>
      </c>
      <c r="BP77" s="11">
        <f>tblData[[#This Row],[Date]]-UK100dt</f>
        <v>16</v>
      </c>
      <c r="BQ77" s="51">
        <f ca="1">IF(ISNUMBER(tblData[Days'# China]),betaChina/(deltaChina+betaPodeltaChina*EXP(-betaChina*tblData[Days'# China])),"")</f>
        <v>81222.019491494269</v>
      </c>
      <c r="BR77" s="51">
        <f ca="1">IF(ISNUMBER(tblData[China]),(tblData[[#This Row],[China LogiP(t)]]-tblData[[#This Row],[China]])^2,"")</f>
        <v>603698.71059782361</v>
      </c>
      <c r="BS77" s="51">
        <f ca="1">tblData[[#This Row],[China LogiP(t)]]/$BQ$9</f>
        <v>564.30680049777959</v>
      </c>
      <c r="BT77" s="137">
        <f ca="1">IF(AND(ISNUMBER(tblData[China]),tblData[Date]&gt;StartDt2China),(tblData[China]-AVERAGE(tblData[China]))^2,"")</f>
        <v>478298748.17079937</v>
      </c>
      <c r="BU77" s="51">
        <f>tblData[[#This Row],[Date]]-China100dt</f>
        <v>66</v>
      </c>
      <c r="BV77" s="106">
        <f>IF(ISNUMBER(tblData[Day'# Singapore]),betaSingapore/(deltaSingapore+betaPodeltaSingapore*EXP(-betaSingapore*tblData[Day'# Singapore])),"")</f>
        <v>753.85549913771752</v>
      </c>
      <c r="BW77" s="51">
        <f>IF(AND(ISNUMBER(tblData[Singapore]),tblData[Date]&gt;=StartDt2Singapore),(tblData[[#This Row],[Singapore LogiP(t)]]-tblData[[#This Row],[Singapore]])^2,"")</f>
        <v>2317.8929632783188</v>
      </c>
      <c r="BX77" s="106">
        <f>IF(ISNUMBER(tblData[Day'# Singapore]),tblData[Singapore LogiP(t)]/$BV$9,"")</f>
        <v>1288.6418788678932</v>
      </c>
      <c r="BY77" s="106">
        <f>IF(AND(ISNUMBER(tblData[Singapore]),tblData[Date]&gt;StartDt2Singapore),(tblData[Singapore]-AVERAGE(tblData[Singapore]))^2,"")</f>
        <v>363693.93453679828</v>
      </c>
      <c r="BZ77" s="11">
        <f>tblData[[#This Row],[Date]]-Singapore100dt+1</f>
        <v>47</v>
      </c>
      <c r="CA77" s="11">
        <f ca="1">IF(AND(tblData[Date]&gt;StartDt2Generic,ISNUMBER(tblData[Day'# Generic])),betaGeneric/(deltaGeneric+betaPodeltaGeneric*EXP(-betaGeneric*tblData[Day'# Generic])),"")</f>
        <v>391.23754320856403</v>
      </c>
      <c r="CB77" s="106">
        <f ca="1">IF(AND(ISNUMBER(tblData[Generic]),tblData[Date]&gt;StartDt2Generic),(tblData[Generic LogiP(t)]-tblData[[#This Row],[Generic]])^2,"")</f>
        <v>3571.551241748251</v>
      </c>
      <c r="CC77" s="11">
        <f ca="1">IF(AND(ISNUMBER(tblData[Generic]),tblData[Date]&gt;StartDt2Generic),tblData[Generic LogiP(t)]/$CA$9,"")</f>
        <v>748.0641361540421</v>
      </c>
      <c r="CD77" s="106">
        <f ca="1">IF(AND(ISNUMBER(tblData[Generic]),tblData[Date]&gt;StartDt2Generic),(tblData[Generic]-AVERAGE(tblData[Generic]))^2,"")</f>
        <v>106798.24</v>
      </c>
      <c r="CE77" s="11">
        <f>tblData[[#This Row],[Date]]-Generic100dt+1</f>
        <v>8</v>
      </c>
      <c r="CF77" s="141">
        <v>84907</v>
      </c>
      <c r="CG77" s="51"/>
      <c r="CH77" s="11">
        <f>IF(ISNUMBER(tblData[[#This Row],[Tests]]),tblData[[#This Row],[Tests]]-CF76,"")</f>
        <v>8623</v>
      </c>
      <c r="CI77" s="51" t="str">
        <f>IF(ISNUMBER(tblData[[#This Row],[NSW Under Investigation'']]),tblData[[#This Row],[NSW Under Investigation'']]-CG76,"")</f>
        <v/>
      </c>
      <c r="CJ77" s="11">
        <f>IF(tblData[[#This Row],[Date]]&gt;myData!TestsStart,tblData[[#This Row],[Date]]-myData!TestsStart,"")</f>
        <v>23</v>
      </c>
      <c r="CK77" s="11">
        <f>IF(AND(tblData[[#This Row],[NSW Test Day Number]]&gt;0,ISNUMBER(tblData[[#This Row],[NSW Test Day Number]])),betaTests/(deltaTests+betaPodeltaTests*EXP(-betaTests*tblData[[#This Row],[NSW Test Day Number]])),"")</f>
        <v>84926.38721304544</v>
      </c>
      <c r="CL77" s="51">
        <f>IF(tblData[Tests]&gt;0,(tblData[[#This Row],[Tests]]-tblData[[#This Row],[NSW Test Logi]])^2,"")</f>
        <v>375.86402966928466</v>
      </c>
      <c r="CM77" s="106">
        <f>IF(AND(ISNUMBER(tblData[Tests]),tblData[Date]&gt;StartDt2Tests),(tblData[Tests]-AVERAGE(tblData[Tests]))^2,"")</f>
        <v>1624329029.4839475</v>
      </c>
      <c r="CN77" s="51">
        <f>IF(ISNUMBER(tblData[Tests]),tblData[Tests]/$CN$9/100,"")</f>
        <v>1050.829207920792</v>
      </c>
      <c r="CO77" s="108">
        <f ca="1">IF(AND(tblData[[#This Row],[NSW Test Day Number]]&gt;0,ISNUMBER(tblData[[#This Row],[NSW Test Day Number]])),TestsLogestB*TestsLogestM^tblData[[#This Row],[NSW Test Day Number]],"")</f>
        <v>85126.39492682321</v>
      </c>
      <c r="CP77" s="106">
        <f>IF(AND(tblData[[#This Row],[NSW Test Day Number]]&gt;0,ISNUMBER(tblData[Tests])),(tblData[Tests]-tblData[[#This Row],[NSW Test Per Capita]])^2,"")</f>
        <v>7031857379.9103584</v>
      </c>
      <c r="CQ77" s="39">
        <f ca="1">IF(AND(tblData[Day '# NSW]&gt;0,ISNUMBER(tblData[[#This Row],[Day '# NSW]])),NSWLogestB*NSWLogestM^tblData[[#This Row],[Day '# NSW]]/$CR$9,"")</f>
        <v>840.58855545505355</v>
      </c>
      <c r="CR77" s="39">
        <f ca="1">IF(AND(ISNUMBER(tblData[NSW]),tblData[Date]&gt;StartDt2NSW),(tblData[NSW]/$CR$9-tblData[[#This Row],[NSW Cases LogEst]])^2,"")</f>
        <v>1347106.2597626557</v>
      </c>
      <c r="CS77" s="108"/>
      <c r="CT77" s="51"/>
      <c r="CV77"/>
      <c r="CW77" s="25"/>
      <c r="CX77"/>
      <c r="CY77" s="25"/>
      <c r="CZ77"/>
      <c r="DA77"/>
      <c r="DB77"/>
      <c r="DC77"/>
      <c r="DD77"/>
      <c r="DE77"/>
      <c r="DF77" s="25"/>
      <c r="DG77" s="25"/>
      <c r="DH77"/>
      <c r="DI77"/>
      <c r="DJ77"/>
      <c r="DK77"/>
      <c r="DL77" s="25"/>
      <c r="DM77"/>
      <c r="DN77"/>
      <c r="DO77"/>
      <c r="DP77"/>
      <c r="DQ77"/>
      <c r="DR77"/>
      <c r="DS77"/>
      <c r="DT77"/>
      <c r="DU77"/>
      <c r="DV77"/>
      <c r="DW77" s="25"/>
      <c r="DX77" s="25"/>
      <c r="DY77"/>
      <c r="DZ77"/>
      <c r="EA77"/>
      <c r="EB77" s="25"/>
      <c r="EC77" s="25"/>
      <c r="ED77" s="25"/>
      <c r="EE77" s="25"/>
      <c r="EF77"/>
      <c r="EG77"/>
      <c r="EH77"/>
      <c r="EI77"/>
      <c r="EJ77"/>
      <c r="EK77"/>
      <c r="EL77"/>
      <c r="EM77"/>
      <c r="EO77" s="25"/>
      <c r="EP77" s="25"/>
      <c r="EQ77" s="25"/>
      <c r="ER77" s="25"/>
      <c r="ES77" s="69"/>
      <c r="ET77" s="26"/>
      <c r="EU77" s="26" t="s">
        <v>58</v>
      </c>
      <c r="EV77" s="69">
        <v>43916.338229166664</v>
      </c>
      <c r="EW77" s="26">
        <v>43860</v>
      </c>
      <c r="EX77" s="26">
        <v>43860</v>
      </c>
      <c r="EY77" s="25">
        <v>2</v>
      </c>
      <c r="EZ77" s="25">
        <v>0.25752779680433807</v>
      </c>
      <c r="FA77" s="25">
        <v>3.3859219411555139E-6</v>
      </c>
      <c r="FB77" s="21">
        <v>0.44235943793467725</v>
      </c>
      <c r="FC77" s="82">
        <v>76058.397470454249</v>
      </c>
      <c r="FD77" s="82">
        <v>2581.4033034715762</v>
      </c>
      <c r="FE77" s="83">
        <v>0.5821652640942182</v>
      </c>
      <c r="FF77" s="84">
        <v>3.3859219411555138E-3</v>
      </c>
      <c r="FG77" s="26">
        <v>43915</v>
      </c>
      <c r="FH77" s="25" t="s">
        <v>1529</v>
      </c>
      <c r="FI77" s="84">
        <v>76058.397470454249</v>
      </c>
      <c r="FJ77" s="84">
        <v>74386</v>
      </c>
      <c r="FK77" s="25" t="s">
        <v>1530</v>
      </c>
      <c r="FL77" s="26">
        <v>43915</v>
      </c>
      <c r="FM77" s="25">
        <v>56</v>
      </c>
      <c r="FN77" s="25" t="s">
        <v>1531</v>
      </c>
      <c r="FO77" s="25"/>
      <c r="FP77" t="s">
        <v>1532</v>
      </c>
      <c r="FQ77"/>
      <c r="FR77" s="72" t="s">
        <v>1533</v>
      </c>
      <c r="FS77" s="19">
        <v>12305.376344086022</v>
      </c>
      <c r="FT77" s="72">
        <v>43899</v>
      </c>
      <c r="FU77" s="25">
        <v>16</v>
      </c>
      <c r="FV77" s="142">
        <v>43897</v>
      </c>
      <c r="FW77">
        <v>19</v>
      </c>
      <c r="FX77"/>
      <c r="FY77" s="25"/>
      <c r="FZ77" s="25"/>
      <c r="GA77"/>
      <c r="GB77"/>
      <c r="GC77"/>
      <c r="GD77"/>
      <c r="GE77"/>
      <c r="GF77"/>
      <c r="GG77"/>
      <c r="GH77"/>
      <c r="GI77"/>
      <c r="GJ77"/>
      <c r="GK77"/>
      <c r="GL77"/>
      <c r="GM77"/>
      <c r="GN77"/>
      <c r="GO77"/>
      <c r="GP77"/>
      <c r="GQ77"/>
      <c r="GR77"/>
      <c r="GS77"/>
      <c r="GT77"/>
      <c r="GU77"/>
      <c r="GV77"/>
      <c r="GW77"/>
      <c r="GX77"/>
      <c r="GY77"/>
      <c r="GZ77"/>
      <c r="HA77"/>
      <c r="HB77"/>
      <c r="HC77"/>
      <c r="HD77"/>
      <c r="HE77"/>
      <c r="HF77"/>
      <c r="HG77"/>
      <c r="HH77"/>
    </row>
    <row r="78" spans="2:216" x14ac:dyDescent="0.25">
      <c r="B78" s="1">
        <f t="shared" si="3"/>
        <v>43919</v>
      </c>
      <c r="D78" s="25">
        <v>77</v>
      </c>
      <c r="E78">
        <v>1791</v>
      </c>
      <c r="F78">
        <v>15</v>
      </c>
      <c r="G78">
        <v>656</v>
      </c>
      <c r="H78">
        <v>299</v>
      </c>
      <c r="I78">
        <v>66</v>
      </c>
      <c r="J78">
        <v>769</v>
      </c>
      <c r="K78">
        <v>311</v>
      </c>
      <c r="L78" s="12">
        <f>IF(ISNUMBER(tblData[[#This Row],[NSW]]),tblData[[#This Row],[New South Wales]]/$L$9,"")</f>
        <v>2216.5841584158416</v>
      </c>
      <c r="M78" s="25">
        <v>97689</v>
      </c>
      <c r="N78" s="106">
        <f>IF(ISNUMBER(tblData[Italy]),tblData[Italy]/$N$9,"")</f>
        <v>16150.946515665042</v>
      </c>
      <c r="O78" s="25">
        <v>140886</v>
      </c>
      <c r="P78" s="106">
        <f>IF(ISNUMBER(tblData[US]),tblData[US]/$P$9,"")</f>
        <v>4279.2869590037535</v>
      </c>
      <c r="Q78" s="11">
        <v>9583</v>
      </c>
      <c r="R78" s="19">
        <f>IF(ISNUMBER(tblData[SKorea]),tblData[SKorea]/$R$9,"")</f>
        <v>1864.3968871595332</v>
      </c>
      <c r="S78">
        <v>19780</v>
      </c>
      <c r="T78" s="12">
        <f>IF(ISNUMBER(tblData[UK]),tblData[UK]/$T$9,"")</f>
        <v>2977.1222155328114</v>
      </c>
      <c r="U78">
        <v>82122</v>
      </c>
      <c r="V78" s="20">
        <f>IF(ISNUMBER(tblData[China]),tblData[China]/$V$9,"")</f>
        <v>570.55960145551023</v>
      </c>
      <c r="W78" s="20">
        <v>844</v>
      </c>
      <c r="X78" s="20">
        <f>IF(ISNUMBER(tblData[Singapore]),tblData[Singapore]/$X$9,"")</f>
        <v>1442.7350427350427</v>
      </c>
      <c r="Y78">
        <v>514</v>
      </c>
      <c r="Z78" s="20">
        <f>IF(AND(LEN(tblData[Generic])&gt;0,ISNUMBER(tblData[Generic])),tblData[Generic]/$Z$9,"")</f>
        <v>982.79158699808795</v>
      </c>
      <c r="AA78" s="25">
        <f ca="1">IF(tblData[[#This Row],[Date]]&lt;StartDt2Italy,"",tblData[[#This Row],[Date]]-ItalyStart)</f>
        <v>59</v>
      </c>
      <c r="AB78" s="25">
        <f ca="1">IF(tblData[[#This Row],[Date]]&lt;=StartDt2US,"",tblData[[#This Row],[Date]]-USStart)</f>
        <v>67</v>
      </c>
      <c r="AC78" s="25">
        <f ca="1">IF(tblData[[#This Row],[Date]]&lt;StartDt2China,"",tblData[[#This Row],[Date]]-ChinaStart)</f>
        <v>67</v>
      </c>
      <c r="AD78" s="25">
        <f>IF(tblData[[#This Row],[Date]]&lt;=SKoreaStart,"",tblData[[#This Row],[Date]]-SKoreaStart)</f>
        <v>67</v>
      </c>
      <c r="AE78" s="25">
        <f ca="1">IF(tblData[[#This Row],[Date]]&lt;=StartDt2UK,"",tblData[[#This Row],[Date]]-UKStart)</f>
        <v>59</v>
      </c>
      <c r="AF78" s="25">
        <f>IF(tblData[[#This Row],[Date]]&lt;StartDt2Singapore,"",tblData[[#This Row],[Date]]-SingaporeStart)</f>
        <v>66</v>
      </c>
      <c r="AG78" s="25">
        <f ca="1">IF(tblData[[#This Row],[Date]]&lt;StartDt2Generic,"",tblData[[#This Row],[Date]]-GenericStart)</f>
        <v>67</v>
      </c>
      <c r="AH78">
        <f ca="1">IF(tblData[Date]&gt;StartDt2Au,tblData[Date]-AuStart,"")</f>
        <v>64</v>
      </c>
      <c r="AI78" s="25">
        <f>IF(tblData[New South Wales]&gt;=0,SUM(tblData[[#This Row],[Australian Capital Territory]:[Western Australia]]),"")</f>
        <v>3984</v>
      </c>
      <c r="AJ78" s="12">
        <f>IF(ISNUMBER(tblData[Au]),tblData[Au]/$AE$9,"")</f>
        <v>1570.7301687431004</v>
      </c>
      <c r="AK78" s="19">
        <f ca="1">IF(ISNUMBER(tblData[[#This Row],[Day'# Aust]]),betaAu/(deltaAu+betaPodeltaAu*EXP(-betaAu*tblData[[#This Row],[Day'# Aust]])),"")</f>
        <v>3933.6795318494055</v>
      </c>
      <c r="AL78" s="62">
        <f ca="1">IF(ISNUMBER(tblData[Day'# Aust]),tblData[Au LogiP(t)]/$AJ$9,"")</f>
        <v>1550.8908420790906</v>
      </c>
      <c r="AM78" s="11">
        <f ca="1">IF(AND(tblData[Date]&gt;StartDt2Au,ISNUMBER(tblData[NSW])),(tblData[[#This Row],[Au LogiP(t)]]-tblData[[#This Row],[Au]])^2,"")</f>
        <v>2532.1495148949934</v>
      </c>
      <c r="AN78" s="11">
        <f ca="1">IF(AND(ISNUMBER(tblData[Au]),tblData[Date]&gt;StartDt2Au),(tblData[Au]-AVERAGE(tblData[Au]))^2,"")</f>
        <v>12536161.568879439</v>
      </c>
      <c r="AO78" s="11">
        <f>tblData[[#This Row],[Date]]-Au100dt</f>
        <v>15</v>
      </c>
      <c r="AP78">
        <f ca="1">IF(tblData[Date]&gt;StartDt2NSW,tblData[Date]-StartDt2NSW,"")</f>
        <v>64</v>
      </c>
      <c r="AQ78" s="25">
        <f>IF(tblData[[#This Row],[New South Wales]]&gt;0,tblData[[#This Row],[New South Wales]],"")</f>
        <v>1791</v>
      </c>
      <c r="AR78" s="11">
        <f ca="1">IF(tblData[Date]&gt;StartDt2NSW,betaNSW/(deltaNSW+betaPodeltaNSW*EXP(-betaNSW*tblData[[#This Row],[Day '# NSW]])),"")</f>
        <v>1727.1385866648502</v>
      </c>
      <c r="AS78" s="12">
        <f ca="1">IF(AND(ISNUMBER(tblData[NSW]),tblData[Date]&gt;StartDt2NSW),(tblData[[#This Row],[NSW LogiP(t)]]-tblData[[#This Row],[NSW]])^2,"")</f>
        <v>4078.2801131628476</v>
      </c>
      <c r="AT78" s="12">
        <f ca="1">IF(AND(tblData[Date]&gt;StartDt2NSW,ISNUMBER(tblData[Day'# Aust])),tblData[NSW LogiP(t)]/$AR$9,"")</f>
        <v>2137.5477557733293</v>
      </c>
      <c r="AU78" s="11">
        <f>tblData[[#This Row],[Date]]-NSW100dt+1</f>
        <v>19</v>
      </c>
      <c r="AV78" s="11">
        <f ca="1">IF(AND(ISNUMBER(tblData[NSW]),tblData[Date]&gt;StartDt2NSW),(tblData[NSW]-AVERAGE(tblData[NSW]))^2,"")</f>
        <v>2241573.1224532663</v>
      </c>
      <c r="AW78" s="39">
        <f ca="1">IF(AND(tblData[Date]&gt;StartDt2Italy,ISNUMBER(tblData[Days'# Italy])),betaItaly/(deltaItaly+betaPodeltaItaly*EXP(-betaItaly*tblData[Days'# Italy])),"")</f>
        <v>91912.921571172192</v>
      </c>
      <c r="AX78" s="11">
        <f ca="1">IF(AND(tblData[Date]&gt;StartDt2Italy,ISNUMBER(tblData[Italy])),(tblData[[#This Row],[Italy LogiP(t)]]-tblData[[#This Row],[Italy]])^2,"")</f>
        <v>33363082.015969921</v>
      </c>
      <c r="AY78" s="39">
        <f ca="1">IF(AND(tblData[Date]&gt;StartDt2Italy,ISNUMBER(tblData[Days'# Italy])),tblData[[#This Row],[Italy LogiP(t)]]/$AW$9,"")</f>
        <v>15195.986041361031</v>
      </c>
      <c r="AZ78" s="39">
        <f ca="1">IF(AND(ISNUMBER(tblData[Italy]),tblData[Date]&gt;StartDt2Italy),(tblData[Italy]-AVERAGE(tblData[Italy]))^2,"")</f>
        <v>5884458193.3827152</v>
      </c>
      <c r="BA78" s="11">
        <f>tblData[[#This Row],[Date]]-Italy100dt+1</f>
        <v>32</v>
      </c>
      <c r="BB78" s="11">
        <f ca="1">IF(AND(tblData[Date]&gt;StartDt2US,ISNUMBER(tblData[[#This Row],[Days'# US]])),betaUS/(deltaUS+betaPodeltaUS*EXP(-betaUS*tblData[Days'# US])),"")</f>
        <v>140600.36547801865</v>
      </c>
      <c r="BC78" s="11">
        <f ca="1">IF(AND(tblData[Date]&gt;StartDt2US,ISNUMBER(tblData[US])),(tblData[[#This Row],[US LogiP(t)]]-tblData[US])^2,"")</f>
        <v>81587.080147515459</v>
      </c>
      <c r="BD78" s="137">
        <f ca="1">IF(AND(tblData[Date]&gt;=StartDt2US,ISNUMBER(tblData[[#This Row],[Days'# US]])),tblData[[#This Row],[US LogiP(t)]]/$BB$9,"")</f>
        <v>4270.6110644155324</v>
      </c>
      <c r="BE78" s="137">
        <f ca="1">IF(AND(ISNUMBER(tblData[US]),tblData[Date]&gt;StartDt2US),(tblData[US]-AVERAGE(tblData[US]))^2,"")</f>
        <v>15023736358.729618</v>
      </c>
      <c r="BF78" s="11">
        <f>tblData[[#This Row],[Date]]-US100dt+1</f>
        <v>16</v>
      </c>
      <c r="BG78" s="20">
        <f ca="1">IF(tblData[Date]&gt;StartDt2SKorea,betaSKorea/(deltaSKorea+betaPodeltaSKorea*EXP(-betaSKorea*(tblData[Date]-StartDt2SKorea))),"")</f>
        <v>9028.0068609830832</v>
      </c>
      <c r="BH78" s="20">
        <f ca="1">IF(AND(tblData[Date]&gt;StartDt2SKorea,ISNUMBER(tblData[SKorea])),(tblData[[#This Row],[SKorea LogiP(t)]]-tblData[[#This Row],[SKorea]])^2,"")</f>
        <v>308017.38435585069</v>
      </c>
      <c r="BI78" s="20">
        <f ca="1">IF(tblData[Date]&gt;StartDt2SKorea,tblData[[#This Row],[SKorea LogiP(t)]]/$BG$9,"")</f>
        <v>1756.4215682846466</v>
      </c>
      <c r="BJ78" s="137">
        <f ca="1">IF(AND(ISNUMBER(tblData[SKorea]),tblData[Date]&gt;StartDt2SKorea),(tblData[SKorea]-AVERAGE(tblData[SKorea]))^2,"")</f>
        <v>33905852.762547113</v>
      </c>
      <c r="BK78" s="11">
        <f>tblData[[#This Row],[Date]]-SKorea100dt+1</f>
        <v>37</v>
      </c>
      <c r="BL78" s="137">
        <f ca="1">IF(AND(tblData[Date]&gt;StartDt2UK,ISNUMBER(tblData[Days'# UK])),betaUK/(deltaUK+betaPodeltaUK*EXP(-betaUK*tblData[Days'# UK])),"")</f>
        <v>19424.164336120593</v>
      </c>
      <c r="BM78" s="20">
        <f ca="1">IF(AND(tblData[Date]&gt;StartDt2UK,ISNUMBER(tblData[UK])),(tblData[[#This Row],[UK LogiP(t)]]-tblData[[#This Row],[UK]])^2,"")</f>
        <v>126619.01968849805</v>
      </c>
      <c r="BN78" s="20">
        <f ca="1">IF(ISNUMBER(tblData[Days'# UK]),tblData[[#This Row],[UK LogiP(t)]]/$BL$9,"")</f>
        <v>2923.5647706382592</v>
      </c>
      <c r="BO78" s="137">
        <f ca="1">IF(AND(ISNUMBER(tblData[UK]),tblData[Date]&gt;StartDt2UK),(tblData[UK]-AVERAGE(tblData[UK]))^2,"")</f>
        <v>278060389.30612248</v>
      </c>
      <c r="BP78" s="11">
        <f>tblData[[#This Row],[Date]]-UK100dt</f>
        <v>17</v>
      </c>
      <c r="BQ78" s="11">
        <f ca="1">IF(ISNUMBER(tblData[Days'# China]),betaChina/(deltaChina+betaPodeltaChina*EXP(-betaChina*tblData[Days'# China])),"")</f>
        <v>81222.402312902079</v>
      </c>
      <c r="BR78" s="11">
        <f ca="1">IF(ISNUMBER(tblData[China]),(tblData[[#This Row],[China LogiP(t)]]-tblData[[#This Row],[China]])^2,"")</f>
        <v>809275.99863192928</v>
      </c>
      <c r="BS78" s="11">
        <f ca="1">tblData[[#This Row],[China LogiP(t)]]/$BQ$9</f>
        <v>564.30946022878788</v>
      </c>
      <c r="BT78" s="137">
        <f ca="1">IF(AND(ISNUMBER(tblData[China]),tblData[Date]&gt;StartDt2China),(tblData[China]-AVERAGE(tblData[China]))^2,"")</f>
        <v>483693907.56516558</v>
      </c>
      <c r="BU78" s="11">
        <f>tblData[[#This Row],[Date]]-China100dt</f>
        <v>67</v>
      </c>
      <c r="BV78" s="106">
        <f>IF(ISNUMBER(tblData[Day'# Singapore]),betaSingapore/(deltaSingapore+betaPodeltaSingapore*EXP(-betaSingapore*tblData[Day'# Singapore])),"")</f>
        <v>815.94436851178773</v>
      </c>
      <c r="BW78" s="11">
        <f>IF(AND(ISNUMBER(tblData[Singapore]),tblData[Date]&gt;=StartDt2Singapore),(tblData[[#This Row],[Singapore LogiP(t)]]-tblData[[#This Row],[Singapore]])^2,"")</f>
        <v>787.11845820236783</v>
      </c>
      <c r="BX78" s="106">
        <f>IF(ISNUMBER(tblData[Day'# Singapore]),tblData[Singapore LogiP(t)]/$BV$9,"")</f>
        <v>1394.7766983107483</v>
      </c>
      <c r="BY78" s="106">
        <f>IF(AND(ISNUMBER(tblData[Singapore]),tblData[Date]&gt;StartDt2Singapore),(tblData[Singapore]-AVERAGE(tblData[Singapore]))^2,"")</f>
        <v>416115.85002975602</v>
      </c>
      <c r="BZ78" s="11">
        <f>tblData[[#This Row],[Date]]-Singapore100dt+1</f>
        <v>48</v>
      </c>
      <c r="CA78" s="11">
        <f ca="1">IF(AND(tblData[Date]&gt;StartDt2Generic,ISNUMBER(tblData[Day'# Generic])),betaGeneric/(deltaGeneric+betaPodeltaGeneric*EXP(-betaGeneric*tblData[Day'# Generic])),"")</f>
        <v>465.20516871884888</v>
      </c>
      <c r="CB78" s="106">
        <f ca="1">IF(AND(ISNUMBER(tblData[Generic]),tblData[Date]&gt;StartDt2Generic),(tblData[Generic LogiP(t)]-tblData[[#This Row],[Generic]])^2,"")</f>
        <v>2380.9355597560038</v>
      </c>
      <c r="CC78" s="11">
        <f ca="1">IF(AND(ISNUMBER(tblData[Generic]),tblData[Date]&gt;StartDt2Generic),tblData[Generic LogiP(t)]/$CA$9,"")</f>
        <v>889.49363043756955</v>
      </c>
      <c r="CD78" s="106">
        <f ca="1">IF(AND(ISNUMBER(tblData[Generic]),tblData[Date]&gt;StartDt2Generic),(tblData[Generic]-AVERAGE(tblData[Generic]))^2,"")</f>
        <v>151944.04</v>
      </c>
      <c r="CE78" s="11">
        <f>tblData[[#This Row],[Date]]-Generic100dt+1</f>
        <v>9</v>
      </c>
      <c r="CF78" s="141">
        <v>91308</v>
      </c>
      <c r="CG78" s="11"/>
      <c r="CH78" s="11">
        <f>IF(ISNUMBER(tblData[[#This Row],[Tests]]),tblData[[#This Row],[Tests]]-CF77,"")</f>
        <v>6401</v>
      </c>
      <c r="CI78" s="11" t="str">
        <f>IF(ISNUMBER(tblData[[#This Row],[NSW Under Investigation'']]),tblData[[#This Row],[NSW Under Investigation'']]-CG77,"")</f>
        <v/>
      </c>
      <c r="CJ78" s="11">
        <f>IF(tblData[[#This Row],[Date]]&gt;myData!TestsStart,tblData[[#This Row],[Date]]-myData!TestsStart,"")</f>
        <v>24</v>
      </c>
      <c r="CK78" s="11">
        <f>IF(AND(tblData[[#This Row],[NSW Test Day Number]]&gt;0,ISNUMBER(tblData[[#This Row],[NSW Test Day Number]])),betaTests/(deltaTests+betaPodeltaTests*EXP(-betaTests*tblData[[#This Row],[NSW Test Day Number]])),"")</f>
        <v>89745.618376159706</v>
      </c>
      <c r="CL78" s="11">
        <f>IF(tblData[Tests]&gt;0,(tblData[[#This Row],[Tests]]-tblData[[#This Row],[NSW Test Logi]])^2,"")</f>
        <v>2441036.3385138344</v>
      </c>
      <c r="CM78" s="106">
        <f>IF(AND(ISNUMBER(tblData[Tests]),tblData[Date]&gt;StartDt2Tests),(tblData[Tests]-AVERAGE(tblData[Tests]))^2,"")</f>
        <v>2181260395.0356717</v>
      </c>
      <c r="CN78" s="11">
        <f>IF(ISNUMBER(tblData[Tests]),tblData[Tests]/$CN$9/100,"")</f>
        <v>1130.049504950495</v>
      </c>
      <c r="CO78" s="106">
        <f ca="1">IF(AND(tblData[[#This Row],[NSW Test Day Number]]&gt;0,ISNUMBER(tblData[[#This Row],[NSW Test Day Number]])),TestsLogestB*TestsLogestM^tblData[[#This Row],[NSW Test Day Number]],"")</f>
        <v>95515.189128219004</v>
      </c>
      <c r="CP78" s="106">
        <f>IF(AND(tblData[[#This Row],[NSW Test Day Number]]&gt;0,ISNUMBER(tblData[Tests])),(tblData[Tests]-tblData[[#This Row],[NSW Test Per Capita]])^2,"")</f>
        <v>8132062755.4875984</v>
      </c>
      <c r="CQ78" s="39">
        <f ca="1">IF(AND(tblData[Day '# NSW]&gt;0,ISNUMBER(tblData[[#This Row],[Day '# NSW]])),NSWLogestB*NSWLogestM^tblData[[#This Row],[Day '# NSW]]/$CR$9,"")</f>
        <v>935.52367997670399</v>
      </c>
      <c r="CR78" s="39">
        <f ca="1">IF(AND(ISNUMBER(tblData[NSW]),tblData[Date]&gt;StartDt2NSW),(tblData[NSW]/$CR$9-tblData[[#This Row],[NSW Cases LogEst]])^2,"")</f>
        <v>1641115.9494187119</v>
      </c>
      <c r="CS78" s="106"/>
      <c r="CT78" s="11"/>
      <c r="CW78" s="25"/>
      <c r="CX78"/>
      <c r="DL78" s="25"/>
      <c r="DR78"/>
      <c r="DS78"/>
      <c r="DT78"/>
      <c r="DU78"/>
      <c r="DW78" s="25"/>
      <c r="DX78" s="25"/>
      <c r="EB78" s="25"/>
      <c r="EC78" s="25"/>
      <c r="ED78" s="25"/>
      <c r="EE78" s="25"/>
      <c r="EK78"/>
      <c r="EL78"/>
      <c r="EM78"/>
      <c r="EN78"/>
      <c r="EO78"/>
      <c r="EP78"/>
      <c r="EQ78"/>
      <c r="ER78"/>
      <c r="ES78" s="69"/>
      <c r="EU78" s="25" t="s">
        <v>58</v>
      </c>
      <c r="EV78" s="69">
        <v>43916.504236111112</v>
      </c>
      <c r="EW78" s="26">
        <v>43860</v>
      </c>
      <c r="EX78" s="26">
        <v>43889</v>
      </c>
      <c r="EY78" s="25">
        <v>2</v>
      </c>
      <c r="EZ78" s="25">
        <v>0.25752779680433807</v>
      </c>
      <c r="FA78" s="25">
        <v>3.3859219411555139E-6</v>
      </c>
      <c r="FB78" s="21">
        <v>0.44235943793467725</v>
      </c>
      <c r="FC78" s="82">
        <v>76058.397470454249</v>
      </c>
      <c r="FD78" s="82">
        <v>3754.1329461284749</v>
      </c>
      <c r="FE78" s="83">
        <v>0.5821652640942182</v>
      </c>
      <c r="FF78" s="84">
        <v>3.3859219411555138E-3</v>
      </c>
      <c r="FG78" s="26">
        <v>43915</v>
      </c>
      <c r="FH78" s="25" t="s">
        <v>1529</v>
      </c>
      <c r="FI78" s="84">
        <v>76058.397470454249</v>
      </c>
      <c r="FJ78" s="84">
        <v>74386</v>
      </c>
      <c r="FK78" s="25" t="s">
        <v>1530</v>
      </c>
      <c r="FL78" s="26">
        <v>43915</v>
      </c>
      <c r="FM78" s="25">
        <v>56</v>
      </c>
      <c r="FN78" s="25" t="s">
        <v>1531</v>
      </c>
      <c r="FO78" s="25"/>
      <c r="FP78" s="25" t="s">
        <v>1532</v>
      </c>
      <c r="FR78" s="25" t="s">
        <v>1533</v>
      </c>
      <c r="FS78" s="19">
        <v>12305.376344086022</v>
      </c>
      <c r="FT78" s="72">
        <v>43899</v>
      </c>
      <c r="FU78" s="25">
        <v>17</v>
      </c>
      <c r="FV78" s="142">
        <v>43898</v>
      </c>
      <c r="FW78" s="25">
        <v>18</v>
      </c>
      <c r="FY78" s="25"/>
      <c r="FZ78" s="25"/>
    </row>
    <row r="79" spans="2:216" x14ac:dyDescent="0.25">
      <c r="B79" s="1">
        <f t="shared" si="3"/>
        <v>43920</v>
      </c>
      <c r="D79" s="25">
        <v>78</v>
      </c>
      <c r="E79">
        <v>1918</v>
      </c>
      <c r="F79">
        <v>15</v>
      </c>
      <c r="G79">
        <v>689</v>
      </c>
      <c r="H79">
        <v>305</v>
      </c>
      <c r="I79">
        <v>69</v>
      </c>
      <c r="J79">
        <v>821</v>
      </c>
      <c r="K79">
        <v>355</v>
      </c>
      <c r="L79" s="12">
        <f>IF(ISNUMBER(tblData[[#This Row],[NSW]]),tblData[[#This Row],[New South Wales]]/$L$9,"")</f>
        <v>2373.7623762376238</v>
      </c>
      <c r="M79" s="25">
        <v>101739</v>
      </c>
      <c r="N79" s="106">
        <f>IF(ISNUMBER(tblData[Italy]),tblData[Italy]/$N$9,"")</f>
        <v>16820.534016698355</v>
      </c>
      <c r="O79" s="25">
        <v>161807</v>
      </c>
      <c r="P79" s="106">
        <f>IF(ISNUMBER(tblData[US]),tblData[US]/$P$9,"")</f>
        <v>4914.7437287986058</v>
      </c>
      <c r="Q79" s="11">
        <v>9661</v>
      </c>
      <c r="R79" s="19">
        <f>IF(ISNUMBER(tblData[SKorea]),tblData[SKorea]/$R$9,"")</f>
        <v>1879.5719844357977</v>
      </c>
      <c r="S79">
        <v>22453</v>
      </c>
      <c r="T79" s="12">
        <f>IF(ISNUMBER(tblData[UK]),tblData[UK]/$T$9,"")</f>
        <v>3379.4400963275134</v>
      </c>
      <c r="U79">
        <v>82198</v>
      </c>
      <c r="V79" s="20">
        <f>IF(ISNUMBER(tblData[China]),tblData[China]/$V$9,"")</f>
        <v>571.08762719417484</v>
      </c>
      <c r="W79" s="20">
        <v>879</v>
      </c>
      <c r="X79" s="20">
        <f>IF(ISNUMBER(tblData[Singapore]),tblData[Singapore]/$X$9,"")</f>
        <v>1502.5641025641028</v>
      </c>
      <c r="Y79">
        <v>589</v>
      </c>
      <c r="Z79" s="20">
        <f>IF(AND(LEN(tblData[Generic])&gt;0,ISNUMBER(tblData[Generic])),tblData[Generic]/$Z$9,"")</f>
        <v>1126.1950286806882</v>
      </c>
      <c r="AA79" s="25">
        <f ca="1">IF(tblData[[#This Row],[Date]]&lt;StartDt2Italy,"",tblData[[#This Row],[Date]]-ItalyStart)</f>
        <v>60</v>
      </c>
      <c r="AB79" s="25">
        <f ca="1">IF(tblData[[#This Row],[Date]]&lt;=StartDt2US,"",tblData[[#This Row],[Date]]-USStart)</f>
        <v>68</v>
      </c>
      <c r="AC79" s="25">
        <f ca="1">IF(tblData[[#This Row],[Date]]&lt;StartDt2China,"",tblData[[#This Row],[Date]]-ChinaStart)</f>
        <v>68</v>
      </c>
      <c r="AD79" s="25">
        <f>IF(tblData[[#This Row],[Date]]&lt;=SKoreaStart,"",tblData[[#This Row],[Date]]-SKoreaStart)</f>
        <v>68</v>
      </c>
      <c r="AE79" s="25">
        <f ca="1">IF(tblData[[#This Row],[Date]]&lt;=StartDt2UK,"",tblData[[#This Row],[Date]]-UKStart)</f>
        <v>60</v>
      </c>
      <c r="AF79" s="25">
        <f>IF(tblData[[#This Row],[Date]]&lt;StartDt2Singapore,"",tblData[[#This Row],[Date]]-SingaporeStart)</f>
        <v>67</v>
      </c>
      <c r="AG79" s="25">
        <f ca="1">IF(tblData[[#This Row],[Date]]&lt;StartDt2Generic,"",tblData[[#This Row],[Date]]-GenericStart)</f>
        <v>68</v>
      </c>
      <c r="AH79">
        <f ca="1">IF(tblData[Date]&gt;StartDt2Au,tblData[Date]-AuStart,"")</f>
        <v>65</v>
      </c>
      <c r="AI79" s="25">
        <f>IF(tblData[New South Wales]&gt;=0,SUM(tblData[[#This Row],[Australian Capital Territory]:[Western Australia]]),"")</f>
        <v>4250</v>
      </c>
      <c r="AJ79" s="12">
        <f>IF(ISNUMBER(tblData[Au]),tblData[Au]/$AE$9,"")</f>
        <v>1675.6032171581769</v>
      </c>
      <c r="AK79" s="19">
        <f ca="1">IF(ISNUMBER(tblData[[#This Row],[Day'# Aust]]),betaAu/(deltaAu+betaPodeltaAu*EXP(-betaAu*tblData[[#This Row],[Day'# Aust]])),"")</f>
        <v>4281.6273752811121</v>
      </c>
      <c r="AL79" s="62">
        <f ca="1">IF(ISNUMBER(tblData[Day'# Aust]),tblData[Au LogiP(t)]/$AJ$9,"")</f>
        <v>1688.0726128690712</v>
      </c>
      <c r="AM79" s="11">
        <f ca="1">IF(AND(tblData[Date]&gt;StartDt2Au,ISNUMBER(tblData[NSW])),(tblData[[#This Row],[Au LogiP(t)]]-tblData[[#This Row],[Au]])^2,"")</f>
        <v>1000.2908671723012</v>
      </c>
      <c r="AN79" s="11">
        <f ca="1">IF(AND(ISNUMBER(tblData[Au]),tblData[Date]&gt;StartDt2Au),(tblData[Au]-AVERAGE(tblData[Au]))^2,"")</f>
        <v>14490540.29964867</v>
      </c>
      <c r="AO79" s="11">
        <f>tblData[[#This Row],[Date]]-Au100dt</f>
        <v>16</v>
      </c>
      <c r="AP79">
        <f ca="1">IF(tblData[Date]&gt;StartDt2NSW,tblData[Date]-StartDt2NSW,"")</f>
        <v>65</v>
      </c>
      <c r="AQ79" s="25">
        <f>IF(tblData[[#This Row],[New South Wales]]&gt;0,tblData[[#This Row],[New South Wales]],"")</f>
        <v>1918</v>
      </c>
      <c r="AR79" s="11">
        <f ca="1">IF(tblData[Date]&gt;StartDt2NSW,betaNSW/(deltaNSW+betaPodeltaNSW*EXP(-betaNSW*tblData[[#This Row],[Day '# NSW]])),"")</f>
        <v>1897.5511227081008</v>
      </c>
      <c r="AS79" s="12">
        <f ca="1">IF(AND(ISNUMBER(tblData[NSW]),tblData[Date]&gt;StartDt2NSW),(tblData[[#This Row],[NSW LogiP(t)]]-tblData[[#This Row],[NSW]])^2,"")</f>
        <v>418.15658249914992</v>
      </c>
      <c r="AT79" s="12">
        <f ca="1">IF(AND(tblData[Date]&gt;StartDt2NSW,ISNUMBER(tblData[Day'# Aust])),tblData[NSW LogiP(t)]/$AR$9,"")</f>
        <v>2348.4543597872535</v>
      </c>
      <c r="AU79" s="11">
        <f>tblData[[#This Row],[Date]]-NSW100dt+1</f>
        <v>20</v>
      </c>
      <c r="AV79" s="11">
        <f ca="1">IF(AND(ISNUMBER(tblData[NSW]),tblData[Date]&gt;StartDt2NSW),(tblData[NSW]-AVERAGE(tblData[NSW]))^2,"")</f>
        <v>2637987.9775257302</v>
      </c>
      <c r="AW79" s="39">
        <f ca="1">IF(AND(tblData[Date]&gt;StartDt2Italy,ISNUMBER(tblData[Days'# Italy])),betaItaly/(deltaItaly+betaPodeltaItaly*EXP(-betaItaly*tblData[Days'# Italy])),"")</f>
        <v>93073.128357318026</v>
      </c>
      <c r="AX79" s="11">
        <f ca="1">IF(AND(tblData[Date]&gt;StartDt2Italy,ISNUMBER(tblData[Italy])),(tblData[[#This Row],[Italy LogiP(t)]]-tblData[[#This Row],[Italy]])^2,"")</f>
        <v>75097331.327439576</v>
      </c>
      <c r="AY79" s="39">
        <f ca="1">IF(AND(tblData[Date]&gt;StartDt2Italy,ISNUMBER(tblData[Days'# Italy])),tblData[[#This Row],[Italy LogiP(t)]]/$AW$9,"")</f>
        <v>15387.803316081347</v>
      </c>
      <c r="AZ79" s="39">
        <f ca="1">IF(AND(ISNUMBER(tblData[Italy]),tblData[Date]&gt;StartDt2Italy),(tblData[Italy]-AVERAGE(tblData[Italy]))^2,"")</f>
        <v>6522213493.3827152</v>
      </c>
      <c r="BA79" s="11">
        <f>tblData[[#This Row],[Date]]-Italy100dt+1</f>
        <v>33</v>
      </c>
      <c r="BB79" s="11">
        <f ca="1">IF(AND(tblData[Date]&gt;StartDt2US,ISNUMBER(tblData[[#This Row],[Days'# US]])),betaUS/(deltaUS+betaPodeltaUS*EXP(-betaUS*tblData[Days'# US])),"")</f>
        <v>174053.13300720201</v>
      </c>
      <c r="BC79" s="11">
        <f ca="1">IF(AND(tblData[Date]&gt;StartDt2US,ISNUMBER(tblData[US])),(tblData[[#This Row],[US LogiP(t)]]-tblData[US])^2,"")</f>
        <v>149967773.63008246</v>
      </c>
      <c r="BD79" s="137">
        <f ca="1">IF(AND(tblData[Date]&gt;=StartDt2US,ISNUMBER(tblData[[#This Row],[Days'# US]])),tblData[[#This Row],[US LogiP(t)]]/$BB$9,"")</f>
        <v>5286.7091283127156</v>
      </c>
      <c r="BE79" s="137">
        <f ca="1">IF(AND(ISNUMBER(tblData[US]),tblData[Date]&gt;StartDt2US),(tblData[US]-AVERAGE(tblData[US]))^2,"")</f>
        <v>20590055114.828205</v>
      </c>
      <c r="BF79" s="11">
        <f>tblData[[#This Row],[Date]]-US100dt+1</f>
        <v>17</v>
      </c>
      <c r="BG79" s="20">
        <f ca="1">IF(tblData[Date]&gt;StartDt2SKorea,betaSKorea/(deltaSKorea+betaPodeltaSKorea*EXP(-betaSKorea*(tblData[Date]-StartDt2SKorea))),"")</f>
        <v>9030.1507188898413</v>
      </c>
      <c r="BH79" s="20">
        <f ca="1">IF(AND(tblData[Date]&gt;StartDt2SKorea,ISNUMBER(tblData[SKorea])),(tblData[[#This Row],[SKorea LogiP(t)]]-tblData[[#This Row],[SKorea]])^2,"")</f>
        <v>397970.81547720404</v>
      </c>
      <c r="BI79" s="20">
        <f ca="1">IF(tblData[Date]&gt;StartDt2SKorea,tblData[[#This Row],[SKorea LogiP(t)]]/$BG$9,"")</f>
        <v>1756.8386612626152</v>
      </c>
      <c r="BJ79" s="137">
        <f ca="1">IF(AND(ISNUMBER(tblData[SKorea]),tblData[Date]&gt;StartDt2SKorea),(tblData[SKorea]-AVERAGE(tblData[SKorea]))^2,"")</f>
        <v>34820304.987899229</v>
      </c>
      <c r="BK79" s="11">
        <f>tblData[[#This Row],[Date]]-SKorea100dt+1</f>
        <v>38</v>
      </c>
      <c r="BL79" s="137">
        <f ca="1">IF(AND(tblData[Date]&gt;StartDt2UK,ISNUMBER(tblData[Days'# UK])),betaUK/(deltaUK+betaPodeltaUK*EXP(-betaUK*tblData[Days'# UK])),"")</f>
        <v>22645.840511165854</v>
      </c>
      <c r="BM79" s="20">
        <f ca="1">IF(AND(tblData[Date]&gt;StartDt2UK,ISNUMBER(tblData[UK])),(tblData[[#This Row],[UK LogiP(t)]]-tblData[[#This Row],[UK]])^2,"")</f>
        <v>37187.462746707846</v>
      </c>
      <c r="BN79" s="20">
        <f ca="1">IF(ISNUMBER(tblData[Days'# UK]),tblData[[#This Row],[UK LogiP(t)]]/$BL$9,"")</f>
        <v>3408.4648571893217</v>
      </c>
      <c r="BO79" s="137">
        <f ca="1">IF(AND(ISNUMBER(tblData[UK]),tblData[Date]&gt;StartDt2UK),(tblData[UK]-AVERAGE(tblData[UK]))^2,"")</f>
        <v>374350632.02040821</v>
      </c>
      <c r="BP79" s="11">
        <f>tblData[[#This Row],[Date]]-UK100dt</f>
        <v>18</v>
      </c>
      <c r="BQ79" s="11">
        <f ca="1">IF(ISNUMBER(tblData[Days'# China]),betaChina/(deltaChina+betaPodeltaChina*EXP(-betaChina*tblData[Days'# China])),"")</f>
        <v>81222.709272646214</v>
      </c>
      <c r="BR79" s="11">
        <f ca="1">IF(ISNUMBER(tblData[China]),(tblData[[#This Row],[China LogiP(t)]]-tblData[[#This Row],[China]])^2,"")</f>
        <v>951192.00286227651</v>
      </c>
      <c r="BS79" s="11">
        <f ca="1">tblData[[#This Row],[China LogiP(t)]]/$BQ$9</f>
        <v>564.31159289517791</v>
      </c>
      <c r="BT79" s="137">
        <f ca="1">IF(AND(ISNUMBER(tblData[China]),tblData[Date]&gt;StartDt2China),(tblData[China]-AVERAGE(tblData[China]))^2,"")</f>
        <v>487042625.98770082</v>
      </c>
      <c r="BU79" s="11">
        <f>tblData[[#This Row],[Date]]-China100dt</f>
        <v>68</v>
      </c>
      <c r="BV79" s="106">
        <f>IF(ISNUMBER(tblData[Day'# Singapore]),betaSingapore/(deltaSingapore+betaPodeltaSingapore*EXP(-betaSingapore*tblData[Day'# Singapore])),"")</f>
        <v>883.11472103334268</v>
      </c>
      <c r="BW79" s="11">
        <f>IF(AND(ISNUMBER(tblData[Singapore]),tblData[Date]&gt;=StartDt2Singapore),(tblData[[#This Row],[Singapore LogiP(t)]]-tblData[[#This Row],[Singapore]])^2,"")</f>
        <v>16.930929182232617</v>
      </c>
      <c r="BX79" s="106">
        <f>IF(ISNUMBER(tblData[Day'# Singapore]),tblData[Singapore LogiP(t)]/$BV$9,"")</f>
        <v>1509.5978137322097</v>
      </c>
      <c r="BY79" s="106">
        <f>IF(AND(ISNUMBER(tblData[Singapore]),tblData[Date]&gt;StartDt2Singapore),(tblData[Singapore]-AVERAGE(tblData[Singapore]))^2,"")</f>
        <v>462495.77960722079</v>
      </c>
      <c r="BZ79" s="11">
        <f>tblData[[#This Row],[Date]]-Singapore100dt+1</f>
        <v>49</v>
      </c>
      <c r="CA79" s="11">
        <f ca="1">IF(AND(tblData[Date]&gt;StartDt2Generic,ISNUMBER(tblData[Day'# Generic])),betaGeneric/(deltaGeneric+betaPodeltaGeneric*EXP(-betaGeneric*tblData[Day'# Generic])),"")</f>
        <v>550.71713068493148</v>
      </c>
      <c r="CB79" s="106">
        <f ca="1">IF(AND(ISNUMBER(tblData[Generic]),tblData[Date]&gt;StartDt2Generic),(tblData[Generic LogiP(t)]-tblData[[#This Row],[Generic]])^2,"")</f>
        <v>1465.5780829946152</v>
      </c>
      <c r="CC79" s="11">
        <f ca="1">IF(AND(ISNUMBER(tblData[Generic]),tblData[Date]&gt;StartDt2Generic),tblData[Generic LogiP(t)]/$CA$9,"")</f>
        <v>1052.9964257838078</v>
      </c>
      <c r="CD79" s="106">
        <f ca="1">IF(AND(ISNUMBER(tblData[Generic]),tblData[Date]&gt;StartDt2Generic),(tblData[Generic]-AVERAGE(tblData[Generic]))^2,"")</f>
        <v>216039.04000000001</v>
      </c>
      <c r="CE79" s="11">
        <f>tblData[[#This Row],[Date]]-Generic100dt+1</f>
        <v>10</v>
      </c>
      <c r="CF79" s="11">
        <v>94534</v>
      </c>
      <c r="CG79" s="11"/>
      <c r="CH79" s="11">
        <f>IF(ISNUMBER(tblData[[#This Row],[Tests]]),tblData[[#This Row],[Tests]]-CF78,"")</f>
        <v>3226</v>
      </c>
      <c r="CI79" s="11" t="str">
        <f>IF(ISNUMBER(tblData[[#This Row],[NSW Under Investigation'']]),tblData[[#This Row],[NSW Under Investigation'']]-CG78,"")</f>
        <v/>
      </c>
      <c r="CJ79" s="11">
        <f>IF(tblData[[#This Row],[Date]]&gt;myData!TestsStart,tblData[[#This Row],[Date]]-myData!TestsStart,"")</f>
        <v>25</v>
      </c>
      <c r="CK79" s="11">
        <f>IF(AND(tblData[[#This Row],[NSW Test Day Number]]&gt;0,ISNUMBER(tblData[[#This Row],[NSW Test Day Number]])),betaTests/(deltaTests+betaPodeltaTests*EXP(-betaTests*tblData[[#This Row],[NSW Test Day Number]])),"")</f>
        <v>94229.209827094339</v>
      </c>
      <c r="CL79" s="11">
        <f>IF(tblData[Tests]&gt;0,(tblData[[#This Row],[Tests]]-tblData[[#This Row],[NSW Test Logi]])^2,"")</f>
        <v>92897.049499862827</v>
      </c>
      <c r="CM79" s="106">
        <f>IF(AND(ISNUMBER(tblData[Tests]),tblData[Date]&gt;StartDt2Tests),(tblData[Tests]-AVERAGE(tblData[Tests]))^2,"")</f>
        <v>2493001456.5529127</v>
      </c>
      <c r="CN79" s="11">
        <f>IF(ISNUMBER(tblData[Tests]),tblData[Tests]/$CN$9/100,"")</f>
        <v>1169.9752475247524</v>
      </c>
      <c r="CO79" s="106">
        <f ca="1">IF(AND(tblData[[#This Row],[NSW Test Day Number]]&gt;0,ISNUMBER(tblData[[#This Row],[NSW Test Day Number]])),TestsLogestB*TestsLogestM^tblData[[#This Row],[NSW Test Day Number]],"")</f>
        <v>107171.82798639528</v>
      </c>
      <c r="CP79" s="106">
        <f>IF(AND(tblData[[#This Row],[NSW Test Day Number]]&gt;0,ISNUMBER(tblData[Tests])),(tblData[Tests]-tblData[[#This Row],[NSW Test Per Capita]])^2,"")</f>
        <v>8716841117.9808102</v>
      </c>
      <c r="CQ79" s="39">
        <f ca="1">IF(AND(tblData[Day '# NSW]&gt;0,ISNUMBER(tblData[[#This Row],[Day '# NSW]])),NSWLogestB*NSWLogestM^tblData[[#This Row],[Day '# NSW]]/$CR$9,"")</f>
        <v>1041.1806705164593</v>
      </c>
      <c r="CR79" s="39">
        <f ca="1">IF(AND(ISNUMBER(tblData[NSW]),tblData[Date]&gt;StartDt2NSW),(tblData[NSW]/$CR$9-tblData[[#This Row],[NSW Cases LogEst]])^2,"")</f>
        <v>1775774.0024227283</v>
      </c>
      <c r="CS79" s="106"/>
      <c r="CT79" s="11"/>
      <c r="CW79" s="25"/>
      <c r="CX79"/>
      <c r="DL79" s="25"/>
      <c r="DR79"/>
      <c r="DS79"/>
      <c r="DT79"/>
      <c r="DU79"/>
      <c r="DW79" s="25"/>
      <c r="DX79" s="25"/>
      <c r="EA79" s="48"/>
      <c r="EB79" s="48"/>
      <c r="EC79" s="48"/>
      <c r="ED79" s="48"/>
      <c r="EE79" s="48"/>
      <c r="EF79" s="48"/>
      <c r="EG79" s="48"/>
      <c r="EH79" s="48"/>
      <c r="EI79" s="48"/>
      <c r="EJ79" s="48"/>
      <c r="EK79" s="48"/>
      <c r="EL79" s="48"/>
      <c r="EM79" s="48"/>
      <c r="EN79"/>
      <c r="EO79"/>
      <c r="EP79"/>
      <c r="EQ79"/>
      <c r="ER79"/>
      <c r="ES79" s="69"/>
      <c r="EU79" s="26" t="s">
        <v>58</v>
      </c>
      <c r="EV79" s="69">
        <v>43916.524247685185</v>
      </c>
      <c r="EW79" s="26">
        <v>43860</v>
      </c>
      <c r="EX79" s="26">
        <v>43880</v>
      </c>
      <c r="EY79" s="25">
        <v>2</v>
      </c>
      <c r="EZ79" s="25">
        <v>0.25752779680433807</v>
      </c>
      <c r="FA79" s="25">
        <v>3.3859219411555139E-6</v>
      </c>
      <c r="FB79" s="21">
        <v>0.44235943793467725</v>
      </c>
      <c r="FC79" s="82">
        <v>76058.397470454249</v>
      </c>
      <c r="FD79" s="82">
        <v>3235.9046307493036</v>
      </c>
      <c r="FE79" s="83">
        <v>0.5821652640942182</v>
      </c>
      <c r="FF79" s="84">
        <v>3.3859219411555138E-3</v>
      </c>
      <c r="FG79" s="26">
        <v>43915</v>
      </c>
      <c r="FH79" s="25" t="s">
        <v>1529</v>
      </c>
      <c r="FI79" s="84">
        <v>76058.397470454249</v>
      </c>
      <c r="FJ79" s="84">
        <v>74386</v>
      </c>
      <c r="FK79" s="25" t="s">
        <v>1530</v>
      </c>
      <c r="FL79" s="26">
        <v>43915</v>
      </c>
      <c r="FM79" s="25">
        <v>56</v>
      </c>
      <c r="FN79" s="25" t="s">
        <v>1531</v>
      </c>
      <c r="FO79"/>
      <c r="FP79" s="25" t="s">
        <v>1532</v>
      </c>
      <c r="FR79" s="72" t="s">
        <v>1533</v>
      </c>
      <c r="FS79" s="19">
        <v>12298.255765892371</v>
      </c>
      <c r="FT79" s="72">
        <v>43899</v>
      </c>
      <c r="FU79" s="25">
        <v>17</v>
      </c>
      <c r="FV79" s="142">
        <v>43898</v>
      </c>
      <c r="FW79" s="25">
        <v>18</v>
      </c>
      <c r="FY79" s="25"/>
    </row>
    <row r="80" spans="2:216" x14ac:dyDescent="0.25">
      <c r="B80" s="1">
        <f t="shared" si="3"/>
        <v>43921</v>
      </c>
      <c r="D80" s="25">
        <v>80</v>
      </c>
      <c r="E80">
        <v>2032</v>
      </c>
      <c r="F80">
        <v>19</v>
      </c>
      <c r="G80">
        <v>743</v>
      </c>
      <c r="H80">
        <v>337</v>
      </c>
      <c r="I80">
        <v>69</v>
      </c>
      <c r="J80">
        <v>917</v>
      </c>
      <c r="K80">
        <v>364</v>
      </c>
      <c r="L80" s="12">
        <f>IF(ISNUMBER(tblData[[#This Row],[NSW]]),tblData[[#This Row],[New South Wales]]/$L$9,"")</f>
        <v>2514.8514851485147</v>
      </c>
      <c r="M80" s="25">
        <v>105792</v>
      </c>
      <c r="N80" s="106">
        <f>IF(ISNUMBER(tblData[Italy]),tblData[Italy]/$N$9,"")</f>
        <v>17490.617508473177</v>
      </c>
      <c r="O80" s="25">
        <v>188172</v>
      </c>
      <c r="P80" s="106">
        <f>IF(ISNUMBER(tblData[US]),tblData[US]/$P$9,"")</f>
        <v>5715.557157202662</v>
      </c>
      <c r="Q80" s="11">
        <v>9786</v>
      </c>
      <c r="R80" s="19">
        <f>IF(ISNUMBER(tblData[SKorea]),tblData[SKorea]/$R$9,"")</f>
        <v>1903.8910505836577</v>
      </c>
      <c r="S80">
        <v>25481</v>
      </c>
      <c r="T80" s="12">
        <f>IF(ISNUMBER(tblData[UK]),tblData[UK]/$T$9,"")</f>
        <v>3835.1896447922936</v>
      </c>
      <c r="U80">
        <v>82279</v>
      </c>
      <c r="V80" s="20">
        <f>IF(ISNUMBER(tblData[China]),tblData[China]/$V$9,"")</f>
        <v>571.65039146827792</v>
      </c>
      <c r="W80" s="20">
        <v>926</v>
      </c>
      <c r="X80" s="20">
        <f>IF(ISNUMBER(tblData[Singapore]),tblData[Singapore]/$X$9,"")</f>
        <v>1582.9059829059829</v>
      </c>
      <c r="Y80">
        <v>647</v>
      </c>
      <c r="Z80" s="20">
        <f>IF(AND(LEN(tblData[Generic])&gt;0,ISNUMBER(tblData[Generic])),tblData[Generic]/$Z$9,"")</f>
        <v>1237.093690248566</v>
      </c>
      <c r="AA80" s="25">
        <f ca="1">IF(tblData[[#This Row],[Date]]&lt;StartDt2Italy,"",tblData[[#This Row],[Date]]-ItalyStart)</f>
        <v>61</v>
      </c>
      <c r="AB80" s="25">
        <f ca="1">IF(tblData[[#This Row],[Date]]&lt;=StartDt2US,"",tblData[[#This Row],[Date]]-USStart)</f>
        <v>69</v>
      </c>
      <c r="AC80" s="25">
        <f ca="1">IF(tblData[[#This Row],[Date]]&lt;StartDt2China,"",tblData[[#This Row],[Date]]-ChinaStart)</f>
        <v>69</v>
      </c>
      <c r="AD80" s="25">
        <f>IF(tblData[[#This Row],[Date]]&lt;=SKoreaStart,"",tblData[[#This Row],[Date]]-SKoreaStart)</f>
        <v>69</v>
      </c>
      <c r="AE80" s="25">
        <f ca="1">IF(tblData[[#This Row],[Date]]&lt;=StartDt2UK,"",tblData[[#This Row],[Date]]-UKStart)</f>
        <v>61</v>
      </c>
      <c r="AF80" s="25">
        <f>IF(tblData[[#This Row],[Date]]&lt;StartDt2Singapore,"",tblData[[#This Row],[Date]]-SingaporeStart)</f>
        <v>68</v>
      </c>
      <c r="AG80" s="25">
        <f ca="1">IF(tblData[[#This Row],[Date]]&lt;StartDt2Generic,"",tblData[[#This Row],[Date]]-GenericStart)</f>
        <v>69</v>
      </c>
      <c r="AH80">
        <f ca="1">IF(tblData[Date]&gt;StartDt2Au,tblData[Date]-AuStart,"")</f>
        <v>66</v>
      </c>
      <c r="AI80" s="25">
        <f>IF(tblData[New South Wales]&gt;=0,SUM(tblData[[#This Row],[Australian Capital Territory]:[Western Australia]]),"")</f>
        <v>4561</v>
      </c>
      <c r="AJ80" s="12">
        <f>IF(ISNUMBER(tblData[Au]),tblData[Au]/$AE$9,"")</f>
        <v>1798.2179466961047</v>
      </c>
      <c r="AK80" s="19">
        <f ca="1">IF(ISNUMBER(tblData[[#This Row],[Day'# Aust]]),betaAu/(deltaAu+betaPodeltaAu*EXP(-betaAu*tblData[[#This Row],[Day'# Aust]])),"")</f>
        <v>4597.3540755580589</v>
      </c>
      <c r="AL80" s="62">
        <f ca="1">IF(ISNUMBER(tblData[Day'# Aust]),tblData[Au LogiP(t)]/$AJ$9,"")</f>
        <v>1812.5508892753742</v>
      </c>
      <c r="AM80" s="11">
        <f ca="1">IF(AND(tblData[Date]&gt;StartDt2Au,ISNUMBER(tblData[NSW])),(tblData[[#This Row],[Au LogiP(t)]]-tblData[[#This Row],[Au]])^2,"")</f>
        <v>1321.6188096810531</v>
      </c>
      <c r="AN80" s="11">
        <f ca="1">IF(AND(ISNUMBER(tblData[Au]),tblData[Date]&gt;StartDt2Au),(tblData[Au]-AVERAGE(tblData[Au]))^2,"")</f>
        <v>16954994.011187129</v>
      </c>
      <c r="AO80" s="11">
        <f>tblData[[#This Row],[Date]]-Au100dt</f>
        <v>17</v>
      </c>
      <c r="AP80">
        <f ca="1">IF(tblData[Date]&gt;StartDt2NSW,tblData[Date]-StartDt2NSW,"")</f>
        <v>66</v>
      </c>
      <c r="AQ80" s="25">
        <f>IF(tblData[[#This Row],[New South Wales]]&gt;0,tblData[[#This Row],[New South Wales]],"")</f>
        <v>2032</v>
      </c>
      <c r="AR80" s="11">
        <f ca="1">IF(tblData[Date]&gt;StartDt2NSW,betaNSW/(deltaNSW+betaPodeltaNSW*EXP(-betaNSW*tblData[[#This Row],[Day '# NSW]])),"")</f>
        <v>2057.6029651126469</v>
      </c>
      <c r="AS80" s="12">
        <f ca="1">IF(AND(ISNUMBER(tblData[NSW]),tblData[Date]&gt;StartDt2NSW),(tblData[[#This Row],[NSW LogiP(t)]]-tblData[[#This Row],[NSW]])^2,"")</f>
        <v>655.51182255941274</v>
      </c>
      <c r="AT80" s="12">
        <f ca="1">IF(AND(tblData[Date]&gt;StartDt2NSW,ISNUMBER(tblData[Day'# Aust])),tblData[NSW LogiP(t)]/$AR$9,"")</f>
        <v>2546.5383231592164</v>
      </c>
      <c r="AU80" s="11">
        <f>tblData[[#This Row],[Date]]-NSW100dt+1</f>
        <v>21</v>
      </c>
      <c r="AV80" s="11">
        <f ca="1">IF(AND(ISNUMBER(tblData[NSW]),tblData[Date]&gt;StartDt2NSW),(tblData[NSW]-AVERAGE(tblData[NSW]))^2,"")</f>
        <v>3021298.9340474694</v>
      </c>
      <c r="AW80" s="39">
        <f ca="1">IF(AND(tblData[Date]&gt;StartDt2Italy,ISNUMBER(tblData[Days'# Italy])),betaItaly/(deltaItaly+betaPodeltaItaly*EXP(-betaItaly*tblData[Days'# Italy])),"")</f>
        <v>93991.017110892615</v>
      </c>
      <c r="AX80" s="11">
        <f ca="1">IF(AND(tblData[Date]&gt;StartDt2Italy,ISNUMBER(tblData[Italy])),(tblData[[#This Row],[Italy LogiP(t)]]-tblData[[#This Row],[Italy]])^2,"")</f>
        <v>139263197.14900529</v>
      </c>
      <c r="AY80" s="39">
        <f ca="1">IF(AND(tblData[Date]&gt;StartDt2Italy,ISNUMBER(tblData[Days'# Italy])),tblData[[#This Row],[Italy LogiP(t)]]/$AW$9,"")</f>
        <v>15539.558090583221</v>
      </c>
      <c r="AZ80" s="39">
        <f ca="1">IF(AND(ISNUMBER(tblData[Italy]),tblData[Date]&gt;StartDt2Italy),(tblData[Italy]-AVERAGE(tblData[Italy]))^2,"")</f>
        <v>7193282663.7160492</v>
      </c>
      <c r="BA80" s="11">
        <f>tblData[[#This Row],[Date]]-Italy100dt+1</f>
        <v>34</v>
      </c>
      <c r="BB80" s="11">
        <f ca="1">IF(AND(tblData[Date]&gt;StartDt2US,ISNUMBER(tblData[[#This Row],[Days'# US]])),betaUS/(deltaUS+betaPodeltaUS*EXP(-betaUS*tblData[Days'# US])),"")</f>
        <v>212038.99313782624</v>
      </c>
      <c r="BC80" s="11">
        <f ca="1">IF(AND(tblData[Date]&gt;StartDt2US,ISNUMBER(tblData[US])),(tblData[[#This Row],[US LogiP(t)]]-tblData[US])^2,"")</f>
        <v>569633361.44104493</v>
      </c>
      <c r="BD80" s="137">
        <f ca="1">IF(AND(tblData[Date]&gt;=StartDt2US,ISNUMBER(tblData[[#This Row],[Days'# US]])),tblData[[#This Row],[US LogiP(t)]]/$BB$9,"")</f>
        <v>6440.4958486647802</v>
      </c>
      <c r="BE80" s="137">
        <f ca="1">IF(AND(ISNUMBER(tblData[US]),tblData[Date]&gt;StartDt2US),(tblData[US]-AVERAGE(tblData[US]))^2,"")</f>
        <v>28851520066.729614</v>
      </c>
      <c r="BF80" s="11">
        <f>tblData[[#This Row],[Date]]-US100dt+1</f>
        <v>18</v>
      </c>
      <c r="BG80" s="20">
        <f ca="1">IF(tblData[Date]&gt;StartDt2SKorea,betaSKorea/(deltaSKorea+betaPodeltaSKorea*EXP(-betaSKorea*(tblData[Date]-StartDt2SKorea))),"")</f>
        <v>9031.8021245037453</v>
      </c>
      <c r="BH80" s="20">
        <f ca="1">IF(AND(tblData[Date]&gt;StartDt2SKorea,ISNUMBER(tblData[SKorea])),(tblData[[#This Row],[SKorea LogiP(t)]]-tblData[[#This Row],[SKorea]])^2,"")</f>
        <v>568814.43540306413</v>
      </c>
      <c r="BI80" s="20">
        <f ca="1">IF(tblData[Date]&gt;StartDt2SKorea,tblData[[#This Row],[SKorea LogiP(t)]]/$BG$9,"")</f>
        <v>1757.1599464015069</v>
      </c>
      <c r="BJ80" s="137">
        <f ca="1">IF(AND(ISNUMBER(tblData[SKorea]),tblData[Date]&gt;StartDt2SKorea),(tblData[SKorea]-AVERAGE(tblData[SKorea]))^2,"")</f>
        <v>36311148.297758386</v>
      </c>
      <c r="BK80" s="11">
        <f>tblData[[#This Row],[Date]]-SKorea100dt+1</f>
        <v>39</v>
      </c>
      <c r="BL80" s="137">
        <f ca="1">IF(AND(tblData[Date]&gt;StartDt2UK,ISNUMBER(tblData[Days'# UK])),betaUK/(deltaUK+betaPodeltaUK*EXP(-betaUK*tblData[Days'# UK])),"")</f>
        <v>26148.408549902582</v>
      </c>
      <c r="BM80" s="20">
        <f ca="1">IF(AND(tblData[Date]&gt;StartDt2UK,ISNUMBER(tblData[UK])),(tblData[[#This Row],[UK LogiP(t)]]-tblData[[#This Row],[UK]])^2,"")</f>
        <v>445434.17248306773</v>
      </c>
      <c r="BN80" s="20">
        <f ca="1">IF(ISNUMBER(tblData[Days'# UK]),tblData[[#This Row],[UK LogiP(t)]]/$BL$9,"")</f>
        <v>3935.6424668727545</v>
      </c>
      <c r="BO80" s="137">
        <f ca="1">IF(AND(ISNUMBER(tblData[UK]),tblData[Date]&gt;StartDt2UK),(tblData[UK]-AVERAGE(tblData[UK]))^2,"")</f>
        <v>500691769.16326535</v>
      </c>
      <c r="BP80" s="11">
        <f>tblData[[#This Row],[Date]]-UK100dt</f>
        <v>19</v>
      </c>
      <c r="BQ80" s="11">
        <f ca="1">IF(ISNUMBER(tblData[Days'# China]),betaChina/(deltaChina+betaPodeltaChina*EXP(-betaChina*tblData[Days'# China])),"")</f>
        <v>81222.955403411179</v>
      </c>
      <c r="BR80" s="11">
        <f ca="1">IF(ISNUMBER(tblData[China]),(tblData[[#This Row],[China LogiP(t)]]-tblData[[#This Row],[China]])^2,"")</f>
        <v>1115230.1899844459</v>
      </c>
      <c r="BS80" s="11">
        <f ca="1">tblData[[#This Row],[China LogiP(t)]]/$BQ$9</f>
        <v>564.31330293963811</v>
      </c>
      <c r="BT80" s="137">
        <f ca="1">IF(AND(ISNUMBER(tblData[China]),tblData[Date]&gt;StartDt2China),(tblData[China]-AVERAGE(tblData[China]))^2,"")</f>
        <v>490624371.83277124</v>
      </c>
      <c r="BU80" s="11">
        <f>tblData[[#This Row],[Date]]-China100dt</f>
        <v>69</v>
      </c>
      <c r="BV80" s="106">
        <f>IF(ISNUMBER(tblData[Day'# Singapore]),betaSingapore/(deltaSingapore+betaPodeltaSingapore*EXP(-betaSingapore*tblData[Day'# Singapore])),"")</f>
        <v>955.77690904428255</v>
      </c>
      <c r="BW80" s="11">
        <f>IF(AND(ISNUMBER(tblData[Singapore]),tblData[Date]&gt;=StartDt2Singapore),(tblData[[#This Row],[Singapore LogiP(t)]]-tblData[[#This Row],[Singapore]])^2,"")</f>
        <v>886.66431223147572</v>
      </c>
      <c r="BX80" s="106">
        <f>IF(ISNUMBER(tblData[Day'# Singapore]),tblData[Singapore LogiP(t)]/$BV$9,"")</f>
        <v>1633.8066821269788</v>
      </c>
      <c r="BY80" s="106">
        <f>IF(AND(ISNUMBER(tblData[Singapore]),tblData[Date]&gt;StartDt2Singapore),(tblData[Singapore]-AVERAGE(tblData[Singapore]))^2,"")</f>
        <v>528631.39932553063</v>
      </c>
      <c r="BZ80" s="11">
        <f>tblData[[#This Row],[Date]]-Singapore100dt+1</f>
        <v>50</v>
      </c>
      <c r="CA80" s="11">
        <f ca="1">IF(AND(tblData[Date]&gt;StartDt2Generic,ISNUMBER(tblData[Day'# Generic])),betaGeneric/(deltaGeneric+betaPodeltaGeneric*EXP(-betaGeneric*tblData[Day'# Generic])),"")</f>
        <v>648.6397521439585</v>
      </c>
      <c r="CB80" s="106">
        <f ca="1">IF(AND(ISNUMBER(tblData[Generic]),tblData[Date]&gt;StartDt2Generic),(tblData[Generic LogiP(t)]-tblData[[#This Row],[Generic]])^2,"")</f>
        <v>2.6887870936165088</v>
      </c>
      <c r="CC80" s="11">
        <f ca="1">IF(AND(ISNUMBER(tblData[Generic]),tblData[Date]&gt;StartDt2Generic),tblData[Generic LogiP(t)]/$CA$9,"")</f>
        <v>1240.2289715945669</v>
      </c>
      <c r="CD80" s="106">
        <f ca="1">IF(AND(ISNUMBER(tblData[Generic]),tblData[Date]&gt;StartDt2Generic),(tblData[Generic]-AVERAGE(tblData[Generic]))^2,"")</f>
        <v>273319.83999999997</v>
      </c>
      <c r="CE80" s="11">
        <f>tblData[[#This Row],[Date]]-Generic100dt+1</f>
        <v>11</v>
      </c>
      <c r="CF80" s="11">
        <v>97919</v>
      </c>
      <c r="CG80" s="11"/>
      <c r="CH80" s="11">
        <f>IF(ISNUMBER(tblData[[#This Row],[Tests]]),tblData[[#This Row],[Tests]]-CF79,"")</f>
        <v>3385</v>
      </c>
      <c r="CI80" s="11" t="str">
        <f>IF(ISNUMBER(tblData[[#This Row],[NSW Under Investigation'']]),tblData[[#This Row],[NSW Under Investigation'']]-CG79,"")</f>
        <v/>
      </c>
      <c r="CJ80" s="11">
        <f>IF(tblData[[#This Row],[Date]]&gt;myData!TestsStart,tblData[[#This Row],[Date]]-myData!TestsStart,"")</f>
        <v>26</v>
      </c>
      <c r="CK80" s="11">
        <f>IF(AND(tblData[[#This Row],[NSW Test Day Number]]&gt;0,ISNUMBER(tblData[[#This Row],[NSW Test Day Number]])),betaTests/(deltaTests+betaPodeltaTests*EXP(-betaTests*tblData[[#This Row],[NSW Test Day Number]])),"")</f>
        <v>98349.128746195289</v>
      </c>
      <c r="CL80" s="11">
        <f>IF(tblData[Tests]&gt;0,(tblData[[#This Row],[Tests]]-tblData[[#This Row],[NSW Test Logi]])^2,"")</f>
        <v>185010.73830353119</v>
      </c>
      <c r="CM80" s="106">
        <f>IF(AND(ISNUMBER(tblData[Tests]),tblData[Date]&gt;StartDt2Tests),(tblData[Tests]-AVERAGE(tblData[Tests]))^2,"")</f>
        <v>2842485548.1046371</v>
      </c>
      <c r="CN80" s="11">
        <f>IF(ISNUMBER(tblData[Tests]),tblData[Tests]/$CN$9/100,"")</f>
        <v>1211.8688118811881</v>
      </c>
      <c r="CO80" s="106">
        <f ca="1">IF(AND(tblData[[#This Row],[NSW Test Day Number]]&gt;0,ISNUMBER(tblData[[#This Row],[NSW Test Day Number]])),TestsLogestB*TestsLogestM^tblData[[#This Row],[NSW Test Day Number]],"")</f>
        <v>120251.0388010333</v>
      </c>
      <c r="CP80" s="106">
        <f>IF(AND(tblData[[#This Row],[NSW Test Day Number]]&gt;0,ISNUMBER(tblData[Tests])),(tblData[Tests]-tblData[[#This Row],[NSW Test Per Capita]])^2,"")</f>
        <v>9352269222.6360226</v>
      </c>
      <c r="CQ80" s="39">
        <f ca="1">IF(AND(tblData[Day '# NSW]&gt;0,ISNUMBER(tblData[[#This Row],[Day '# NSW]])),NSWLogestB*NSWLogestM^tblData[[#This Row],[Day '# NSW]]/$CR$9,"")</f>
        <v>1158.7704425441145</v>
      </c>
      <c r="CR80" s="39">
        <f ca="1">IF(AND(ISNUMBER(tblData[NSW]),tblData[Date]&gt;StartDt2NSW),(tblData[NSW]/$CR$9-tblData[[#This Row],[NSW Cases LogEst]])^2,"")</f>
        <v>1838955.7941110369</v>
      </c>
      <c r="CS80" s="106"/>
      <c r="CT80" s="11"/>
      <c r="CV80" s="48"/>
      <c r="CW80" s="48"/>
      <c r="CX80" s="48"/>
      <c r="CY80" s="48"/>
      <c r="CZ80" s="48"/>
      <c r="DA80" s="48"/>
      <c r="DB80" s="48"/>
      <c r="DC80" s="48"/>
      <c r="DD80" s="48"/>
      <c r="DE80" s="48"/>
      <c r="DF80" s="48"/>
      <c r="DG80" s="48"/>
      <c r="DH80" s="48"/>
      <c r="DI80" s="48"/>
      <c r="DJ80" s="48"/>
      <c r="DK80" s="48"/>
      <c r="DL80" s="48"/>
      <c r="DM80" s="48"/>
      <c r="DN80" s="48"/>
      <c r="DO80" s="48"/>
      <c r="DP80" s="48"/>
      <c r="DQ80" s="48"/>
      <c r="DR80" s="48"/>
      <c r="DS80" s="48"/>
      <c r="DT80" s="48"/>
      <c r="DU80" s="48"/>
      <c r="DV80" s="48"/>
      <c r="DW80" s="48"/>
      <c r="DX80" s="48"/>
      <c r="DY80" s="48"/>
      <c r="DZ80" s="48"/>
      <c r="EB80" s="25"/>
      <c r="EC80" s="25"/>
      <c r="ED80" s="25"/>
      <c r="EE80" s="25"/>
      <c r="EK80"/>
      <c r="EL80"/>
      <c r="EM80"/>
      <c r="EN80"/>
      <c r="EO80"/>
      <c r="EP80"/>
      <c r="EQ80"/>
      <c r="ER80"/>
      <c r="ES80" s="69"/>
      <c r="EU80" s="26" t="s">
        <v>58</v>
      </c>
      <c r="EV80" s="69">
        <v>43916.899085648147</v>
      </c>
      <c r="EW80" s="26">
        <v>43860</v>
      </c>
      <c r="EX80" s="26">
        <v>43860</v>
      </c>
      <c r="EY80" s="25">
        <v>2</v>
      </c>
      <c r="EZ80" s="25">
        <v>0.25752779680433807</v>
      </c>
      <c r="FA80" s="81">
        <v>3.3859219411555139E-6</v>
      </c>
      <c r="FB80" s="21">
        <v>0.44235943793467725</v>
      </c>
      <c r="FC80" s="82">
        <v>76058.397470454249</v>
      </c>
      <c r="FD80" s="82">
        <v>2581.4033034715762</v>
      </c>
      <c r="FE80" s="83">
        <v>0.5821652640942182</v>
      </c>
      <c r="FF80" s="84">
        <v>3.3859219411555138E-3</v>
      </c>
      <c r="FG80" s="26">
        <v>43915</v>
      </c>
      <c r="FH80" s="84" t="s">
        <v>1529</v>
      </c>
      <c r="FI80" s="84">
        <v>76058.397470454249</v>
      </c>
      <c r="FJ80" s="84">
        <v>74386</v>
      </c>
      <c r="FK80" s="25" t="s">
        <v>1530</v>
      </c>
      <c r="FL80" s="26">
        <v>43915</v>
      </c>
      <c r="FM80" s="25">
        <v>56</v>
      </c>
      <c r="FN80" s="25" t="s">
        <v>1531</v>
      </c>
      <c r="FO80"/>
      <c r="FP80" s="72" t="s">
        <v>1532</v>
      </c>
      <c r="FR80" s="72" t="s">
        <v>1533</v>
      </c>
      <c r="FS80" s="19">
        <v>12298.255765892371</v>
      </c>
      <c r="FT80" s="72">
        <v>43899</v>
      </c>
      <c r="FU80" s="25">
        <v>17</v>
      </c>
      <c r="FV80" s="142">
        <v>43898</v>
      </c>
      <c r="FW80">
        <v>18</v>
      </c>
      <c r="FY80" s="25"/>
    </row>
    <row r="81" spans="2:217" x14ac:dyDescent="0.25">
      <c r="B81" s="26">
        <f t="shared" si="3"/>
        <v>43922</v>
      </c>
      <c r="D81" s="25">
        <v>84</v>
      </c>
      <c r="E81">
        <v>2182</v>
      </c>
      <c r="F81">
        <v>19</v>
      </c>
      <c r="G81">
        <v>781</v>
      </c>
      <c r="H81">
        <v>367</v>
      </c>
      <c r="I81">
        <v>71</v>
      </c>
      <c r="J81">
        <v>968</v>
      </c>
      <c r="K81">
        <v>392</v>
      </c>
      <c r="L81" s="12">
        <f>IF(ISNUMBER(tblData[[#This Row],[NSW]]),tblData[[#This Row],[New South Wales]]/$L$9,"")</f>
        <v>2700.4950495049502</v>
      </c>
      <c r="M81" s="25">
        <v>110574</v>
      </c>
      <c r="N81" s="106">
        <f>IF(ISNUMBER(tblData[Italy]),tblData[Italy]/$N$9,"")</f>
        <v>18281.226750433994</v>
      </c>
      <c r="O81" s="25">
        <v>213372</v>
      </c>
      <c r="P81" s="106">
        <f>IF(ISNUMBER(tblData[US]),tblData[US]/$P$9,"")</f>
        <v>6480.9847466501205</v>
      </c>
      <c r="Q81" s="11">
        <v>9887</v>
      </c>
      <c r="R81" s="19">
        <f>IF(ISNUMBER(tblData[SKorea]),tblData[SKorea]/$R$9,"")</f>
        <v>1923.5408560311284</v>
      </c>
      <c r="S81">
        <v>29865</v>
      </c>
      <c r="T81" s="12">
        <f>IF(ISNUMBER(tblData[UK]),tblData[UK]/$T$9,"")</f>
        <v>4495.0331125827815</v>
      </c>
      <c r="U81">
        <v>82361</v>
      </c>
      <c r="V81" s="20">
        <f>IF(ISNUMBER(tblData[China]),tblData[China]/$V$9,"")</f>
        <v>572.22010344946875</v>
      </c>
      <c r="W81" s="20">
        <v>1000</v>
      </c>
      <c r="X81" s="20">
        <f>IF(ISNUMBER(tblData[Singapore]),tblData[Singapore]/$X$9,"")</f>
        <v>1709.4017094017095</v>
      </c>
      <c r="Y81">
        <v>708</v>
      </c>
      <c r="Z81" s="20">
        <f>IF(AND(LEN(tblData[Generic])&gt;0,ISNUMBER(tblData[Generic])),tblData[Generic]/$Z$9,"")</f>
        <v>1353.7284894837476</v>
      </c>
      <c r="AA81" s="25">
        <f ca="1">IF(tblData[[#This Row],[Date]]&lt;StartDt2Italy,"",tblData[[#This Row],[Date]]-ItalyStart)</f>
        <v>62</v>
      </c>
      <c r="AB81" s="25">
        <f ca="1">IF(tblData[[#This Row],[Date]]&lt;=StartDt2US,"",tblData[[#This Row],[Date]]-USStart)</f>
        <v>70</v>
      </c>
      <c r="AC81" s="25">
        <f ca="1">IF(tblData[[#This Row],[Date]]&lt;StartDt2China,"",tblData[[#This Row],[Date]]-ChinaStart)</f>
        <v>70</v>
      </c>
      <c r="AD81" s="25">
        <f>IF(tblData[[#This Row],[Date]]&lt;=SKoreaStart,"",tblData[[#This Row],[Date]]-SKoreaStart)</f>
        <v>70</v>
      </c>
      <c r="AE81" s="25">
        <f ca="1">IF(tblData[[#This Row],[Date]]&lt;=StartDt2UK,"",tblData[[#This Row],[Date]]-UKStart)</f>
        <v>62</v>
      </c>
      <c r="AF81" s="25">
        <f>IF(tblData[[#This Row],[Date]]&lt;StartDt2Singapore,"",tblData[[#This Row],[Date]]-SingaporeStart)</f>
        <v>69</v>
      </c>
      <c r="AG81" s="25">
        <f ca="1">IF(tblData[[#This Row],[Date]]&lt;StartDt2Generic,"",tblData[[#This Row],[Date]]-GenericStart)</f>
        <v>70</v>
      </c>
      <c r="AH81">
        <f ca="1">IF(tblData[Date]&gt;StartDt2Au,tblData[Date]-AuStart,"")</f>
        <v>67</v>
      </c>
      <c r="AI81" s="25">
        <f>IF(tblData[New South Wales]&gt;=0,SUM(tblData[[#This Row],[Australian Capital Territory]:[Western Australia]]),"")</f>
        <v>4864</v>
      </c>
      <c r="AJ81" s="12">
        <f>IF(ISNUMBER(tblData[Au]),tblData[Au]/$AE$9,"")</f>
        <v>1917.67859958997</v>
      </c>
      <c r="AK81" s="19">
        <f ca="1">IF(ISNUMBER(tblData[[#This Row],[Day'# Aust]]),betaAu/(deltaAu+betaPodeltaAu*EXP(-betaAu*tblData[[#This Row],[Day'# Aust]])),"")</f>
        <v>4876.546067938435</v>
      </c>
      <c r="AL81" s="62">
        <f ca="1">IF(ISNUMBER(tblData[Day'# Aust]),tblData[Au LogiP(t)]/$AJ$9,"")</f>
        <v>1922.6250070724</v>
      </c>
      <c r="AM81" s="11">
        <f ca="1">IF(AND(tblData[Date]&gt;StartDt2Au,ISNUMBER(tblData[NSW])),(tblData[[#This Row],[Au LogiP(t)]]-tblData[[#This Row],[Au]])^2,"")</f>
        <v>157.40382071582775</v>
      </c>
      <c r="AN81" s="11">
        <f ca="1">IF(AND(ISNUMBER(tblData[Au]),tblData[Date]&gt;StartDt2Au),(tblData[Au]-AVERAGE(tblData[Au]))^2,"")</f>
        <v>19542095.415033281</v>
      </c>
      <c r="AO81" s="11">
        <f>tblData[[#This Row],[Date]]-Au100dt</f>
        <v>18</v>
      </c>
      <c r="AP81">
        <f ca="1">IF(tblData[Date]&gt;StartDt2NSW,tblData[Date]-StartDt2NSW,"")</f>
        <v>67</v>
      </c>
      <c r="AQ81" s="25">
        <f>IF(tblData[[#This Row],[New South Wales]]&gt;0,tblData[[#This Row],[New South Wales]],"")</f>
        <v>2182</v>
      </c>
      <c r="AR81" s="11">
        <f ca="1">IF(tblData[Date]&gt;StartDt2NSW,betaNSW/(deltaNSW+betaPodeltaNSW*EXP(-betaNSW*tblData[[#This Row],[Day '# NSW]])),"")</f>
        <v>2204.1702624135496</v>
      </c>
      <c r="AS81" s="12">
        <f ca="1">IF(AND(ISNUMBER(tblData[NSW]),tblData[Date]&gt;StartDt2NSW),(tblData[[#This Row],[NSW LogiP(t)]]-tblData[[#This Row],[NSW]])^2,"")</f>
        <v>491.5205354856505</v>
      </c>
      <c r="AT81" s="12">
        <f ca="1">IF(AND(tblData[Date]&gt;StartDt2NSW,ISNUMBER(tblData[Day'# Aust])),tblData[NSW LogiP(t)]/$AR$9,"")</f>
        <v>2727.9334930860759</v>
      </c>
      <c r="AU81" s="11">
        <f>tblData[[#This Row],[Date]]-NSW100dt+1</f>
        <v>22</v>
      </c>
      <c r="AV81" s="11">
        <f ca="1">IF(AND(ISNUMBER(tblData[NSW]),tblData[Date]&gt;StartDt2NSW),(tblData[NSW]-AVERAGE(tblData[NSW]))^2,"")</f>
        <v>3565255.4557865998</v>
      </c>
      <c r="AW81" s="39">
        <f ca="1">IF(AND(tblData[Date]&gt;StartDt2Italy,ISNUMBER(tblData[Days'# Italy])),betaItaly/(deltaItaly+betaPodeltaItaly*EXP(-betaItaly*tblData[Days'# Italy])),"")</f>
        <v>94713.659147982617</v>
      </c>
      <c r="AX81" s="11">
        <f ca="1">IF(AND(tblData[Date]&gt;StartDt2Italy,ISNUMBER(tblData[Italy])),(tblData[[#This Row],[Italy LogiP(t)]]-tblData[[#This Row],[Italy]])^2,"")</f>
        <v>251550411.94217151</v>
      </c>
      <c r="AY81" s="39">
        <f ca="1">IF(AND(tblData[Date]&gt;StartDt2Italy,ISNUMBER(tblData[Days'# Italy])),tblData[[#This Row],[Italy LogiP(t)]]/$AW$9,"")</f>
        <v>15659.03267718982</v>
      </c>
      <c r="AZ81" s="39">
        <f ca="1">IF(AND(ISNUMBER(tblData[Italy]),tblData[Date]&gt;StartDt2Italy),(tblData[Italy]-AVERAGE(tblData[Italy]))^2,"")</f>
        <v>8027303845.0493822</v>
      </c>
      <c r="BA81" s="11">
        <f>tblData[[#This Row],[Date]]-Italy100dt+1</f>
        <v>35</v>
      </c>
      <c r="BB81" s="11">
        <f ca="1">IF(AND(tblData[Date]&gt;StartDt2US,ISNUMBER(tblData[[#This Row],[Days'# US]])),betaUS/(deltaUS+betaPodeltaUS*EXP(-betaUS*tblData[Days'# US])),"")</f>
        <v>253733.46745416091</v>
      </c>
      <c r="BC81" s="11">
        <f ca="1">IF(AND(tblData[Date]&gt;StartDt2US,ISNUMBER(tblData[US])),(tblData[[#This Row],[US LogiP(t)]]-tblData[US])^2,"")</f>
        <v>1629048055.0532906</v>
      </c>
      <c r="BD81" s="137">
        <f ca="1">IF(AND(tblData[Date]&gt;=StartDt2US,ISNUMBER(tblData[[#This Row],[Days'# US]])),tblData[[#This Row],[US LogiP(t)]]/$BB$9,"")</f>
        <v>7706.9284268088677</v>
      </c>
      <c r="BE81" s="137">
        <f ca="1">IF(AND(ISNUMBER(tblData[US]),tblData[Date]&gt;StartDt2US),(tblData[US]-AVERAGE(tblData[US]))^2,"")</f>
        <v>38047370613.208488</v>
      </c>
      <c r="BF81" s="11">
        <f>tblData[[#This Row],[Date]]-US100dt+1</f>
        <v>19</v>
      </c>
      <c r="BG81" s="20">
        <f ca="1">IF(tblData[Date]&gt;StartDt2SKorea,betaSKorea/(deltaSKorea+betaPodeltaSKorea*EXP(-betaSKorea*(tblData[Date]-StartDt2SKorea))),"")</f>
        <v>9033.074073083746</v>
      </c>
      <c r="BH81" s="20">
        <f ca="1">IF(AND(tblData[Date]&gt;StartDt2SKorea,ISNUMBER(tblData[SKorea])),(tblData[[#This Row],[SKorea LogiP(t)]]-tblData[[#This Row],[SKorea]])^2,"")</f>
        <v>729189.4886597835</v>
      </c>
      <c r="BI81" s="20">
        <f ca="1">IF(tblData[Date]&gt;StartDt2SKorea,tblData[[#This Row],[SKorea LogiP(t)]]/$BG$9,"")</f>
        <v>1757.4074072147366</v>
      </c>
      <c r="BJ81" s="137">
        <f ca="1">IF(AND(ISNUMBER(tblData[SKorea]),tblData[Date]&gt;StartDt2SKorea),(tblData[SKorea]-AVERAGE(tblData[SKorea]))^2,"")</f>
        <v>37538575.692124575</v>
      </c>
      <c r="BK81" s="11">
        <f>tblData[[#This Row],[Date]]-SKorea100dt+1</f>
        <v>40</v>
      </c>
      <c r="BL81" s="137">
        <f ca="1">IF(AND(tblData[Date]&gt;StartDt2UK,ISNUMBER(tblData[Days'# UK])),betaUK/(deltaUK+betaPodeltaUK*EXP(-betaUK*tblData[Days'# UK])),"")</f>
        <v>29880.848589955647</v>
      </c>
      <c r="BM81" s="20">
        <f ca="1">IF(AND(tblData[Date]&gt;StartDt2UK,ISNUMBER(tblData[UK])),(tblData[[#This Row],[UK LogiP(t)]]-tblData[[#This Row],[UK]])^2,"")</f>
        <v>251.17780358224084</v>
      </c>
      <c r="BN81" s="20">
        <f ca="1">IF(ISNUMBER(tblData[Days'# UK]),tblData[[#This Row],[UK LogiP(t)]]/$BL$9,"")</f>
        <v>4497.4185114322163</v>
      </c>
      <c r="BO81" s="137">
        <f ca="1">IF(AND(ISNUMBER(tblData[UK]),tblData[Date]&gt;StartDt2UK),(tblData[UK]-AVERAGE(tblData[UK]))^2,"")</f>
        <v>716105245.734694</v>
      </c>
      <c r="BP81" s="11">
        <f>tblData[[#This Row],[Date]]-UK100dt</f>
        <v>20</v>
      </c>
      <c r="BQ81" s="11">
        <f ca="1">IF(ISNUMBER(tblData[Days'# China]),betaChina/(deltaChina+betaPodeltaChina*EXP(-betaChina*tblData[Days'# China])),"")</f>
        <v>81223.152759165052</v>
      </c>
      <c r="BR81" s="11">
        <f ca="1">IF(ISNUMBER(tblData[China]),(tblData[[#This Row],[China LogiP(t)]]-tblData[[#This Row],[China]])^2,"")</f>
        <v>1294696.3434757043</v>
      </c>
      <c r="BS81" s="11">
        <f ca="1">tblData[[#This Row],[China LogiP(t)]]/$BQ$9</f>
        <v>564.31467410960806</v>
      </c>
      <c r="BT81" s="137">
        <f ca="1">IF(AND(ISNUMBER(tblData[China]),tblData[Date]&gt;StartDt2China),(tblData[China]-AVERAGE(tblData[China]))^2,"")</f>
        <v>494263702.76234871</v>
      </c>
      <c r="BU81" s="11">
        <f>tblData[[#This Row],[Date]]-China100dt</f>
        <v>70</v>
      </c>
      <c r="BV81" s="106">
        <f>IF(ISNUMBER(tblData[Day'# Singapore]),betaSingapore/(deltaSingapore+betaPodeltaSingapore*EXP(-betaSingapore*tblData[Day'# Singapore])),"")</f>
        <v>1034.3734769374087</v>
      </c>
      <c r="BW81" s="11">
        <f>IF(AND(ISNUMBER(tblData[Singapore]),tblData[Date]&gt;=StartDt2Singapore),(tblData[[#This Row],[Singapore LogiP(t)]]-tblData[[#This Row],[Singapore]])^2,"")</f>
        <v>1181.5359167665656</v>
      </c>
      <c r="BX81" s="106">
        <f>IF(ISNUMBER(tblData[Day'# Singapore]),tblData[Singapore LogiP(t)]/$BV$9,"")</f>
        <v>1768.1597896365961</v>
      </c>
      <c r="BY81" s="106">
        <f>IF(AND(ISNUMBER(tblData[Singapore]),tblData[Date]&gt;StartDt2Singapore),(tblData[Singapore]-AVERAGE(tblData[Singapore]))^2,"")</f>
        <v>641713.82186074194</v>
      </c>
      <c r="BZ81" s="11">
        <f>tblData[[#This Row],[Date]]-Singapore100dt+1</f>
        <v>51</v>
      </c>
      <c r="CA81" s="11">
        <f ca="1">IF(AND(tblData[Date]&gt;StartDt2Generic,ISNUMBER(tblData[Day'# Generic])),betaGeneric/(deltaGeneric+betaPodeltaGeneric*EXP(-betaGeneric*tblData[Day'# Generic])),"")</f>
        <v>759.56084658091356</v>
      </c>
      <c r="CB81" s="106">
        <f ca="1">IF(AND(ISNUMBER(tblData[Generic]),tblData[Date]&gt;StartDt2Generic),(tblData[Generic LogiP(t)]-tblData[[#This Row],[Generic]])^2,"")</f>
        <v>2658.520900140506</v>
      </c>
      <c r="CC81" s="11">
        <f ca="1">IF(AND(ISNUMBER(tblData[Generic]),tblData[Date]&gt;StartDt2Generic),tblData[Generic LogiP(t)]/$CA$9,"")</f>
        <v>1452.3151942273682</v>
      </c>
      <c r="CD81" s="106">
        <f ca="1">IF(AND(ISNUMBER(tblData[Generic]),tblData[Date]&gt;StartDt2Generic),(tblData[Generic]-AVERAGE(tblData[Generic]))^2,"")</f>
        <v>340822.43999999994</v>
      </c>
      <c r="CE81" s="11">
        <f>tblData[[#This Row],[Date]]-Generic100dt+1</f>
        <v>12</v>
      </c>
      <c r="CF81" s="11">
        <v>103361</v>
      </c>
      <c r="CG81" s="11"/>
      <c r="CH81" s="11">
        <f>IF(ISNUMBER(tblData[[#This Row],[Tests]]),tblData[[#This Row],[Tests]]-CF80,"")</f>
        <v>5442</v>
      </c>
      <c r="CI81" s="11" t="str">
        <f>IF(ISNUMBER(tblData[[#This Row],[NSW Under Investigation'']]),tblData[[#This Row],[NSW Under Investigation'']]-CG80,"")</f>
        <v/>
      </c>
      <c r="CJ81" s="11">
        <f>IF(tblData[[#This Row],[Date]]&gt;myData!TestsStart,tblData[[#This Row],[Date]]-myData!TestsStart,"")</f>
        <v>27</v>
      </c>
      <c r="CK81" s="11">
        <f>IF(AND(tblData[[#This Row],[NSW Test Day Number]]&gt;0,ISNUMBER(tblData[[#This Row],[NSW Test Day Number]])),betaTests/(deltaTests+betaPodeltaTests*EXP(-betaTests*tblData[[#This Row],[NSW Test Day Number]])),"")</f>
        <v>102091.95810550796</v>
      </c>
      <c r="CL81" s="11">
        <f>IF(tblData[Tests]&gt;0,(tblData[[#This Row],[Tests]]-tblData[[#This Row],[NSW Test Logi]])^2,"")</f>
        <v>1610467.3299759419</v>
      </c>
      <c r="CM81" s="106">
        <f>IF(AND(ISNUMBER(tblData[Tests]),tblData[Date]&gt;StartDt2Tests),(tblData[Tests]-AVERAGE(tblData[Tests]))^2,"")</f>
        <v>3452380996.7942924</v>
      </c>
      <c r="CN81" s="11">
        <f>IF(ISNUMBER(tblData[Tests]),tblData[Tests]/$CN$9/100,"")</f>
        <v>1279.220297029703</v>
      </c>
      <c r="CO81" s="106">
        <f ca="1">IF(AND(tblData[[#This Row],[NSW Test Day Number]]&gt;0,ISNUMBER(tblData[[#This Row],[NSW Test Day Number]])),TestsLogestB*TestsLogestM^tblData[[#This Row],[NSW Test Day Number]],"")</f>
        <v>134926.43173505683</v>
      </c>
      <c r="CP81" s="11">
        <f>IF(AND(tblData[[#This Row],[NSW Test Day Number]]&gt;0,ISNUMBER(tblData[Tests])),(tblData[Tests]-tblData[[#This Row],[NSW Test Per Capita]])^2,"")</f>
        <v>10420689747.325758</v>
      </c>
      <c r="CQ81" s="39">
        <f ca="1">IF(AND(tblData[Day '# NSW]&gt;0,ISNUMBER(tblData[[#This Row],[Day '# NSW]])),NSWLogestB*NSWLogestM^tblData[[#This Row],[Day '# NSW]]/$CR$9,"")</f>
        <v>1289.6406709585146</v>
      </c>
      <c r="CR81" s="39">
        <f ca="1">IF(AND(ISNUMBER(tblData[NSW]),tblData[Date]&gt;StartDt2NSW),(tblData[NSW]/$CR$9-tblData[[#This Row],[NSW Cases LogEst]])^2,"")</f>
        <v>1990510.077463649</v>
      </c>
      <c r="CS81" s="106"/>
      <c r="CT81" s="11"/>
      <c r="CW81" s="25"/>
      <c r="CX81"/>
      <c r="DL81" s="25"/>
      <c r="DR81"/>
      <c r="DS81"/>
      <c r="DT81"/>
      <c r="DU81"/>
      <c r="DW81" s="25"/>
      <c r="DX81" s="25"/>
      <c r="EB81" s="25"/>
      <c r="EC81" s="25"/>
      <c r="ED81" s="25"/>
      <c r="EE81" s="25"/>
      <c r="EK81"/>
      <c r="EL81"/>
      <c r="EM81"/>
      <c r="EN81"/>
      <c r="EO81"/>
      <c r="EP81"/>
      <c r="EQ81"/>
      <c r="ER81"/>
      <c r="ES81" s="69"/>
      <c r="EU81" s="26" t="s">
        <v>58</v>
      </c>
      <c r="EV81" s="69">
        <v>43918.90079861111</v>
      </c>
      <c r="EW81" s="26">
        <v>43860</v>
      </c>
      <c r="EX81" s="26">
        <v>43883</v>
      </c>
      <c r="EY81" s="25">
        <v>2</v>
      </c>
      <c r="EZ81" s="25">
        <v>0.25834558435147831</v>
      </c>
      <c r="FA81" s="81">
        <v>3.2108327742279526E-6</v>
      </c>
      <c r="FB81" s="21">
        <v>0.44338020806896927</v>
      </c>
      <c r="FC81" s="82">
        <v>80460.61645599021</v>
      </c>
      <c r="FD81" s="82">
        <v>4840.450793699004</v>
      </c>
      <c r="FE81" s="83">
        <v>0.58266958251683731</v>
      </c>
      <c r="FF81" s="84">
        <v>3.2108327742279524E-3</v>
      </c>
      <c r="FG81" s="26">
        <v>43917</v>
      </c>
      <c r="FH81" s="84" t="s">
        <v>1848</v>
      </c>
      <c r="FI81" s="84">
        <v>80460.61645599021</v>
      </c>
      <c r="FJ81" s="84">
        <v>86498</v>
      </c>
      <c r="FK81" s="25" t="s">
        <v>1849</v>
      </c>
      <c r="FL81" s="26">
        <v>43917</v>
      </c>
      <c r="FM81" s="25">
        <v>58</v>
      </c>
      <c r="FN81" s="25" t="s">
        <v>1850</v>
      </c>
      <c r="FO81" s="25"/>
      <c r="FP81" s="72" t="s">
        <v>1851</v>
      </c>
      <c r="FR81" s="72" t="s">
        <v>1852</v>
      </c>
      <c r="FS81" s="19">
        <v>14300.735719599901</v>
      </c>
      <c r="FT81" s="72">
        <v>43901</v>
      </c>
      <c r="FU81" s="25">
        <v>17</v>
      </c>
      <c r="FV81" s="142">
        <v>43899</v>
      </c>
      <c r="FW81" s="25">
        <v>19</v>
      </c>
      <c r="FY81" s="25"/>
    </row>
    <row r="82" spans="2:217" x14ac:dyDescent="0.25">
      <c r="B82" s="26">
        <f t="shared" si="3"/>
        <v>43923</v>
      </c>
      <c r="D82" s="25">
        <v>87</v>
      </c>
      <c r="E82">
        <v>2298</v>
      </c>
      <c r="F82">
        <v>21</v>
      </c>
      <c r="G82">
        <v>835</v>
      </c>
      <c r="H82">
        <v>367</v>
      </c>
      <c r="I82">
        <v>72</v>
      </c>
      <c r="J82">
        <v>1036</v>
      </c>
      <c r="K82">
        <v>392</v>
      </c>
      <c r="L82" s="12">
        <f>IF(ISNUMBER(tblData[[#This Row],[NSW]]),tblData[[#This Row],[New South Wales]]/$L$9,"")</f>
        <v>2844.0594059405939</v>
      </c>
      <c r="M82" s="25"/>
      <c r="N82" s="44" t="str">
        <f>IF(ISNUMBER(tblData[Italy]),tblData[Italy]/$N$9,"")</f>
        <v/>
      </c>
      <c r="O82" s="25"/>
      <c r="P82" s="106" t="str">
        <f>IF(ISNUMBER(tblData[US]),tblData[US]/$P$9,"")</f>
        <v/>
      </c>
      <c r="Q82" s="44"/>
      <c r="R82" s="19" t="str">
        <f>IF(ISNUMBER(tblData[SKorea]),tblData[SKorea]/$R$9,"")</f>
        <v/>
      </c>
      <c r="T82" s="12" t="str">
        <f>IF(ISNUMBER(tblData[UK]),tblData[UK]/$T$9,"")</f>
        <v/>
      </c>
      <c r="V82" s="20" t="str">
        <f>IF(ISNUMBER(tblData[China]),tblData[China]/$V$9,"")</f>
        <v/>
      </c>
      <c r="W82" s="20"/>
      <c r="X82" s="20" t="str">
        <f>IF(ISNUMBER(tblData[Singapore]),tblData[Singapore]/$X$9,"")</f>
        <v/>
      </c>
      <c r="Y82"/>
      <c r="Z82" s="20" t="str">
        <f>IF(AND(LEN(tblData[Generic])&gt;0,ISNUMBER(tblData[Generic])),tblData[Generic]/$Z$9,"")</f>
        <v/>
      </c>
      <c r="AA82" s="25">
        <f ca="1">IF(tblData[[#This Row],[Date]]&lt;StartDt2Italy,"",tblData[[#This Row],[Date]]-ItalyStart)</f>
        <v>63</v>
      </c>
      <c r="AB82" s="25">
        <f ca="1">IF(tblData[[#This Row],[Date]]&lt;=StartDt2US,"",tblData[[#This Row],[Date]]-USStart)</f>
        <v>71</v>
      </c>
      <c r="AC82" s="25">
        <f ca="1">IF(tblData[[#This Row],[Date]]&lt;StartDt2China,"",tblData[[#This Row],[Date]]-ChinaStart)</f>
        <v>71</v>
      </c>
      <c r="AD82" s="25">
        <f>IF(tblData[[#This Row],[Date]]&lt;=SKoreaStart,"",tblData[[#This Row],[Date]]-SKoreaStart)</f>
        <v>71</v>
      </c>
      <c r="AE82" s="25">
        <f ca="1">IF(tblData[[#This Row],[Date]]&lt;=StartDt2UK,"",tblData[[#This Row],[Date]]-UKStart)</f>
        <v>63</v>
      </c>
      <c r="AF82" s="25">
        <f>IF(tblData[[#This Row],[Date]]&lt;StartDt2Singapore,"",tblData[[#This Row],[Date]]-SingaporeStart)</f>
        <v>70</v>
      </c>
      <c r="AG82" s="25">
        <f ca="1">IF(tblData[[#This Row],[Date]]&lt;StartDt2Generic,"",tblData[[#This Row],[Date]]-GenericStart)</f>
        <v>71</v>
      </c>
      <c r="AH82">
        <f ca="1">IF(tblData[Date]&gt;StartDt2Au,tblData[Date]-AuStart,"")</f>
        <v>68</v>
      </c>
      <c r="AI82" s="25">
        <f>IF(tblData[New South Wales]&gt;=0,SUM(tblData[[#This Row],[Australian Capital Territory]:[Western Australia]]),"")</f>
        <v>5108</v>
      </c>
      <c r="AJ82" s="12">
        <f>IF(ISNUMBER(tblData[Au]),tblData[Au]/$AE$9,"")</f>
        <v>2013.8779372338747</v>
      </c>
      <c r="AK82" s="19">
        <f ca="1">IF(ISNUMBER(tblData[[#This Row],[Day'# Aust]]),betaAu/(deltaAu+betaPodeltaAu*EXP(-betaAu*tblData[[#This Row],[Day'# Aust]])),"")</f>
        <v>5117.8536989057657</v>
      </c>
      <c r="AL82" s="62">
        <f ca="1">IF(ISNUMBER(tblData[Day'# Aust]),tblData[Au LogiP(t)]/$AJ$9,"")</f>
        <v>2017.7628524309123</v>
      </c>
      <c r="AM82" s="11">
        <f ca="1">IF(AND(tblData[Date]&gt;StartDt2Au,ISNUMBER(tblData[NSW])),(tblData[[#This Row],[Au LogiP(t)]]-tblData[[#This Row],[Au]])^2,"")</f>
        <v>97.095382125487532</v>
      </c>
      <c r="AN82" s="11">
        <f ca="1">IF(AND(ISNUMBER(tblData[Au]),tblData[Date]&gt;StartDt2Au),(tblData[Au]-AVERAGE(tblData[Au]))^2,"")</f>
        <v>21758905.799648665</v>
      </c>
      <c r="AO82" s="11">
        <f>tblData[[#This Row],[Date]]-Au100dt</f>
        <v>19</v>
      </c>
      <c r="AP82">
        <f ca="1">IF(tblData[Date]&gt;StartDt2NSW,tblData[Date]-StartDt2NSW,"")</f>
        <v>68</v>
      </c>
      <c r="AQ82" s="25">
        <f>IF(tblData[[#This Row],[New South Wales]]&gt;0,tblData[[#This Row],[New South Wales]],"")</f>
        <v>2298</v>
      </c>
      <c r="AR82" s="11">
        <f ca="1">IF(tblData[Date]&gt;StartDt2NSW,betaNSW/(deltaNSW+betaPodeltaNSW*EXP(-betaNSW*tblData[[#This Row],[Day '# NSW]])),"")</f>
        <v>2335.3133526562769</v>
      </c>
      <c r="AS82" s="12">
        <f ca="1">IF(AND(ISNUMBER(tblData[NSW]),tblData[Date]&gt;StartDt2NSW),(tblData[[#This Row],[NSW LogiP(t)]]-tblData[[#This Row],[NSW]])^2,"")</f>
        <v>1392.2862864516899</v>
      </c>
      <c r="AT82" s="12">
        <f ca="1">IF(AND(tblData[Date]&gt;StartDt2NSW,ISNUMBER(tblData[Day'# Aust])),tblData[NSW LogiP(t)]/$AR$9,"")</f>
        <v>2890.2392978419266</v>
      </c>
      <c r="AU82" s="11">
        <f>tblData[[#This Row],[Date]]-NSW100dt+1</f>
        <v>23</v>
      </c>
      <c r="AV82" s="11">
        <f ca="1">IF(AND(ISNUMBER(tblData[NSW]),tblData[Date]&gt;StartDt2NSW),(tblData[NSW]-AVERAGE(tblData[NSW]))^2,"")</f>
        <v>4016771.165931527</v>
      </c>
      <c r="AW82" s="39">
        <f ca="1">IF(AND(tblData[Date]&gt;StartDt2Italy,ISNUMBER(tblData[Days'# Italy])),betaItaly/(deltaItaly+betaPodeltaItaly*EXP(-betaItaly*tblData[Days'# Italy])),"")</f>
        <v>95280.401042538419</v>
      </c>
      <c r="AX82" s="11" t="str">
        <f ca="1">IF(AND(tblData[Date]&gt;StartDt2Italy,ISNUMBER(tblData[Italy])),(tblData[[#This Row],[Italy LogiP(t)]]-tblData[[#This Row],[Italy]])^2,"")</f>
        <v/>
      </c>
      <c r="AY82" s="39">
        <f ca="1">IF(AND(tblData[Date]&gt;StartDt2Italy,ISNUMBER(tblData[Days'# Italy])),tblData[[#This Row],[Italy LogiP(t)]]/$AW$9,"")</f>
        <v>15752.732254697597</v>
      </c>
      <c r="AZ82" s="39" t="str">
        <f ca="1">IF(AND(ISNUMBER(tblData[Italy]),tblData[Date]&gt;StartDt2Italy),(tblData[Italy]-AVERAGE(tblData[Italy]))^2,"")</f>
        <v/>
      </c>
      <c r="BA82" s="11">
        <f>tblData[[#This Row],[Date]]-Italy100dt+1</f>
        <v>36</v>
      </c>
      <c r="BB82" s="11">
        <f ca="1">IF(AND(tblData[Date]&gt;StartDt2US,ISNUMBER(tblData[[#This Row],[Days'# US]])),betaUS/(deltaUS+betaPodeltaUS*EXP(-betaUS*tblData[Days'# US])),"")</f>
        <v>297828.49815581768</v>
      </c>
      <c r="BC82" s="11" t="str">
        <f ca="1">IF(AND(tblData[Date]&gt;StartDt2US,ISNUMBER(tblData[US])),(tblData[[#This Row],[US LogiP(t)]]-tblData[US])^2,"")</f>
        <v/>
      </c>
      <c r="BD82" s="137">
        <f ca="1">IF(AND(tblData[Date]&gt;=StartDt2US,ISNUMBER(tblData[[#This Row],[Days'# US]])),tblData[[#This Row],[US LogiP(t)]]/$BB$9,"")</f>
        <v>9046.2757703239786</v>
      </c>
      <c r="BE82" s="137" t="str">
        <f ca="1">IF(AND(ISNUMBER(tblData[US]),tblData[Date]&gt;StartDt2US),(tblData[US]-AVERAGE(tblData[US]))^2,"")</f>
        <v/>
      </c>
      <c r="BF82" s="11">
        <f>tblData[[#This Row],[Date]]-US100dt+1</f>
        <v>20</v>
      </c>
      <c r="BG82" s="20">
        <f ca="1">IF(tblData[Date]&gt;StartDt2SKorea,betaSKorea/(deltaSKorea+betaPodeltaSKorea*EXP(-betaSKorea*(tblData[Date]-StartDt2SKorea))),"")</f>
        <v>9034.0536826853731</v>
      </c>
      <c r="BH82" s="20" t="str">
        <f ca="1">IF(AND(tblData[Date]&gt;StartDt2SKorea,ISNUMBER(tblData[SKorea])),(tblData[[#This Row],[SKorea LogiP(t)]]-tblData[[#This Row],[SKorea]])^2,"")</f>
        <v/>
      </c>
      <c r="BI82" s="20">
        <f ca="1">IF(tblData[Date]&gt;StartDt2SKorea,tblData[[#This Row],[SKorea LogiP(t)]]/$BG$9,"")</f>
        <v>1757.597992740345</v>
      </c>
      <c r="BJ82" s="137" t="str">
        <f ca="1">IF(AND(ISNUMBER(tblData[SKorea]),tblData[Date]&gt;StartDt2SKorea),(tblData[SKorea]-AVERAGE(tblData[SKorea]))^2,"")</f>
        <v/>
      </c>
      <c r="BK82" s="11">
        <f>tblData[[#This Row],[Date]]-SKorea100dt+1</f>
        <v>41</v>
      </c>
      <c r="BL82" s="137">
        <f ca="1">IF(AND(tblData[Date]&gt;StartDt2UK,ISNUMBER(tblData[Days'# UK])),betaUK/(deltaUK+betaPodeltaUK*EXP(-betaUK*tblData[Days'# UK])),"")</f>
        <v>33774.30964874076</v>
      </c>
      <c r="BM82" s="71" t="str">
        <f ca="1">IF(AND(tblData[Date]&gt;StartDt2UK,ISNUMBER(tblData[UK])),(tblData[[#This Row],[UK LogiP(t)]]-tblData[[#This Row],[UK]])^2,"")</f>
        <v/>
      </c>
      <c r="BN82" s="71">
        <f ca="1">IF(ISNUMBER(tblData[Days'# UK]),tblData[[#This Row],[UK LogiP(t)]]/$BL$9,"")</f>
        <v>5083.43010968404</v>
      </c>
      <c r="BO82" s="137" t="str">
        <f ca="1">IF(AND(ISNUMBER(tblData[UK]),tblData[Date]&gt;StartDt2UK),(tblData[UK]-AVERAGE(tblData[UK]))^2,"")</f>
        <v/>
      </c>
      <c r="BP82" s="11">
        <f>tblData[[#This Row],[Date]]-UK100dt</f>
        <v>21</v>
      </c>
      <c r="BQ82" s="11">
        <f ca="1">IF(ISNUMBER(tblData[Days'# China]),betaChina/(deltaChina+betaPodeltaChina*EXP(-betaChina*tblData[Days'# China])),"")</f>
        <v>81223.311005337338</v>
      </c>
      <c r="BR82" s="11" t="str">
        <f>IF(ISNUMBER(tblData[China]),(tblData[[#This Row],[China LogiP(t)]]-tblData[[#This Row],[China]])^2,"")</f>
        <v/>
      </c>
      <c r="BS82" s="11">
        <f ca="1">tblData[[#This Row],[China LogiP(t)]]/$BQ$9</f>
        <v>564.31577355766092</v>
      </c>
      <c r="BT82" s="137" t="str">
        <f ca="1">IF(AND(ISNUMBER(tblData[China]),tblData[Date]&gt;StartDt2China),(tblData[China]-AVERAGE(tblData[China]))^2,"")</f>
        <v/>
      </c>
      <c r="BU82" s="11">
        <f>tblData[[#This Row],[Date]]-China100dt</f>
        <v>71</v>
      </c>
      <c r="BV82" s="106">
        <f>IF(ISNUMBER(tblData[Day'# Singapore]),betaSingapore/(deltaSingapore+betaPodeltaSingapore*EXP(-betaSingapore*tblData[Day'# Singapore])),"")</f>
        <v>1119.3815244816665</v>
      </c>
      <c r="BW82" s="11" t="str">
        <f>IF(AND(ISNUMBER(tblData[Singapore]),tblData[Date]&gt;=StartDt2Singapore),(tblData[[#This Row],[Singapore LogiP(t)]]-tblData[[#This Row],[Singapore]])^2,"")</f>
        <v/>
      </c>
      <c r="BX82" s="106">
        <f>IF(ISNUMBER(tblData[Day'# Singapore]),tblData[Singapore LogiP(t)]/$BV$9,"")</f>
        <v>1913.4726914216521</v>
      </c>
      <c r="BY82" s="106" t="str">
        <f>IF(AND(ISNUMBER(tblData[Singapore]),tblData[Date]&gt;StartDt2Singapore),(tblData[Singapore]-AVERAGE(tblData[Singapore]))^2,"")</f>
        <v/>
      </c>
      <c r="BZ82" s="11">
        <f>tblData[[#This Row],[Date]]-Singapore100dt+1</f>
        <v>52</v>
      </c>
      <c r="CA82" s="11">
        <f ca="1">IF(AND(tblData[Date]&gt;StartDt2Generic,ISNUMBER(tblData[Day'# Generic])),betaGeneric/(deltaGeneric+betaPodeltaGeneric*EXP(-betaGeneric*tblData[Day'# Generic])),"")</f>
        <v>883.66800979554489</v>
      </c>
      <c r="CB82" s="106" t="str">
        <f ca="1">IF(AND(ISNUMBER(tblData[Generic]),tblData[Date]&gt;StartDt2Generic),(tblData[Generic LogiP(t)]-tblData[[#This Row],[Generic]])^2,"")</f>
        <v/>
      </c>
      <c r="CC82" s="11" t="str">
        <f ca="1">IF(AND(ISNUMBER(tblData[Generic]),tblData[Date]&gt;StartDt2Generic),tblData[Generic LogiP(t)]/$CA$9,"")</f>
        <v/>
      </c>
      <c r="CD82" s="106" t="str">
        <f ca="1">IF(AND(ISNUMBER(tblData[Generic]),tblData[Date]&gt;StartDt2Generic),(tblData[Generic]-AVERAGE(tblData[Generic]))^2,"")</f>
        <v/>
      </c>
      <c r="CE82" s="11">
        <f>tblData[[#This Row],[Date]]-Generic100dt+1</f>
        <v>13</v>
      </c>
      <c r="CF82" s="167">
        <v>108239</v>
      </c>
      <c r="CG82" s="11"/>
      <c r="CH82" s="11">
        <f>IF(ISNUMBER(tblData[[#This Row],[Tests]]),tblData[[#This Row],[Tests]]-CF81,"")</f>
        <v>4878</v>
      </c>
      <c r="CI82" s="11" t="str">
        <f>IF(ISNUMBER(tblData[[#This Row],[NSW Under Investigation'']]),tblData[[#This Row],[NSW Under Investigation'']]-CG81,"")</f>
        <v/>
      </c>
      <c r="CJ82" s="11">
        <f>IF(tblData[[#This Row],[Date]]&gt;myData!TestsStart,tblData[[#This Row],[Date]]-myData!TestsStart,"")</f>
        <v>28</v>
      </c>
      <c r="CK82" s="11">
        <f>IF(AND(tblData[[#This Row],[NSW Test Day Number]]&gt;0,ISNUMBER(tblData[[#This Row],[NSW Test Day Number]])),betaTests/(deltaTests+betaPodeltaTests*EXP(-betaTests*tblData[[#This Row],[NSW Test Day Number]])),"")</f>
        <v>105457.15864998098</v>
      </c>
      <c r="CL82" s="11">
        <f>IF(tblData[Tests]&gt;0,(tblData[[#This Row],[Tests]]-tblData[[#This Row],[NSW Test Logi]])^2,"")</f>
        <v>7738641.2966756532</v>
      </c>
      <c r="CM82" s="106">
        <f>IF(AND(ISNUMBER(tblData[Tests]),tblData[Date]&gt;StartDt2Tests),(tblData[Tests]-AVERAGE(tblData[Tests]))^2,"")</f>
        <v>4049408836.3804989</v>
      </c>
      <c r="CN82" s="11">
        <f>IF(ISNUMBER(tblData[Tests]),tblData[Tests]/$CN$9/100,"")</f>
        <v>1339.5915841584158</v>
      </c>
      <c r="CO82" s="106">
        <f ca="1">IF(AND(tblData[[#This Row],[NSW Test Day Number]]&gt;0,ISNUMBER(tblData[[#This Row],[NSW Test Day Number]])),TestsLogestB*TestsLogestM^tblData[[#This Row],[NSW Test Day Number]],"")</f>
        <v>151392.80427237786</v>
      </c>
      <c r="CP82" s="11">
        <f>IF(AND(tblData[[#This Row],[NSW Test Day Number]]&gt;0,ISNUMBER(tblData[Tests])),(tblData[Tests]-tblData[[#This Row],[NSW Test Per Capita]])^2,"")</f>
        <v>11427483519.656902</v>
      </c>
      <c r="CQ82" s="39">
        <f ca="1">IF(AND(tblData[Day '# NSW]&gt;0,ISNUMBER(tblData[[#This Row],[Day '# NSW]])),NSWLogestB*NSWLogestM^tblData[[#This Row],[Day '# NSW]]/$CR$9,"")</f>
        <v>1435.2912355434114</v>
      </c>
      <c r="CR82" s="39">
        <f ca="1">IF(AND(ISNUMBER(tblData[NSW]),tblData[Date]&gt;StartDt2NSW),(tblData[NSW]/$CR$9-tblData[[#This Row],[NSW Cases LogEst]])^2,"")</f>
        <v>1984627.7579242252</v>
      </c>
      <c r="CS82" s="106"/>
      <c r="CT82" s="11"/>
      <c r="CW82" s="25"/>
      <c r="CX82"/>
      <c r="DL82" s="25"/>
      <c r="DR82"/>
      <c r="DS82"/>
      <c r="DT82"/>
      <c r="DU82"/>
      <c r="DW82" s="25"/>
      <c r="DX82" s="25"/>
      <c r="EB82" s="25"/>
      <c r="EC82" s="25"/>
      <c r="ED82" s="25"/>
      <c r="EE82" s="25"/>
      <c r="EK82"/>
      <c r="EL82"/>
      <c r="EM82"/>
      <c r="EN82"/>
      <c r="EO82"/>
      <c r="EP82"/>
      <c r="EQ82"/>
      <c r="ER82"/>
      <c r="ES82" s="69"/>
      <c r="EU82" s="69" t="s">
        <v>58</v>
      </c>
      <c r="EV82" s="69">
        <v>43919.682615740741</v>
      </c>
      <c r="EW82" s="26">
        <v>43860</v>
      </c>
      <c r="EX82" s="26">
        <v>43883</v>
      </c>
      <c r="EY82" s="25">
        <v>2</v>
      </c>
      <c r="EZ82" s="25">
        <v>0.25764913322076793</v>
      </c>
      <c r="FA82" s="25">
        <v>3.0140330772061309E-6</v>
      </c>
      <c r="FB82" s="21">
        <v>0.44330034133032414</v>
      </c>
      <c r="FC82" s="82">
        <v>85483.180383540035</v>
      </c>
      <c r="FD82" s="82">
        <v>5360.6101240867911</v>
      </c>
      <c r="FE82" s="83">
        <v>0.58120369663079141</v>
      </c>
      <c r="FF82" s="84">
        <v>3.014033077206131E-3</v>
      </c>
      <c r="FG82" s="26">
        <v>43918</v>
      </c>
      <c r="FH82" s="26" t="s">
        <v>1927</v>
      </c>
      <c r="FI82" s="84">
        <v>85483.180383540035</v>
      </c>
      <c r="FJ82" s="84">
        <v>92472</v>
      </c>
      <c r="FK82" s="26" t="s">
        <v>1862</v>
      </c>
      <c r="FL82" s="26">
        <v>43918</v>
      </c>
      <c r="FM82" s="25">
        <v>59</v>
      </c>
      <c r="FN82" s="25" t="s">
        <v>1928</v>
      </c>
      <c r="FO82" s="25"/>
      <c r="FP82" s="25" t="s">
        <v>1929</v>
      </c>
      <c r="FQ82" s="72"/>
      <c r="FR82" s="25" t="s">
        <v>1930</v>
      </c>
      <c r="FS82" s="19">
        <v>15288.418616185832</v>
      </c>
      <c r="FT82" s="72">
        <v>43903</v>
      </c>
      <c r="FU82" s="25">
        <v>16</v>
      </c>
      <c r="FV82" s="142">
        <v>43900</v>
      </c>
      <c r="FW82" s="25">
        <v>19</v>
      </c>
      <c r="FY82" s="25"/>
    </row>
    <row r="83" spans="2:217" x14ac:dyDescent="0.25">
      <c r="B83" s="26">
        <f t="shared" si="3"/>
        <v>43924</v>
      </c>
      <c r="D83" s="25"/>
      <c r="L83" s="12" t="str">
        <f>IF(ISNUMBER(tblData[[#This Row],[NSW]]),tblData[[#This Row],[New South Wales]]/$L$9,"")</f>
        <v/>
      </c>
      <c r="M83" s="25"/>
      <c r="N83" s="44" t="str">
        <f>IF(ISNUMBER(tblData[Italy]),tblData[Italy]/$N$9,"")</f>
        <v/>
      </c>
      <c r="O83" s="25"/>
      <c r="P83" s="106" t="str">
        <f>IF(ISNUMBER(tblData[US]),tblData[US]/$P$9,"")</f>
        <v/>
      </c>
      <c r="Q83" s="44"/>
      <c r="R83" s="19" t="str">
        <f>IF(ISNUMBER(tblData[SKorea]),tblData[SKorea]/$R$9,"")</f>
        <v/>
      </c>
      <c r="S83" s="44"/>
      <c r="T83" s="12" t="str">
        <f>IF(ISNUMBER(tblData[UK]),tblData[UK]/$T$9,"")</f>
        <v/>
      </c>
      <c r="U83" s="25"/>
      <c r="V83" s="20" t="str">
        <f>IF(ISNUMBER(tblData[China]),tblData[China]/$V$9,"")</f>
        <v/>
      </c>
      <c r="W83" s="20"/>
      <c r="X83" s="20" t="str">
        <f>IF(ISNUMBER(tblData[Singapore]),tblData[Singapore]/$X$9,"")</f>
        <v/>
      </c>
      <c r="Y83" s="20"/>
      <c r="Z83" s="20" t="str">
        <f>IF(AND(LEN(tblData[Generic])&gt;0,ISNUMBER(tblData[Generic])),tblData[Generic]/$Z$9,"")</f>
        <v/>
      </c>
      <c r="AA83" s="25">
        <f ca="1">IF(tblData[[#This Row],[Date]]&lt;StartDt2Italy,"",tblData[[#This Row],[Date]]-ItalyStart)</f>
        <v>64</v>
      </c>
      <c r="AB83" s="25">
        <f ca="1">IF(tblData[[#This Row],[Date]]&lt;=StartDt2US,"",tblData[[#This Row],[Date]]-USStart)</f>
        <v>72</v>
      </c>
      <c r="AC83" s="25">
        <f ca="1">IF(tblData[[#This Row],[Date]]&lt;StartDt2China,"",tblData[[#This Row],[Date]]-ChinaStart)</f>
        <v>72</v>
      </c>
      <c r="AD83" s="25">
        <f>IF(tblData[[#This Row],[Date]]&lt;=SKoreaStart,"",tblData[[#This Row],[Date]]-SKoreaStart)</f>
        <v>72</v>
      </c>
      <c r="AE83" s="25">
        <f ca="1">IF(tblData[[#This Row],[Date]]&lt;=StartDt2UK,"",tblData[[#This Row],[Date]]-UKStart)</f>
        <v>64</v>
      </c>
      <c r="AF83" s="25">
        <f>IF(tblData[[#This Row],[Date]]&lt;StartDt2Singapore,"",tblData[[#This Row],[Date]]-SingaporeStart)</f>
        <v>71</v>
      </c>
      <c r="AG83" s="25">
        <f ca="1">IF(tblData[[#This Row],[Date]]&lt;StartDt2Generic,"",tblData[[#This Row],[Date]]-GenericStart)</f>
        <v>72</v>
      </c>
      <c r="AH83">
        <f ca="1">IF(tblData[Date]&gt;StartDt2Au,tblData[Date]-AuStart,"")</f>
        <v>69</v>
      </c>
      <c r="AI83" s="25">
        <f>IF(tblData[New South Wales]&gt;=0,SUM(tblData[[#This Row],[Australian Capital Territory]:[Western Australia]]),"")</f>
        <v>0</v>
      </c>
      <c r="AJ83" s="12">
        <f>IF(ISNUMBER(tblData[Au]),tblData[Au]/$AE$9,"")</f>
        <v>0</v>
      </c>
      <c r="AK83" s="19">
        <f ca="1">IF(ISNUMBER(tblData[[#This Row],[Day'# Aust]]),betaAu/(deltaAu+betaPodeltaAu*EXP(-betaAu*tblData[[#This Row],[Day'# Aust]])),"")</f>
        <v>5322.3328043643405</v>
      </c>
      <c r="AL83" s="62">
        <f ca="1">IF(ISNUMBER(tblData[Day'# Aust]),tblData[Au LogiP(t)]/$AJ$9,"")</f>
        <v>2098.3806987716216</v>
      </c>
      <c r="AM83" s="11" t="str">
        <f ca="1">IF(AND(tblData[Date]&gt;StartDt2Au,ISNUMBER(tblData[NSW])),(tblData[[#This Row],[Au LogiP(t)]]-tblData[[#This Row],[Au]])^2,"")</f>
        <v/>
      </c>
      <c r="AN83" s="11">
        <f ca="1">IF(AND(ISNUMBER(tblData[Au]),tblData[Date]&gt;StartDt2Au),(tblData[Au]-AVERAGE(tblData[Au]))^2,"")</f>
        <v>196564.33811020709</v>
      </c>
      <c r="AO83" s="11">
        <f>tblData[[#This Row],[Date]]-Au100dt</f>
        <v>20</v>
      </c>
      <c r="AP83">
        <f ca="1">IF(tblData[Date]&gt;StartDt2NSW,tblData[Date]-StartDt2NSW,"")</f>
        <v>69</v>
      </c>
      <c r="AQ83" s="25" t="str">
        <f>IF(tblData[[#This Row],[New South Wales]]&gt;0,tblData[[#This Row],[New South Wales]],"")</f>
        <v/>
      </c>
      <c r="AR83" s="11">
        <f ca="1">IF(tblData[Date]&gt;StartDt2NSW,betaNSW/(deltaNSW+betaPodeltaNSW*EXP(-betaNSW*tblData[[#This Row],[Day '# NSW]])),"")</f>
        <v>2450.2435846238805</v>
      </c>
      <c r="AS83" s="12" t="str">
        <f ca="1">IF(AND(ISNUMBER(tblData[NSW]),tblData[Date]&gt;StartDt2NSW),(tblData[[#This Row],[NSW LogiP(t)]]-tblData[[#This Row],[NSW]])^2,"")</f>
        <v/>
      </c>
      <c r="AT83" s="12">
        <f ca="1">IF(AND(tblData[Date]&gt;StartDt2NSW,ISNUMBER(tblData[Day'# Aust])),tblData[NSW LogiP(t)]/$AR$9,"")</f>
        <v>3032.4796839404457</v>
      </c>
      <c r="AU83" s="11">
        <f>tblData[[#This Row],[Date]]-NSW100dt+1</f>
        <v>24</v>
      </c>
      <c r="AV83" s="11" t="str">
        <f ca="1">IF(AND(ISNUMBER(tblData[NSW]),tblData[Date]&gt;StartDt2NSW),(tblData[NSW]-AVERAGE(tblData[NSW]))^2,"")</f>
        <v/>
      </c>
      <c r="AW83" s="39">
        <f ca="1">IF(AND(tblData[Date]&gt;StartDt2Italy,ISNUMBER(tblData[Days'# Italy])),betaItaly/(deltaItaly+betaPodeltaItaly*EXP(-betaItaly*tblData[Days'# Italy])),"")</f>
        <v>95723.536300097403</v>
      </c>
      <c r="AX83" s="11" t="str">
        <f ca="1">IF(AND(tblData[Date]&gt;StartDt2Italy,ISNUMBER(tblData[Italy])),(tblData[[#This Row],[Italy LogiP(t)]]-tblData[[#This Row],[Italy]])^2,"")</f>
        <v/>
      </c>
      <c r="AY83" s="39">
        <f ca="1">IF(AND(tblData[Date]&gt;StartDt2Italy,ISNUMBER(tblData[Days'# Italy])),tblData[[#This Row],[Italy LogiP(t)]]/$AW$9,"")</f>
        <v>15825.995916358999</v>
      </c>
      <c r="AZ83" s="39" t="str">
        <f ca="1">IF(AND(ISNUMBER(tblData[Italy]),tblData[Date]&gt;StartDt2Italy),(tblData[Italy]-AVERAGE(tblData[Italy]))^2,"")</f>
        <v/>
      </c>
      <c r="BA83" s="11">
        <f>tblData[[#This Row],[Date]]-Italy100dt+1</f>
        <v>37</v>
      </c>
      <c r="BB83" s="11">
        <f ca="1">IF(AND(tblData[Date]&gt;StartDt2US,ISNUMBER(tblData[[#This Row],[Days'# US]])),betaUS/(deltaUS+betaPodeltaUS*EXP(-betaUS*tblData[Days'# US])),"")</f>
        <v>342666.25311216025</v>
      </c>
      <c r="BC83" s="11" t="str">
        <f ca="1">IF(AND(tblData[Date]&gt;StartDt2US,ISNUMBER(tblData[US])),(tblData[[#This Row],[US LogiP(t)]]-tblData[US])^2,"")</f>
        <v/>
      </c>
      <c r="BD83" s="137">
        <f ca="1">IF(AND(tblData[Date]&gt;=StartDt2US,ISNUMBER(tblData[[#This Row],[Days'# US]])),tblData[[#This Row],[US LogiP(t)]]/$BB$9,"")</f>
        <v>10408.182702564816</v>
      </c>
      <c r="BE83" s="137" t="str">
        <f ca="1">IF(AND(ISNUMBER(tblData[US]),tblData[Date]&gt;StartDt2US),(tblData[US]-AVERAGE(tblData[US]))^2,"")</f>
        <v/>
      </c>
      <c r="BF83" s="11">
        <f>tblData[[#This Row],[Date]]-US100dt+1</f>
        <v>21</v>
      </c>
      <c r="BG83" s="20">
        <f ca="1">IF(tblData[Date]&gt;StartDt2SKorea,betaSKorea/(deltaSKorea+betaPodeltaSKorea*EXP(-betaSKorea*(tblData[Date]-StartDt2SKorea))),"")</f>
        <v>9034.8080999522444</v>
      </c>
      <c r="BH83" s="20" t="str">
        <f ca="1">IF(AND(tblData[Date]&gt;StartDt2SKorea,ISNUMBER(tblData[SKorea])),(tblData[[#This Row],[SKorea LogiP(t)]]-tblData[[#This Row],[SKorea]])^2,"")</f>
        <v/>
      </c>
      <c r="BI83" s="20">
        <f ca="1">IF(tblData[Date]&gt;StartDt2SKorea,tblData[[#This Row],[SKorea LogiP(t)]]/$BG$9,"")</f>
        <v>1757.7447665276741</v>
      </c>
      <c r="BJ83" s="137" t="str">
        <f ca="1">IF(AND(ISNUMBER(tblData[SKorea]),tblData[Date]&gt;StartDt2SKorea),(tblData[SKorea]-AVERAGE(tblData[SKorea]))^2,"")</f>
        <v/>
      </c>
      <c r="BK83" s="11">
        <f>tblData[[#This Row],[Date]]-SKorea100dt+1</f>
        <v>42</v>
      </c>
      <c r="BL83" s="137">
        <f ca="1">IF(AND(tblData[Date]&gt;StartDt2UK,ISNUMBER(tblData[Days'# UK])),betaUK/(deltaUK+betaPodeltaUK*EXP(-betaUK*tblData[Days'# UK])),"")</f>
        <v>37746.411289569485</v>
      </c>
      <c r="BM83" s="71" t="str">
        <f ca="1">IF(AND(tblData[Date]&gt;StartDt2UK,ISNUMBER(tblData[UK])),(tblData[[#This Row],[UK LogiP(t)]]-tblData[[#This Row],[UK]])^2,"")</f>
        <v/>
      </c>
      <c r="BN83" s="71">
        <f ca="1">IF(ISNUMBER(tblData[Days'# UK]),tblData[[#This Row],[UK LogiP(t)]]/$BL$9,"")</f>
        <v>5681.278038767231</v>
      </c>
      <c r="BO83" s="137" t="str">
        <f ca="1">IF(AND(ISNUMBER(tblData[UK]),tblData[Date]&gt;StartDt2UK),(tblData[UK]-AVERAGE(tblData[UK]))^2,"")</f>
        <v/>
      </c>
      <c r="BP83" s="11">
        <f>tblData[[#This Row],[Date]]-UK100dt</f>
        <v>22</v>
      </c>
      <c r="BQ83" s="11">
        <f ca="1">IF(ISNUMBER(tblData[Days'# China]),betaChina/(deltaChina+betaPodeltaChina*EXP(-betaChina*tblData[Days'# China])),"")</f>
        <v>81223.437892082875</v>
      </c>
      <c r="BR83" s="11" t="str">
        <f>IF(ISNUMBER(tblData[China]),(tblData[[#This Row],[China LogiP(t)]]-tblData[[#This Row],[China]])^2,"")</f>
        <v/>
      </c>
      <c r="BS83" s="11">
        <f ca="1">tblData[[#This Row],[China LogiP(t)]]/$BQ$9</f>
        <v>564.31665512960217</v>
      </c>
      <c r="BT83" s="137" t="str">
        <f ca="1">IF(AND(ISNUMBER(tblData[China]),tblData[Date]&gt;StartDt2China),(tblData[China]-AVERAGE(tblData[China]))^2,"")</f>
        <v/>
      </c>
      <c r="BU83" s="11">
        <f>tblData[[#This Row],[Date]]-China100dt</f>
        <v>72</v>
      </c>
      <c r="BV83" s="106">
        <f>IF(ISNUMBER(tblData[Day'# Singapore]),betaSingapore/(deltaSingapore+betaPodeltaSingapore*EXP(-betaSingapore*tblData[Day'# Singapore])),"")</f>
        <v>1211.3152155337559</v>
      </c>
      <c r="BW83" s="11" t="str">
        <f>IF(AND(ISNUMBER(tblData[Singapore]),tblData[Date]&gt;=StartDt2Singapore),(tblData[[#This Row],[Singapore LogiP(t)]]-tblData[[#This Row],[Singapore]])^2,"")</f>
        <v/>
      </c>
      <c r="BX83" s="106">
        <f>IF(ISNUMBER(tblData[Day'# Singapore]),tblData[Singapore LogiP(t)]/$BV$9,"")</f>
        <v>2070.6243000577024</v>
      </c>
      <c r="BY83" s="106" t="str">
        <f>IF(AND(ISNUMBER(tblData[Singapore]),tblData[Date]&gt;StartDt2Singapore),(tblData[Singapore]-AVERAGE(tblData[Singapore]))^2,"")</f>
        <v/>
      </c>
      <c r="BZ83" s="11">
        <f>tblData[[#This Row],[Date]]-Singapore100dt+1</f>
        <v>53</v>
      </c>
      <c r="CA83" s="11">
        <f ca="1">IF(AND(tblData[Date]&gt;StartDt2Generic,ISNUMBER(tblData[Day'# Generic])),betaGeneric/(deltaGeneric+betaPodeltaGeneric*EXP(-betaGeneric*tblData[Day'# Generic])),"")</f>
        <v>1020.6298838826332</v>
      </c>
      <c r="CB83" s="106" t="str">
        <f ca="1">IF(AND(ISNUMBER(tblData[Generic]),tblData[Date]&gt;StartDt2Generic),(tblData[Generic LogiP(t)]-tblData[[#This Row],[Generic]])^2,"")</f>
        <v/>
      </c>
      <c r="CC83" s="11" t="str">
        <f ca="1">IF(AND(ISNUMBER(tblData[Generic]),tblData[Date]&gt;StartDt2Generic),tblData[Generic LogiP(t)]/$CA$9,"")</f>
        <v/>
      </c>
      <c r="CD83" s="106" t="str">
        <f ca="1">IF(AND(ISNUMBER(tblData[Generic]),tblData[Date]&gt;StartDt2Generic),(tblData[Generic]-AVERAGE(tblData[Generic]))^2,"")</f>
        <v/>
      </c>
      <c r="CE83" s="11">
        <f>tblData[[#This Row],[Date]]-Generic100dt+1</f>
        <v>14</v>
      </c>
      <c r="CF83" s="11"/>
      <c r="CG83" s="11"/>
      <c r="CH83" s="11" t="str">
        <f>IF(ISNUMBER(tblData[[#This Row],[Tests]]),tblData[[#This Row],[Tests]]-CF82,"")</f>
        <v/>
      </c>
      <c r="CI83" s="11" t="str">
        <f>IF(ISNUMBER(tblData[[#This Row],[NSW Under Investigation'']]),tblData[[#This Row],[NSW Under Investigation'']]-CG82,"")</f>
        <v/>
      </c>
      <c r="CJ83" s="11">
        <f>IF(tblData[[#This Row],[Date]]&gt;myData!TestsStart,tblData[[#This Row],[Date]]-myData!TestsStart,"")</f>
        <v>29</v>
      </c>
      <c r="CK83" s="11">
        <f>IF(AND(tblData[[#This Row],[NSW Test Day Number]]&gt;0,ISNUMBER(tblData[[#This Row],[NSW Test Day Number]])),betaTests/(deltaTests+betaPodeltaTests*EXP(-betaTests*tblData[[#This Row],[NSW Test Day Number]])),"")</f>
        <v>108454.75668483032</v>
      </c>
      <c r="CL83" s="11" t="str">
        <f>IF(tblData[Tests]&gt;0,(tblData[[#This Row],[Tests]]-tblData[[#This Row],[NSW Test Logi]])^2,"")</f>
        <v/>
      </c>
      <c r="CM83" s="106" t="str">
        <f>IF(AND(ISNUMBER(tblData[Tests]),tblData[Date]&gt;StartDt2Tests),(tblData[Tests]-AVERAGE(tblData[Tests]))^2,"")</f>
        <v/>
      </c>
      <c r="CN83" s="11" t="str">
        <f>IF(ISNUMBER(tblData[Tests]),tblData[Tests]/$CN$9/100,"")</f>
        <v/>
      </c>
      <c r="CO83" s="106">
        <f ca="1">IF(AND(tblData[[#This Row],[NSW Test Day Number]]&gt;0,ISNUMBER(tblData[[#This Row],[NSW Test Day Number]])),TestsLogestB*TestsLogestM^tblData[[#This Row],[NSW Test Day Number]],"")</f>
        <v>169868.72691082559</v>
      </c>
      <c r="CP83" s="11" t="str">
        <f>IF(AND(tblData[[#This Row],[NSW Test Day Number]]&gt;0,ISNUMBER(tblData[Tests])),(tblData[Tests]-tblData[[#This Row],[NSW Test Per Capita]])^2,"")</f>
        <v/>
      </c>
      <c r="CQ83" s="39">
        <f ca="1">IF(AND(tblData[Day '# NSW]&gt;0,ISNUMBER(tblData[[#This Row],[Day '# NSW]])),NSWLogestB*NSWLogestM^tblData[[#This Row],[Day '# NSW]]/$CR$9,"")</f>
        <v>1597.3914108157039</v>
      </c>
      <c r="CR83" s="39" t="str">
        <f ca="1">IF(AND(ISNUMBER(tblData[NSW]),tblData[Date]&gt;StartDt2NSW),(tblData[NSW]/$CR$9-tblData[[#This Row],[NSW Cases LogEst]])^2,"")</f>
        <v/>
      </c>
      <c r="CS83" s="106"/>
      <c r="CT83" s="11"/>
      <c r="CW83" s="25"/>
      <c r="CX83"/>
      <c r="DL83" s="25"/>
      <c r="DR83"/>
      <c r="DS83"/>
      <c r="DT83"/>
      <c r="DU83"/>
      <c r="DW83" s="25"/>
      <c r="DX83" s="25"/>
      <c r="EB83" s="25"/>
      <c r="EC83" s="25"/>
      <c r="ED83" s="25"/>
      <c r="EE83" s="25"/>
      <c r="EK83"/>
      <c r="EL83"/>
      <c r="EM83"/>
      <c r="EN83"/>
      <c r="EO83"/>
      <c r="EP83"/>
      <c r="EQ83"/>
      <c r="ER83"/>
      <c r="ES83" s="69"/>
      <c r="EU83" s="25" t="s">
        <v>58</v>
      </c>
      <c r="EV83" s="69">
        <v>43921.585694444446</v>
      </c>
      <c r="EW83" s="26">
        <v>43860</v>
      </c>
      <c r="EX83" s="26">
        <v>43860</v>
      </c>
      <c r="EY83" s="25">
        <v>2</v>
      </c>
      <c r="EZ83" s="25">
        <v>0.25713417355293045</v>
      </c>
      <c r="FA83" s="83">
        <v>2.8100286746778701E-6</v>
      </c>
      <c r="FB83" s="21">
        <v>0.44324338798533358</v>
      </c>
      <c r="FC83" s="82">
        <v>91505.889555524627</v>
      </c>
      <c r="FD83" s="82">
        <v>5055.149148071896</v>
      </c>
      <c r="FE83" s="83">
        <v>0.58011678232819708</v>
      </c>
      <c r="FF83" s="84">
        <v>2.81002867467787E-3</v>
      </c>
      <c r="FG83" s="26">
        <v>43920</v>
      </c>
      <c r="FH83" s="25" t="s">
        <v>2027</v>
      </c>
      <c r="FI83" s="84">
        <v>91505.889555524627</v>
      </c>
      <c r="FJ83" s="84">
        <v>101739</v>
      </c>
      <c r="FK83" s="25" t="s">
        <v>2028</v>
      </c>
      <c r="FL83" s="26">
        <v>43920</v>
      </c>
      <c r="FM83" s="25">
        <v>61</v>
      </c>
      <c r="FN83" s="25" t="s">
        <v>2029</v>
      </c>
      <c r="FO83" s="72"/>
      <c r="FP83" s="25" t="s">
        <v>2030</v>
      </c>
      <c r="FR83" s="25" t="s">
        <v>2031</v>
      </c>
      <c r="FS83" s="19">
        <v>16820.534016698355</v>
      </c>
      <c r="FT83" s="72">
        <v>43903</v>
      </c>
      <c r="FU83" s="25">
        <v>18</v>
      </c>
      <c r="FV83" s="142">
        <v>43901</v>
      </c>
      <c r="FW83" s="25">
        <v>20</v>
      </c>
      <c r="FY83" s="25"/>
    </row>
    <row r="84" spans="2:217" x14ac:dyDescent="0.25">
      <c r="B84" s="26">
        <f t="shared" si="3"/>
        <v>43925</v>
      </c>
      <c r="D84" s="25"/>
      <c r="L84" s="12" t="str">
        <f>IF(ISNUMBER(tblData[[#This Row],[NSW]]),tblData[[#This Row],[New South Wales]]/$L$9,"")</f>
        <v/>
      </c>
      <c r="M84" s="25"/>
      <c r="N84" s="44" t="str">
        <f>IF(ISNUMBER(tblData[Italy]),tblData[Italy]/$N$9,"")</f>
        <v/>
      </c>
      <c r="O84" s="25"/>
      <c r="P84" s="106" t="str">
        <f>IF(ISNUMBER(tblData[US]),tblData[US]/$P$9,"")</f>
        <v/>
      </c>
      <c r="Q84" s="44"/>
      <c r="R84" s="19" t="str">
        <f>IF(ISNUMBER(tblData[SKorea]),tblData[SKorea]/$R$9,"")</f>
        <v/>
      </c>
      <c r="S84" s="44"/>
      <c r="T84" s="12" t="str">
        <f>IF(ISNUMBER(tblData[UK]),tblData[UK]/$T$9,"")</f>
        <v/>
      </c>
      <c r="U84" s="25"/>
      <c r="V84" s="20" t="str">
        <f>IF(ISNUMBER(tblData[China]),tblData[China]/$V$9,"")</f>
        <v/>
      </c>
      <c r="W84" s="20"/>
      <c r="X84" s="20" t="str">
        <f>IF(ISNUMBER(tblData[Singapore]),tblData[Singapore]/$X$9,"")</f>
        <v/>
      </c>
      <c r="Y84" s="20"/>
      <c r="Z84" s="20" t="str">
        <f>IF(AND(LEN(tblData[Generic])&gt;0,ISNUMBER(tblData[Generic])),tblData[Generic]/$Z$9,"")</f>
        <v/>
      </c>
      <c r="AA84" s="25">
        <f ca="1">IF(tblData[[#This Row],[Date]]&lt;StartDt2Italy,"",tblData[[#This Row],[Date]]-ItalyStart)</f>
        <v>65</v>
      </c>
      <c r="AB84" s="25">
        <f ca="1">IF(tblData[[#This Row],[Date]]&lt;=StartDt2US,"",tblData[[#This Row],[Date]]-USStart)</f>
        <v>73</v>
      </c>
      <c r="AC84" s="25">
        <f ca="1">IF(tblData[[#This Row],[Date]]&lt;StartDt2China,"",tblData[[#This Row],[Date]]-ChinaStart)</f>
        <v>73</v>
      </c>
      <c r="AD84" s="25">
        <f>IF(tblData[[#This Row],[Date]]&lt;=SKoreaStart,"",tblData[[#This Row],[Date]]-SKoreaStart)</f>
        <v>73</v>
      </c>
      <c r="AE84" s="25">
        <f ca="1">IF(tblData[[#This Row],[Date]]&lt;=StartDt2UK,"",tblData[[#This Row],[Date]]-UKStart)</f>
        <v>65</v>
      </c>
      <c r="AF84" s="25">
        <f>IF(tblData[[#This Row],[Date]]&lt;StartDt2Singapore,"",tblData[[#This Row],[Date]]-SingaporeStart)</f>
        <v>72</v>
      </c>
      <c r="AG84" s="25">
        <f ca="1">IF(tblData[[#This Row],[Date]]&lt;StartDt2Generic,"",tblData[[#This Row],[Date]]-GenericStart)</f>
        <v>73</v>
      </c>
      <c r="AH84">
        <f ca="1">IF(tblData[Date]&gt;StartDt2Au,tblData[Date]-AuStart,"")</f>
        <v>70</v>
      </c>
      <c r="AI84" s="25">
        <f>IF(tblData[New South Wales]&gt;=0,SUM(tblData[[#This Row],[Australian Capital Territory]:[Western Australia]]),"")</f>
        <v>0</v>
      </c>
      <c r="AJ84" s="12">
        <f>IF(ISNUMBER(tblData[Au]),tblData[Au]/$AE$9,"")</f>
        <v>0</v>
      </c>
      <c r="AK84" s="39">
        <f ca="1">IF(ISNUMBER(tblData[[#This Row],[Day'# Aust]]),betaAu/(deltaAu+betaPodeltaAu*EXP(-betaAu*tblData[[#This Row],[Day'# Aust]])),"")</f>
        <v>5492.7199027924353</v>
      </c>
      <c r="AL84" s="63">
        <f ca="1">IF(ISNUMBER(tblData[Day'# Aust]),tblData[Au LogiP(t)]/$AJ$9,"")</f>
        <v>2165.5574447218241</v>
      </c>
      <c r="AM84" s="11" t="str">
        <f ca="1">IF(AND(tblData[Date]&gt;StartDt2Au,ISNUMBER(tblData[NSW])),(tblData[[#This Row],[Au LogiP(t)]]-tblData[[#This Row],[Au]])^2,"")</f>
        <v/>
      </c>
      <c r="AN84" s="11">
        <f ca="1">IF(AND(ISNUMBER(tblData[Au]),tblData[Date]&gt;StartDt2Au),(tblData[Au]-AVERAGE(tblData[Au]))^2,"")</f>
        <v>196564.33811020709</v>
      </c>
      <c r="AO84" s="11">
        <f>tblData[[#This Row],[Date]]-Au100dt</f>
        <v>21</v>
      </c>
      <c r="AP84">
        <f ca="1">IF(tblData[Date]&gt;StartDt2NSW,tblData[Date]-StartDt2NSW,"")</f>
        <v>70</v>
      </c>
      <c r="AQ84" s="25" t="str">
        <f>IF(tblData[[#This Row],[New South Wales]]&gt;0,tblData[[#This Row],[New South Wales]],"")</f>
        <v/>
      </c>
      <c r="AR84" s="11">
        <f ca="1">IF(tblData[Date]&gt;StartDt2NSW,betaNSW/(deltaNSW+betaPodeltaNSW*EXP(-betaNSW*tblData[[#This Row],[Day '# NSW]])),"")</f>
        <v>2549.1463982529417</v>
      </c>
      <c r="AS84" s="12" t="str">
        <f ca="1">IF(AND(ISNUMBER(tblData[NSW]),tblData[Date]&gt;StartDt2NSW),(tblData[[#This Row],[NSW LogiP(t)]]-tblData[[#This Row],[NSW]])^2,"")</f>
        <v/>
      </c>
      <c r="AT84" s="39">
        <f ca="1">IF(AND(tblData[Date]&gt;StartDt2NSW,ISNUMBER(tblData[Day'# Aust])),tblData[NSW LogiP(t)]/$AR$9,"")</f>
        <v>3154.8841562536404</v>
      </c>
      <c r="AU84" s="11">
        <f>tblData[[#This Row],[Date]]-NSW100dt+1</f>
        <v>25</v>
      </c>
      <c r="AV84" s="11" t="str">
        <f ca="1">IF(AND(ISNUMBER(tblData[NSW]),tblData[Date]&gt;StartDt2NSW),(tblData[NSW]-AVERAGE(tblData[NSW]))^2,"")</f>
        <v/>
      </c>
      <c r="AW84" s="39">
        <f ca="1">IF(AND(tblData[Date]&gt;StartDt2Italy,ISNUMBER(tblData[Days'# Italy])),betaItaly/(deltaItaly+betaPodeltaItaly*EXP(-betaItaly*tblData[Days'# Italy])),"")</f>
        <v>96069.206388871564</v>
      </c>
      <c r="AX84" s="11" t="str">
        <f ca="1">IF(AND(tblData[Date]&gt;StartDt2Italy,ISNUMBER(tblData[Italy])),(tblData[[#This Row],[Italy LogiP(t)]]-tblData[[#This Row],[Italy]])^2,"")</f>
        <v/>
      </c>
      <c r="AY84" s="39">
        <f ca="1">IF(AND(tblData[Date]&gt;StartDt2Italy,ISNUMBER(tblData[Days'# Italy])),tblData[[#This Row],[Italy LogiP(t)]]/$AW$9,"")</f>
        <v>15883.145637574864</v>
      </c>
      <c r="AZ84" s="39" t="str">
        <f ca="1">IF(AND(ISNUMBER(tblData[Italy]),tblData[Date]&gt;StartDt2Italy),(tblData[Italy]-AVERAGE(tblData[Italy]))^2,"")</f>
        <v/>
      </c>
      <c r="BA84" s="11">
        <f>tblData[[#This Row],[Date]]-Italy100dt+1</f>
        <v>38</v>
      </c>
      <c r="BB84" s="11">
        <f ca="1">IF(AND(tblData[Date]&gt;StartDt2US,ISNUMBER(tblData[[#This Row],[Days'# US]])),betaUS/(deltaUS+betaPodeltaUS*EXP(-betaUS*tblData[Days'# US])),"")</f>
        <v>386474.86476240924</v>
      </c>
      <c r="BC84" s="11" t="str">
        <f ca="1">IF(AND(tblData[Date]&gt;StartDt2US,ISNUMBER(tblData[US])),(tblData[[#This Row],[US LogiP(t)]]-tblData[US])^2,"")</f>
        <v/>
      </c>
      <c r="BD84" s="137">
        <f ca="1">IF(AND(tblData[Date]&gt;=StartDt2US,ISNUMBER(tblData[[#This Row],[Days'# US]])),tblData[[#This Row],[US LogiP(t)]]/$BB$9,"")</f>
        <v>11738.830322108066</v>
      </c>
      <c r="BE84" s="137" t="str">
        <f ca="1">IF(AND(ISNUMBER(tblData[US]),tblData[Date]&gt;StartDt2US),(tblData[US]-AVERAGE(tblData[US]))^2,"")</f>
        <v/>
      </c>
      <c r="BF84" s="11">
        <f>tblData[[#This Row],[Date]]-US100dt+1</f>
        <v>22</v>
      </c>
      <c r="BG84" s="20">
        <f ca="1">IF(tblData[Date]&gt;StartDt2SKorea,betaSKorea/(deltaSKorea+betaPodeltaSKorea*EXP(-betaSKorea*(tblData[Date]-StartDt2SKorea))),"")</f>
        <v>9035.3890663801558</v>
      </c>
      <c r="BH84" s="20" t="str">
        <f ca="1">IF(AND(tblData[Date]&gt;StartDt2SKorea,ISNUMBER(tblData[SKorea])),(tblData[[#This Row],[SKorea LogiP(t)]]-tblData[[#This Row],[SKorea]])^2,"")</f>
        <v/>
      </c>
      <c r="BI84" s="20">
        <f ca="1">IF(tblData[Date]&gt;StartDt2SKorea,tblData[[#This Row],[SKorea LogiP(t)]]/$BG$9,"")</f>
        <v>1757.8577950155945</v>
      </c>
      <c r="BJ84" s="137" t="str">
        <f ca="1">IF(AND(ISNUMBER(tblData[SKorea]),tblData[Date]&gt;StartDt2SKorea),(tblData[SKorea]-AVERAGE(tblData[SKorea]))^2,"")</f>
        <v/>
      </c>
      <c r="BK84" s="11">
        <f>tblData[[#This Row],[Date]]-SKorea100dt+1</f>
        <v>43</v>
      </c>
      <c r="BL84" s="137">
        <f ca="1">IF(AND(tblData[Date]&gt;StartDt2UK,ISNUMBER(tblData[Days'# UK])),betaUK/(deltaUK+betaPodeltaUK*EXP(-betaUK*tblData[Days'# UK])),"")</f>
        <v>41707.855149081945</v>
      </c>
      <c r="BM84" s="71" t="str">
        <f ca="1">IF(AND(tblData[Date]&gt;StartDt2UK,ISNUMBER(tblData[UK])),(tblData[[#This Row],[UK LogiP(t)]]-tblData[[#This Row],[UK]])^2,"")</f>
        <v/>
      </c>
      <c r="BN84" s="71">
        <f ca="1">IF(ISNUMBER(tblData[Days'# UK]),tblData[[#This Row],[UK LogiP(t)]]/$BL$9,"")</f>
        <v>6277.5218466408705</v>
      </c>
      <c r="BO84" s="137" t="str">
        <f ca="1">IF(AND(ISNUMBER(tblData[UK]),tblData[Date]&gt;StartDt2UK),(tblData[UK]-AVERAGE(tblData[UK]))^2,"")</f>
        <v/>
      </c>
      <c r="BP84" s="11">
        <f>tblData[[#This Row],[Date]]-UK100dt</f>
        <v>23</v>
      </c>
      <c r="BQ84" s="11">
        <f ca="1">IF(ISNUMBER(tblData[Days'# China]),betaChina/(deltaChina+betaPodeltaChina*EXP(-betaChina*tblData[Days'# China])),"")</f>
        <v>81223.539633785433</v>
      </c>
      <c r="BR84" s="11" t="str">
        <f>IF(ISNUMBER(tblData[China]),(tblData[[#This Row],[China LogiP(t)]]-tblData[[#This Row],[China]])^2,"")</f>
        <v/>
      </c>
      <c r="BS84" s="11">
        <f ca="1">tblData[[#This Row],[China LogiP(t)]]/$BQ$9</f>
        <v>564.31736200115017</v>
      </c>
      <c r="BT84" s="137" t="str">
        <f ca="1">IF(AND(ISNUMBER(tblData[China]),tblData[Date]&gt;StartDt2China),(tblData[China]-AVERAGE(tblData[China]))^2,"")</f>
        <v/>
      </c>
      <c r="BU84" s="11">
        <f>tblData[[#This Row],[Date]]-China100dt</f>
        <v>73</v>
      </c>
      <c r="BV84" s="106">
        <f>IF(ISNUMBER(tblData[Day'# Singapore]),betaSingapore/(deltaSingapore+betaPodeltaSingapore*EXP(-betaSingapore*tblData[Day'# Singapore])),"")</f>
        <v>1310.7284360041385</v>
      </c>
      <c r="BW84" s="11" t="str">
        <f>IF(AND(ISNUMBER(tblData[Singapore]),tblData[Date]&gt;=StartDt2Singapore),(tblData[[#This Row],[Singapore LogiP(t)]]-tblData[[#This Row],[Singapore]])^2,"")</f>
        <v/>
      </c>
      <c r="BX84" s="106">
        <f>IF(ISNUMBER(tblData[Day'# Singapore]),tblData[Singapore LogiP(t)]/$BV$9,"")</f>
        <v>2240.5614290669037</v>
      </c>
      <c r="BY84" s="106" t="str">
        <f>IF(AND(ISNUMBER(tblData[Singapore]),tblData[Date]&gt;StartDt2Singapore),(tblData[Singapore]-AVERAGE(tblData[Singapore]))^2,"")</f>
        <v/>
      </c>
      <c r="BZ84" s="11">
        <f>tblData[[#This Row],[Date]]-Singapore100dt+1</f>
        <v>54</v>
      </c>
      <c r="CA84" s="11">
        <f ca="1">IF(AND(tblData[Date]&gt;StartDt2Generic,ISNUMBER(tblData[Day'# Generic])),betaGeneric/(deltaGeneric+betaPodeltaGeneric*EXP(-betaGeneric*tblData[Day'# Generic])),"")</f>
        <v>1169.5001518488273</v>
      </c>
      <c r="CB84" s="106" t="str">
        <f ca="1">IF(AND(ISNUMBER(tblData[Generic]),tblData[Date]&gt;StartDt2Generic),(tblData[Generic LogiP(t)]-tblData[[#This Row],[Generic]])^2,"")</f>
        <v/>
      </c>
      <c r="CC84" s="11" t="str">
        <f ca="1">IF(AND(ISNUMBER(tblData[Generic]),tblData[Date]&gt;StartDt2Generic),tblData[Generic LogiP(t)]/$CA$9,"")</f>
        <v/>
      </c>
      <c r="CD84" s="106" t="str">
        <f ca="1">IF(AND(ISNUMBER(tblData[Generic]),tblData[Date]&gt;StartDt2Generic),(tblData[Generic]-AVERAGE(tblData[Generic]))^2,"")</f>
        <v/>
      </c>
      <c r="CE84" s="11">
        <f>tblData[[#This Row],[Date]]-Generic100dt+1</f>
        <v>15</v>
      </c>
      <c r="CF84" s="11"/>
      <c r="CG84" s="11"/>
      <c r="CH84" s="11" t="str">
        <f>IF(ISNUMBER(tblData[[#This Row],[Tests]]),tblData[[#This Row],[Tests]]-CF83,"")</f>
        <v/>
      </c>
      <c r="CI84" s="11" t="str">
        <f>IF(ISNUMBER(tblData[[#This Row],[NSW Under Investigation'']]),tblData[[#This Row],[NSW Under Investigation'']]-CG83,"")</f>
        <v/>
      </c>
      <c r="CJ84" s="11">
        <f>IF(tblData[[#This Row],[Date]]&gt;myData!TestsStart,tblData[[#This Row],[Date]]-myData!TestsStart,"")</f>
        <v>30</v>
      </c>
      <c r="CK84" s="11">
        <f>IF(AND(tblData[[#This Row],[NSW Test Day Number]]&gt;0,ISNUMBER(tblData[[#This Row],[NSW Test Day Number]])),betaTests/(deltaTests+betaPodeltaTests*EXP(-betaTests*tblData[[#This Row],[NSW Test Day Number]])),"")</f>
        <v>111102.81638345557</v>
      </c>
      <c r="CL84" s="11" t="str">
        <f>IF(tblData[Tests]&gt;0,(tblData[[#This Row],[Tests]]-tblData[[#This Row],[NSW Test Logi]])^2,"")</f>
        <v/>
      </c>
      <c r="CM84" s="106" t="str">
        <f>IF(AND(ISNUMBER(tblData[Tests]),tblData[Date]&gt;StartDt2Tests),(tblData[Tests]-AVERAGE(tblData[Tests]))^2,"")</f>
        <v/>
      </c>
      <c r="CN84" s="11" t="str">
        <f>IF(ISNUMBER(tblData[Tests]),tblData[Tests]/$CN$9/100,"")</f>
        <v/>
      </c>
      <c r="CO84" s="106">
        <f ca="1">IF(AND(tblData[[#This Row],[NSW Test Day Number]]&gt;0,ISNUMBER(tblData[[#This Row],[NSW Test Day Number]])),TestsLogestB*TestsLogestM^tblData[[#This Row],[NSW Test Day Number]],"")</f>
        <v>190599.44441209745</v>
      </c>
      <c r="CP84" s="11" t="str">
        <f>IF(AND(tblData[[#This Row],[NSW Test Day Number]]&gt;0,ISNUMBER(tblData[Tests])),(tblData[Tests]-tblData[[#This Row],[NSW Test Per Capita]])^2,"")</f>
        <v/>
      </c>
      <c r="CQ84" s="39">
        <f ca="1">IF(AND(tblData[Day '# NSW]&gt;0,ISNUMBER(tblData[[#This Row],[Day '# NSW]])),NSWLogestB*NSWLogestM^tblData[[#This Row],[Day '# NSW]]/$CR$9,"")</f>
        <v>1777.7989972757753</v>
      </c>
      <c r="CR84" s="39" t="str">
        <f ca="1">IF(AND(ISNUMBER(tblData[NSW]),tblData[Date]&gt;StartDt2NSW),(tblData[NSW]/$CR$9-tblData[[#This Row],[NSW Cases LogEst]])^2,"")</f>
        <v/>
      </c>
      <c r="CS84" s="106"/>
      <c r="CT84" s="11"/>
      <c r="CW84" s="25"/>
      <c r="CX84"/>
      <c r="DL84" s="25"/>
      <c r="DR84"/>
      <c r="DS84"/>
      <c r="DT84"/>
      <c r="DU84"/>
      <c r="DW84" s="25"/>
      <c r="DX84" s="25"/>
      <c r="EB84" s="25"/>
      <c r="EC84" s="25"/>
      <c r="ED84" s="25"/>
      <c r="EE84" s="25"/>
      <c r="EK84"/>
      <c r="EL84"/>
      <c r="EM84"/>
      <c r="EN84"/>
      <c r="EO84"/>
      <c r="EP84"/>
      <c r="EQ84"/>
      <c r="ER84"/>
      <c r="ES84" s="69"/>
      <c r="EU84" s="25" t="s">
        <v>58</v>
      </c>
      <c r="EV84" s="69">
        <v>43922.849479166667</v>
      </c>
      <c r="EW84" s="26">
        <v>43860</v>
      </c>
      <c r="EX84" s="26">
        <v>43860</v>
      </c>
      <c r="EY84" s="82">
        <v>2</v>
      </c>
      <c r="EZ84" s="82">
        <v>0.25713417355292001</v>
      </c>
      <c r="FA84" s="84">
        <v>2.8076503886782225E-6</v>
      </c>
      <c r="FB84" s="26">
        <v>0.44324338798533208</v>
      </c>
      <c r="FC84" s="81">
        <v>91583.401761774512</v>
      </c>
      <c r="FD84" s="81">
        <v>5471.1464445216561</v>
      </c>
      <c r="FE84" s="84">
        <v>0.58011678470646155</v>
      </c>
      <c r="FF84" s="84">
        <v>2.8076503886782225E-3</v>
      </c>
      <c r="FG84" s="26">
        <v>43921</v>
      </c>
      <c r="FH84" s="26" t="s">
        <v>2097</v>
      </c>
      <c r="FI84" s="83">
        <v>91583.401761774512</v>
      </c>
      <c r="FJ84" s="83">
        <v>105792</v>
      </c>
      <c r="FK84" s="72" t="s">
        <v>2028</v>
      </c>
      <c r="FL84" s="26">
        <v>43921</v>
      </c>
      <c r="FM84" s="25">
        <v>62</v>
      </c>
      <c r="FN84" s="25" t="s">
        <v>2098</v>
      </c>
      <c r="FO84" s="72"/>
      <c r="FP84" s="72" t="s">
        <v>2030</v>
      </c>
      <c r="FQ84"/>
      <c r="FR84" s="25" t="s">
        <v>2099</v>
      </c>
      <c r="FS84" s="19">
        <v>17490.617508473177</v>
      </c>
      <c r="FT84" s="72">
        <v>43903</v>
      </c>
      <c r="FU84" s="25">
        <v>19</v>
      </c>
      <c r="FV84" s="149">
        <v>43901</v>
      </c>
      <c r="FW84">
        <v>21</v>
      </c>
      <c r="FY84" s="25"/>
    </row>
    <row r="85" spans="2:217" x14ac:dyDescent="0.25">
      <c r="B85" s="26">
        <f t="shared" ref="B85:B117" si="4">B84+7</f>
        <v>43932</v>
      </c>
      <c r="D85" s="25"/>
      <c r="L85" s="12" t="str">
        <f>IF(ISNUMBER(tblData[[#This Row],[NSW]]),tblData[[#This Row],[New South Wales]]/$L$9,"")</f>
        <v/>
      </c>
      <c r="M85" s="25"/>
      <c r="N85" s="44" t="str">
        <f>IF(ISNUMBER(tblData[Italy]),tblData[Italy]/$N$9,"")</f>
        <v/>
      </c>
      <c r="O85" s="25"/>
      <c r="P85" s="106" t="str">
        <f>IF(ISNUMBER(tblData[US]),tblData[US]/$P$9,"")</f>
        <v/>
      </c>
      <c r="Q85" s="44"/>
      <c r="R85" s="19" t="str">
        <f>IF(ISNUMBER(tblData[SKorea]),tblData[SKorea]/$R$9,"")</f>
        <v/>
      </c>
      <c r="S85" s="44"/>
      <c r="T85" s="12" t="str">
        <f>IF(ISNUMBER(tblData[UK]),tblData[UK]/$T$9,"")</f>
        <v/>
      </c>
      <c r="U85" s="25"/>
      <c r="V85" s="20" t="str">
        <f>IF(ISNUMBER(tblData[China]),tblData[China]/$V$9,"")</f>
        <v/>
      </c>
      <c r="W85" s="20"/>
      <c r="X85" s="20" t="str">
        <f>IF(ISNUMBER(tblData[Singapore]),tblData[Singapore]/$X$9,"")</f>
        <v/>
      </c>
      <c r="Y85" s="20"/>
      <c r="Z85" s="20" t="str">
        <f>IF(AND(LEN(tblData[Generic])&gt;0,ISNUMBER(tblData[Generic])),tblData[Generic]/$Z$9,"")</f>
        <v/>
      </c>
      <c r="AA85" s="25">
        <f ca="1">IF(tblData[[#This Row],[Date]]&lt;StartDt2Italy,"",tblData[[#This Row],[Date]]-ItalyStart)</f>
        <v>72</v>
      </c>
      <c r="AB85" s="25">
        <f ca="1">IF(tblData[[#This Row],[Date]]&lt;=StartDt2US,"",tblData[[#This Row],[Date]]-USStart)</f>
        <v>80</v>
      </c>
      <c r="AC85" s="25">
        <f ca="1">IF(tblData[[#This Row],[Date]]&lt;StartDt2China,"",tblData[[#This Row],[Date]]-ChinaStart)</f>
        <v>80</v>
      </c>
      <c r="AD85" s="25">
        <f>IF(tblData[[#This Row],[Date]]&lt;=SKoreaStart,"",tblData[[#This Row],[Date]]-SKoreaStart)</f>
        <v>80</v>
      </c>
      <c r="AE85" s="25">
        <f ca="1">IF(tblData[[#This Row],[Date]]&lt;=StartDt2UK,"",tblData[[#This Row],[Date]]-UKStart)</f>
        <v>72</v>
      </c>
      <c r="AF85" s="25">
        <f>IF(tblData[[#This Row],[Date]]&lt;StartDt2Singapore,"",tblData[[#This Row],[Date]]-SingaporeStart)</f>
        <v>79</v>
      </c>
      <c r="AG85" s="25">
        <f ca="1">IF(tblData[[#This Row],[Date]]&lt;StartDt2Generic,"",tblData[[#This Row],[Date]]-GenericStart)</f>
        <v>80</v>
      </c>
      <c r="AH85">
        <f ca="1">IF(tblData[Date]&gt;StartDt2Au,tblData[Date]-AuStart,"")</f>
        <v>77</v>
      </c>
      <c r="AI85" s="25">
        <f>IF(tblData[New South Wales]&gt;=0,SUM(tblData[[#This Row],[Australian Capital Territory]:[Western Australia]]),"")</f>
        <v>0</v>
      </c>
      <c r="AJ85" s="12">
        <f>IF(ISNUMBER(tblData[Au]),tblData[Au]/$AE$9,"")</f>
        <v>0</v>
      </c>
      <c r="AK85" s="39">
        <f ca="1">IF(ISNUMBER(tblData[[#This Row],[Day'# Aust]]),betaAu/(deltaAu+betaPodeltaAu*EXP(-betaAu*tblData[[#This Row],[Day'# Aust]])),"")</f>
        <v>6050.9701201996622</v>
      </c>
      <c r="AL85" s="63">
        <f ca="1">IF(ISNUMBER(tblData[Day'# Aust]),tblData[Au LogiP(t)]/$AJ$9,"")</f>
        <v>2385.6529412551895</v>
      </c>
      <c r="AM85" s="11" t="str">
        <f ca="1">IF(AND(tblData[Date]&gt;StartDt2Au,ISNUMBER(tblData[NSW])),(tblData[[#This Row],[Au LogiP(t)]]-tblData[[#This Row],[Au]])^2,"")</f>
        <v/>
      </c>
      <c r="AN85" s="11">
        <f ca="1">IF(AND(ISNUMBER(tblData[Au]),tblData[Date]&gt;StartDt2Au),(tblData[Au]-AVERAGE(tblData[Au]))^2,"")</f>
        <v>196564.33811020709</v>
      </c>
      <c r="AO85" s="11">
        <f>tblData[[#This Row],[Date]]-Au100dt</f>
        <v>28</v>
      </c>
      <c r="AP85">
        <f ca="1">IF(tblData[Date]&gt;StartDt2NSW,tblData[Date]-StartDt2NSW,"")</f>
        <v>77</v>
      </c>
      <c r="AQ85" s="25" t="str">
        <f>IF(tblData[[#This Row],[New South Wales]]&gt;0,tblData[[#This Row],[New South Wales]],"")</f>
        <v/>
      </c>
      <c r="AR85" s="11">
        <f ca="1">IF(tblData[Date]&gt;StartDt2NSW,betaNSW/(deltaNSW+betaPodeltaNSW*EXP(-betaNSW*tblData[[#This Row],[Day '# NSW]])),"")</f>
        <v>2903.0265928811191</v>
      </c>
      <c r="AS85" s="12" t="str">
        <f ca="1">IF(AND(ISNUMBER(tblData[NSW]),tblData[Date]&gt;StartDt2NSW),(tblData[[#This Row],[NSW LogiP(t)]]-tblData[[#This Row],[NSW]])^2,"")</f>
        <v/>
      </c>
      <c r="AT85" s="39">
        <f ca="1">IF(AND(tblData[Date]&gt;StartDt2NSW,ISNUMBER(tblData[Day'# Aust])),tblData[NSW LogiP(t)]/$AR$9,"")</f>
        <v>3592.8546941598006</v>
      </c>
      <c r="AU85" s="11">
        <f>tblData[[#This Row],[Date]]-NSW100dt+1</f>
        <v>32</v>
      </c>
      <c r="AV85" s="11" t="str">
        <f ca="1">IF(AND(ISNUMBER(tblData[NSW]),tblData[Date]&gt;StartDt2NSW),(tblData[NSW]-AVERAGE(tblData[NSW]))^2,"")</f>
        <v/>
      </c>
      <c r="AW85" s="39">
        <f ca="1">IF(AND(tblData[Date]&gt;StartDt2Italy,ISNUMBER(tblData[Days'# Italy])),betaItaly/(deltaItaly+betaPodeltaItaly*EXP(-betaItaly*tblData[Days'# Italy])),"")</f>
        <v>97068.542662009029</v>
      </c>
      <c r="AX85" s="11" t="str">
        <f ca="1">IF(AND(tblData[Date]&gt;StartDt2Italy,ISNUMBER(tblData[Italy])),(tblData[[#This Row],[Italy LogiP(t)]]-tblData[[#This Row],[Italy]])^2,"")</f>
        <v/>
      </c>
      <c r="AY85" s="39">
        <f ca="1">IF(AND(tblData[Date]&gt;StartDt2Italy,ISNUMBER(tblData[Days'# Italy])),tblData[[#This Row],[Italy LogiP(t)]]/$AW$9,"")</f>
        <v>16048.366150617348</v>
      </c>
      <c r="AZ85" s="39" t="str">
        <f ca="1">IF(AND(ISNUMBER(tblData[Italy]),tblData[Date]&gt;StartDt2Italy),(tblData[Italy]-AVERAGE(tblData[Italy]))^2,"")</f>
        <v/>
      </c>
      <c r="BA85" s="11">
        <f>tblData[[#This Row],[Date]]-Italy100dt+1</f>
        <v>45</v>
      </c>
      <c r="BB85" s="11">
        <f ca="1">IF(AND(tblData[Date]&gt;StartDt2US,ISNUMBER(tblData[[#This Row],[Days'# US]])),betaUS/(deltaUS+betaPodeltaUS*EXP(-betaUS*tblData[Days'# US])),"")</f>
        <v>582191.57814193505</v>
      </c>
      <c r="BC85" s="11" t="str">
        <f ca="1">IF(AND(tblData[Date]&gt;StartDt2US,ISNUMBER(tblData[US])),(tblData[[#This Row],[US LogiP(t)]]-tblData[US])^2,"")</f>
        <v/>
      </c>
      <c r="BD85" s="137">
        <f ca="1">IF(AND(tblData[Date]&gt;=StartDt2US,ISNUMBER(tblData[[#This Row],[Days'# US]])),tblData[[#This Row],[US LogiP(t)]]/$BB$9,"")</f>
        <v>17683.551438642571</v>
      </c>
      <c r="BE85" s="137" t="str">
        <f ca="1">IF(AND(ISNUMBER(tblData[US]),tblData[Date]&gt;StartDt2US),(tblData[US]-AVERAGE(tblData[US]))^2,"")</f>
        <v/>
      </c>
      <c r="BF85" s="11">
        <f>tblData[[#This Row],[Date]]-US100dt+1</f>
        <v>29</v>
      </c>
      <c r="BG85" s="20">
        <f ca="1">IF(tblData[Date]&gt;StartDt2SKorea,betaSKorea/(deltaSKorea+betaPodeltaSKorea*EXP(-betaSKorea*(tblData[Date]-StartDt2SKorea))),"")</f>
        <v>9037.0221259659011</v>
      </c>
      <c r="BH85" s="20" t="str">
        <f ca="1">IF(AND(tblData[Date]&gt;StartDt2SKorea,ISNUMBER(tblData[SKorea])),(tblData[[#This Row],[SKorea LogiP(t)]]-tblData[[#This Row],[SKorea]])^2,"")</f>
        <v/>
      </c>
      <c r="BI85" s="20">
        <f ca="1">IF(tblData[Date]&gt;StartDt2SKorea,tblData[[#This Row],[SKorea LogiP(t)]]/$BG$9,"")</f>
        <v>1758.1755108883076</v>
      </c>
      <c r="BJ85" s="137" t="str">
        <f ca="1">IF(AND(ISNUMBER(tblData[SKorea]),tblData[Date]&gt;StartDt2SKorea),(tblData[SKorea]-AVERAGE(tblData[SKorea]))^2,"")</f>
        <v/>
      </c>
      <c r="BK85" s="11">
        <f>tblData[[#This Row],[Date]]-SKorea100dt+1</f>
        <v>50</v>
      </c>
      <c r="BL85" s="137">
        <f ca="1">IF(AND(tblData[Date]&gt;StartDt2UK,ISNUMBER(tblData[Days'# UK])),betaUK/(deltaUK+betaPodeltaUK*EXP(-betaUK*tblData[Days'# UK])),"")</f>
        <v>63369.544805175086</v>
      </c>
      <c r="BM85" s="71" t="str">
        <f ca="1">IF(AND(tblData[Date]&gt;StartDt2UK,ISNUMBER(tblData[UK])),(tblData[[#This Row],[UK LogiP(t)]]-tblData[[#This Row],[UK]])^2,"")</f>
        <v/>
      </c>
      <c r="BN85" s="71">
        <f ca="1">IF(ISNUMBER(tblData[Days'# UK]),tblData[[#This Row],[UK LogiP(t)]]/$BL$9,"")</f>
        <v>9537.8604462936619</v>
      </c>
      <c r="BO85" s="137" t="str">
        <f ca="1">IF(AND(ISNUMBER(tblData[UK]),tblData[Date]&gt;StartDt2UK),(tblData[UK]-AVERAGE(tblData[UK]))^2,"")</f>
        <v/>
      </c>
      <c r="BP85" s="11">
        <f>tblData[[#This Row],[Date]]-UK100dt</f>
        <v>30</v>
      </c>
      <c r="BQ85" s="11">
        <f ca="1">IF(ISNUMBER(tblData[Days'# China]),betaChina/(deltaChina+betaPodeltaChina*EXP(-betaChina*tblData[Days'# China])),"")</f>
        <v>81223.863573907234</v>
      </c>
      <c r="BR85" s="11" t="str">
        <f>IF(ISNUMBER(tblData[China]),(tblData[[#This Row],[China LogiP(t)]]-tblData[[#This Row],[China]])^2,"")</f>
        <v/>
      </c>
      <c r="BS85" s="11">
        <f ca="1">tblData[[#This Row],[China LogiP(t)]]/$BQ$9</f>
        <v>564.31961264223037</v>
      </c>
      <c r="BT85" s="137" t="str">
        <f ca="1">IF(AND(ISNUMBER(tblData[China]),tblData[Date]&gt;StartDt2China),(tblData[China]-AVERAGE(tblData[China]))^2,"")</f>
        <v/>
      </c>
      <c r="BU85" s="11">
        <f>tblData[[#This Row],[Date]]-China100dt</f>
        <v>80</v>
      </c>
      <c r="BV85" s="106">
        <f>IF(ISNUMBER(tblData[Day'# Singapore]),betaSingapore/(deltaSingapore+betaPodeltaSingapore*EXP(-betaSingapore*tblData[Day'# Singapore])),"")</f>
        <v>2272.2849342143268</v>
      </c>
      <c r="BW85" s="11" t="str">
        <f>IF(AND(ISNUMBER(tblData[Singapore]),tblData[Date]&gt;=StartDt2Singapore),(tblData[[#This Row],[Singapore LogiP(t)]]-tblData[[#This Row],[Singapore]])^2,"")</f>
        <v/>
      </c>
      <c r="BX85" s="106">
        <f>IF(ISNUMBER(tblData[Day'# Singapore]),tblData[Singapore LogiP(t)]/$BV$9,"")</f>
        <v>3884.247750793721</v>
      </c>
      <c r="BY85" s="106" t="str">
        <f>IF(AND(ISNUMBER(tblData[Singapore]),tblData[Date]&gt;StartDt2Singapore),(tblData[Singapore]-AVERAGE(tblData[Singapore]))^2,"")</f>
        <v/>
      </c>
      <c r="BZ85" s="11">
        <f>tblData[[#This Row],[Date]]-Singapore100dt+1</f>
        <v>61</v>
      </c>
      <c r="CA85" s="11">
        <f ca="1">IF(AND(tblData[Date]&gt;StartDt2Generic,ISNUMBER(tblData[Day'# Generic])),betaGeneric/(deltaGeneric+betaPodeltaGeneric*EXP(-betaGeneric*tblData[Day'# Generic])),"")</f>
        <v>2345.4659453860304</v>
      </c>
      <c r="CB85" s="106" t="str">
        <f ca="1">IF(AND(ISNUMBER(tblData[Generic]),tblData[Date]&gt;StartDt2Generic),(tblData[Generic LogiP(t)]-tblData[[#This Row],[Generic]])^2,"")</f>
        <v/>
      </c>
      <c r="CC85" s="11" t="str">
        <f ca="1">IF(AND(ISNUMBER(tblData[Generic]),tblData[Date]&gt;StartDt2Generic),tblData[Generic LogiP(t)]/$CA$9,"")</f>
        <v/>
      </c>
      <c r="CD85" s="106" t="str">
        <f ca="1">IF(AND(ISNUMBER(tblData[Generic]),tblData[Date]&gt;StartDt2Generic),(tblData[Generic]-AVERAGE(tblData[Generic]))^2,"")</f>
        <v/>
      </c>
      <c r="CE85" s="11">
        <f>tblData[[#This Row],[Date]]-Generic100dt+1</f>
        <v>22</v>
      </c>
      <c r="CF85" s="11"/>
      <c r="CG85" s="11"/>
      <c r="CH85" s="11" t="str">
        <f>IF(ISNUMBER(tblData[[#This Row],[Tests]]),tblData[[#This Row],[Tests]]-CF84,"")</f>
        <v/>
      </c>
      <c r="CI85" s="11" t="str">
        <f>IF(ISNUMBER(tblData[[#This Row],[NSW Under Investigation'']]),tblData[[#This Row],[NSW Under Investigation'']]-CG84,"")</f>
        <v/>
      </c>
      <c r="CJ85" s="11">
        <f>IF(tblData[[#This Row],[Date]]&gt;myData!TestsStart,tblData[[#This Row],[Date]]-myData!TestsStart,"")</f>
        <v>37</v>
      </c>
      <c r="CK85" s="11">
        <f>IF(AND(tblData[[#This Row],[NSW Test Day Number]]&gt;0,ISNUMBER(tblData[[#This Row],[NSW Test Day Number]])),betaTests/(deltaTests+betaPodeltaTests*EXP(-betaTests*tblData[[#This Row],[NSW Test Day Number]])),"")</f>
        <v>122067.75844365914</v>
      </c>
      <c r="CL85" s="11" t="str">
        <f>IF(tblData[Tests]&gt;0,(tblData[[#This Row],[Tests]]-tblData[[#This Row],[NSW Test Logi]])^2,"")</f>
        <v/>
      </c>
      <c r="CM85" s="106" t="str">
        <f>IF(AND(ISNUMBER(tblData[Tests]),tblData[Date]&gt;StartDt2Tests),(tblData[Tests]-AVERAGE(tblData[Tests]))^2,"")</f>
        <v/>
      </c>
      <c r="CN85" s="11" t="str">
        <f>IF(ISNUMBER(tblData[Tests]),tblData[Tests]/$CN$9/100,"")</f>
        <v/>
      </c>
      <c r="CO85" s="106">
        <f ca="1">IF(AND(tblData[[#This Row],[NSW Test Day Number]]&gt;0,ISNUMBER(tblData[[#This Row],[NSW Test Day Number]])),TestsLogestB*TestsLogestM^tblData[[#This Row],[NSW Test Day Number]],"")</f>
        <v>426755.3940399898</v>
      </c>
      <c r="CP85" s="11" t="str">
        <f>IF(AND(tblData[[#This Row],[NSW Test Day Number]]&gt;0,ISNUMBER(tblData[Tests])),(tblData[Tests]-tblData[[#This Row],[NSW Test Per Capita]])^2,"")</f>
        <v/>
      </c>
      <c r="CQ85" s="39">
        <f ca="1">IF(AND(tblData[Day '# NSW]&gt;0,ISNUMBER(tblData[[#This Row],[Day '# NSW]])),NSWLogestB*NSWLogestM^tblData[[#This Row],[Day '# NSW]]/$CR$9,"")</f>
        <v>3759.9480199962686</v>
      </c>
      <c r="CR85" s="39" t="str">
        <f ca="1">IF(AND(ISNUMBER(tblData[NSW]),tblData[Date]&gt;StartDt2NSW),(tblData[NSW]/$CR$9-tblData[[#This Row],[NSW Cases LogEst]])^2,"")</f>
        <v/>
      </c>
      <c r="CS85" s="106"/>
      <c r="CT85" s="11"/>
      <c r="CW85" s="25"/>
      <c r="CX85"/>
      <c r="DL85" s="25"/>
      <c r="DR85"/>
      <c r="DS85"/>
      <c r="DT85"/>
      <c r="DU85"/>
      <c r="DW85" s="25"/>
      <c r="DX85" s="25"/>
      <c r="EB85" s="25"/>
      <c r="EC85" s="25"/>
      <c r="ED85" s="25"/>
      <c r="EE85" s="25"/>
      <c r="EK85"/>
      <c r="EL85"/>
      <c r="EM85"/>
      <c r="EN85"/>
      <c r="EO85"/>
      <c r="EP85"/>
      <c r="EQ85"/>
      <c r="ER85"/>
      <c r="ES85" s="69"/>
      <c r="EU85" s="25" t="s">
        <v>58</v>
      </c>
      <c r="EV85" s="69"/>
      <c r="EW85" s="26">
        <v>43860</v>
      </c>
      <c r="EY85" s="25">
        <v>2</v>
      </c>
      <c r="EZ85" s="22">
        <v>0.26238091349277259</v>
      </c>
      <c r="FA85" s="24">
        <v>6.5504048686306527E-6</v>
      </c>
      <c r="FB85" s="21">
        <v>0.44060114064329331</v>
      </c>
      <c r="FC85" s="82">
        <f>betaItaly/deltaItaly</f>
        <v>97269.773664435765</v>
      </c>
      <c r="FD85" s="82">
        <f ca="1">SQRT(SUM(tblData[Italy Sq Err])/COUNT(tblData[Italy Sq Err]))</f>
        <v>5899.4841771520232</v>
      </c>
      <c r="FE85" s="83">
        <f>(betaItaly/PoItaly)-deltaItaly</f>
        <v>0.57906013102628118</v>
      </c>
      <c r="FF85" s="84">
        <f>deltaItaly*1000</f>
        <v>2.6383830612608161E-3</v>
      </c>
      <c r="FG85" s="26">
        <f t="array" ref="FG85">MAX(IF(ISNUMBER(tblData[Italy]),tblData[Date]))</f>
        <v>43922</v>
      </c>
      <c r="FH85" s="26" t="str">
        <f>Cengnotation(FC85,3)</f>
        <v>97.3 k</v>
      </c>
      <c r="FI85" s="84"/>
      <c r="FJ85" s="84"/>
      <c r="FK85" s="19"/>
      <c r="FL85" s="26"/>
      <c r="FM85" s="25"/>
      <c r="FN85" s="18"/>
      <c r="FO85"/>
      <c r="FP85"/>
      <c r="FQ85"/>
      <c r="FR85" s="25"/>
      <c r="FS85" s="19"/>
      <c r="FT85" s="72"/>
      <c r="FU85" s="25"/>
      <c r="FV85" s="142"/>
      <c r="FW85" s="25"/>
      <c r="FY85" s="25"/>
    </row>
    <row r="86" spans="2:217" x14ac:dyDescent="0.25">
      <c r="B86" s="26">
        <f t="shared" si="4"/>
        <v>43939</v>
      </c>
      <c r="D86" s="25"/>
      <c r="L86" s="12" t="str">
        <f>IF(ISNUMBER(tblData[[#This Row],[NSW]]),tblData[[#This Row],[New South Wales]]/$L$9,"")</f>
        <v/>
      </c>
      <c r="M86" s="25"/>
      <c r="N86" s="44" t="str">
        <f>IF(ISNUMBER(tblData[Italy]),tblData[Italy]/$N$9,"")</f>
        <v/>
      </c>
      <c r="O86" s="25"/>
      <c r="P86" s="106" t="str">
        <f>IF(ISNUMBER(tblData[US]),tblData[US]/$P$9,"")</f>
        <v/>
      </c>
      <c r="Q86" s="44"/>
      <c r="R86" s="19" t="str">
        <f>IF(ISNUMBER(tblData[SKorea]),tblData[SKorea]/$R$9,"")</f>
        <v/>
      </c>
      <c r="S86" s="44"/>
      <c r="T86" s="12" t="str">
        <f>IF(ISNUMBER(tblData[UK]),tblData[UK]/$T$9,"")</f>
        <v/>
      </c>
      <c r="U86" s="25"/>
      <c r="V86" s="20" t="str">
        <f>IF(ISNUMBER(tblData[China]),tblData[China]/$V$9,"")</f>
        <v/>
      </c>
      <c r="W86" s="20"/>
      <c r="X86" s="20" t="str">
        <f>IF(ISNUMBER(tblData[Singapore]),tblData[Singapore]/$X$9,"")</f>
        <v/>
      </c>
      <c r="Y86" s="20"/>
      <c r="Z86" s="20" t="str">
        <f>IF(AND(LEN(tblData[Generic])&gt;0,ISNUMBER(tblData[Generic])),tblData[Generic]/$Z$9,"")</f>
        <v/>
      </c>
      <c r="AA86" s="25">
        <f ca="1">IF(tblData[[#This Row],[Date]]&lt;StartDt2Italy,"",tblData[[#This Row],[Date]]-ItalyStart)</f>
        <v>79</v>
      </c>
      <c r="AB86" s="25">
        <f ca="1">IF(tblData[[#This Row],[Date]]&lt;=StartDt2US,"",tblData[[#This Row],[Date]]-USStart)</f>
        <v>87</v>
      </c>
      <c r="AC86" s="25">
        <f ca="1">IF(tblData[[#This Row],[Date]]&lt;StartDt2China,"",tblData[[#This Row],[Date]]-ChinaStart)</f>
        <v>87</v>
      </c>
      <c r="AD86" s="25">
        <f>IF(tblData[[#This Row],[Date]]&lt;=SKoreaStart,"",tblData[[#This Row],[Date]]-SKoreaStart)</f>
        <v>87</v>
      </c>
      <c r="AE86" s="25">
        <f ca="1">IF(tblData[[#This Row],[Date]]&lt;=StartDt2UK,"",tblData[[#This Row],[Date]]-UKStart)</f>
        <v>79</v>
      </c>
      <c r="AF86" s="25">
        <f>IF(tblData[[#This Row],[Date]]&lt;StartDt2Singapore,"",tblData[[#This Row],[Date]]-SingaporeStart)</f>
        <v>86</v>
      </c>
      <c r="AG86" s="25">
        <f ca="1">IF(tblData[[#This Row],[Date]]&lt;StartDt2Generic,"",tblData[[#This Row],[Date]]-GenericStart)</f>
        <v>87</v>
      </c>
      <c r="AH86">
        <f ca="1">IF(tblData[Date]&gt;StartDt2Au,tblData[Date]-AuStart,"")</f>
        <v>84</v>
      </c>
      <c r="AI86" s="25">
        <f>IF(tblData[New South Wales]&gt;=0,SUM(tblData[[#This Row],[Australian Capital Territory]:[Western Australia]]),"")</f>
        <v>0</v>
      </c>
      <c r="AJ86" s="12">
        <f>IF(ISNUMBER(tblData[Au]),tblData[Au]/$AE$9,"")</f>
        <v>0</v>
      </c>
      <c r="AK86" s="39">
        <f ca="1">IF(ISNUMBER(tblData[[#This Row],[Day'# Aust]]),betaAu/(deltaAu+betaPodeltaAu*EXP(-betaAu*tblData[[#This Row],[Day'# Aust]])),"")</f>
        <v>6157.398138333353</v>
      </c>
      <c r="AL86" s="63">
        <f ca="1">IF(ISNUMBER(tblData[Day'# Aust]),tblData[Au LogiP(t)]/$AJ$9,"")</f>
        <v>2427.6132070388553</v>
      </c>
      <c r="AM86" s="11" t="str">
        <f ca="1">IF(AND(tblData[Date]&gt;StartDt2Au,ISNUMBER(tblData[NSW])),(tblData[[#This Row],[Au LogiP(t)]]-tblData[[#This Row],[Au]])^2,"")</f>
        <v/>
      </c>
      <c r="AN86" s="11">
        <f ca="1">IF(AND(ISNUMBER(tblData[Au]),tblData[Date]&gt;StartDt2Au),(tblData[Au]-AVERAGE(tblData[Au]))^2,"")</f>
        <v>196564.33811020709</v>
      </c>
      <c r="AO86" s="11">
        <f>tblData[[#This Row],[Date]]-Au100dt</f>
        <v>35</v>
      </c>
      <c r="AP86">
        <f ca="1">IF(tblData[Date]&gt;StartDt2NSW,tblData[Date]-StartDt2NSW,"")</f>
        <v>84</v>
      </c>
      <c r="AQ86" s="25" t="str">
        <f>IF(tblData[[#This Row],[New South Wales]]&gt;0,tblData[[#This Row],[New South Wales]],"")</f>
        <v/>
      </c>
      <c r="AR86" s="11">
        <f ca="1">IF(tblData[Date]&gt;StartDt2NSW,betaNSW/(deltaNSW+betaPodeltaNSW*EXP(-betaNSW*tblData[[#This Row],[Day '# NSW]])),"")</f>
        <v>2981.3603927939184</v>
      </c>
      <c r="AS86" s="12" t="str">
        <f ca="1">IF(AND(ISNUMBER(tblData[NSW]),tblData[Date]&gt;StartDt2NSW),(tblData[[#This Row],[NSW LogiP(t)]]-tblData[[#This Row],[NSW]])^2,"")</f>
        <v/>
      </c>
      <c r="AT86" s="39">
        <f ca="1">IF(AND(tblData[Date]&gt;StartDt2NSW,ISNUMBER(tblData[Day'# Aust])),tblData[NSW LogiP(t)]/$AR$9,"")</f>
        <v>3689.8024663291067</v>
      </c>
      <c r="AU86" s="11">
        <f>tblData[[#This Row],[Date]]-NSW100dt+1</f>
        <v>39</v>
      </c>
      <c r="AV86" s="11" t="str">
        <f ca="1">IF(AND(ISNUMBER(tblData[NSW]),tblData[Date]&gt;StartDt2NSW),(tblData[NSW]-AVERAGE(tblData[NSW]))^2,"")</f>
        <v/>
      </c>
      <c r="AW86" s="39">
        <f ca="1">IF(AND(tblData[Date]&gt;StartDt2Italy,ISNUMBER(tblData[Days'# Italy])),betaItaly/(deltaItaly+betaPodeltaItaly*EXP(-betaItaly*tblData[Days'# Italy])),"")</f>
        <v>97236.33422089227</v>
      </c>
      <c r="AX86" s="11" t="str">
        <f ca="1">IF(AND(tblData[Date]&gt;StartDt2Italy,ISNUMBER(tblData[Italy])),(tblData[[#This Row],[Italy LogiP(t)]]-tblData[[#This Row],[Italy]])^2,"")</f>
        <v/>
      </c>
      <c r="AY86" s="39">
        <f ca="1">IF(AND(tblData[Date]&gt;StartDt2Italy,ISNUMBER(tblData[Days'# Italy])),tblData[[#This Row],[Italy LogiP(t)]]/$AW$9,"")</f>
        <v>16076.107170520339</v>
      </c>
      <c r="AZ86" s="39" t="str">
        <f ca="1">IF(AND(ISNUMBER(tblData[Italy]),tblData[Date]&gt;StartDt2Italy),(tblData[Italy]-AVERAGE(tblData[Italy]))^2,"")</f>
        <v/>
      </c>
      <c r="BA86" s="11">
        <f>tblData[[#This Row],[Date]]-Italy100dt+1</f>
        <v>52</v>
      </c>
      <c r="BB86" s="11">
        <f ca="1">IF(AND(tblData[Date]&gt;StartDt2US,ISNUMBER(tblData[[#This Row],[Days'# US]])),betaUS/(deltaUS+betaPodeltaUS*EXP(-betaUS*tblData[Days'# US])),"")</f>
        <v>625659.52425031562</v>
      </c>
      <c r="BC86" s="11" t="str">
        <f ca="1">IF(AND(tblData[Date]&gt;StartDt2US,ISNUMBER(tblData[US])),(tblData[[#This Row],[US LogiP(t)]]-tblData[US])^2,"")</f>
        <v/>
      </c>
      <c r="BD86" s="137">
        <f ca="1">IF(AND(tblData[Date]&gt;=StartDt2US,ISNUMBER(tblData[[#This Row],[Days'# US]])),tblData[[#This Row],[US LogiP(t)]]/$BB$9,"")</f>
        <v>19003.851645308037</v>
      </c>
      <c r="BE86" s="137" t="str">
        <f ca="1">IF(AND(ISNUMBER(tblData[US]),tblData[Date]&gt;StartDt2US),(tblData[US]-AVERAGE(tblData[US]))^2,"")</f>
        <v/>
      </c>
      <c r="BF86" s="11">
        <f>tblData[[#This Row],[Date]]-US100dt+1</f>
        <v>36</v>
      </c>
      <c r="BG86" s="20">
        <f ca="1">IF(tblData[Date]&gt;StartDt2SKorea,betaSKorea/(deltaSKorea+betaPodeltaSKorea*EXP(-betaSKorea*(tblData[Date]-StartDt2SKorea))),"")</f>
        <v>9037.2841974043367</v>
      </c>
      <c r="BH86" s="20" t="str">
        <f ca="1">IF(AND(tblData[Date]&gt;StartDt2SKorea,ISNUMBER(tblData[SKorea])),(tblData[[#This Row],[SKorea LogiP(t)]]-tblData[[#This Row],[SKorea]])^2,"")</f>
        <v/>
      </c>
      <c r="BI86" s="20">
        <f ca="1">IF(tblData[Date]&gt;StartDt2SKorea,tblData[[#This Row],[SKorea LogiP(t)]]/$BG$9,"")</f>
        <v>1758.226497549482</v>
      </c>
      <c r="BJ86" s="137" t="str">
        <f ca="1">IF(AND(ISNUMBER(tblData[SKorea]),tblData[Date]&gt;StartDt2SKorea),(tblData[SKorea]-AVERAGE(tblData[SKorea]))^2,"")</f>
        <v/>
      </c>
      <c r="BK86" s="11">
        <f>tblData[[#This Row],[Date]]-SKorea100dt+1</f>
        <v>57</v>
      </c>
      <c r="BL86" s="137">
        <f ca="1">IF(AND(tblData[Date]&gt;StartDt2UK,ISNUMBER(tblData[Days'# UK])),betaUK/(deltaUK+betaPodeltaUK*EXP(-betaUK*tblData[Days'# UK])),"")</f>
        <v>71716.019632517433</v>
      </c>
      <c r="BM86" s="71" t="str">
        <f ca="1">IF(AND(tblData[Date]&gt;StartDt2UK,ISNUMBER(tblData[UK])),(tblData[[#This Row],[UK LogiP(t)]]-tblData[[#This Row],[UK]])^2,"")</f>
        <v/>
      </c>
      <c r="BN86" s="71">
        <f ca="1">IF(ISNUMBER(tblData[Days'# UK]),tblData[[#This Row],[UK LogiP(t)]]/$BL$9,"")</f>
        <v>10794.102894719661</v>
      </c>
      <c r="BO86" s="137" t="str">
        <f ca="1">IF(AND(ISNUMBER(tblData[UK]),tblData[Date]&gt;StartDt2UK),(tblData[UK]-AVERAGE(tblData[UK]))^2,"")</f>
        <v/>
      </c>
      <c r="BP86" s="11">
        <f>tblData[[#This Row],[Date]]-UK100dt</f>
        <v>37</v>
      </c>
      <c r="BQ86" s="11">
        <f ca="1">IF(ISNUMBER(tblData[Days'# China]),betaChina/(deltaChina+betaPodeltaChina*EXP(-betaChina*tblData[Days'# China])),"")</f>
        <v>81223.93260384498</v>
      </c>
      <c r="BR86" s="11" t="str">
        <f>IF(ISNUMBER(tblData[China]),(tblData[[#This Row],[China LogiP(t)]]-tblData[[#This Row],[China]])^2,"")</f>
        <v/>
      </c>
      <c r="BS86" s="11">
        <f ca="1">tblData[[#This Row],[China LogiP(t)]]/$BQ$9</f>
        <v>564.32009224201806</v>
      </c>
      <c r="BT86" s="137" t="str">
        <f ca="1">IF(AND(ISNUMBER(tblData[China]),tblData[Date]&gt;StartDt2China),(tblData[China]-AVERAGE(tblData[China]))^2,"")</f>
        <v/>
      </c>
      <c r="BU86" s="11">
        <f>tblData[[#This Row],[Date]]-China100dt</f>
        <v>87</v>
      </c>
      <c r="BV86" s="106">
        <f>IF(ISNUMBER(tblData[Day'# Singapore]),betaSingapore/(deltaSingapore+betaPodeltaSingapore*EXP(-betaSingapore*tblData[Day'# Singapore])),"")</f>
        <v>3919.4114312129636</v>
      </c>
      <c r="BW86" s="11" t="str">
        <f>IF(AND(ISNUMBER(tblData[Singapore]),tblData[Date]&gt;=StartDt2Singapore),(tblData[[#This Row],[Singapore LogiP(t)]]-tblData[[#This Row],[Singapore]])^2,"")</f>
        <v/>
      </c>
      <c r="BX86" s="106">
        <f>IF(ISNUMBER(tblData[Day'# Singapore]),tblData[Singapore LogiP(t)]/$BV$9,"")</f>
        <v>6699.848600364041</v>
      </c>
      <c r="BY86" s="106" t="str">
        <f>IF(AND(ISNUMBER(tblData[Singapore]),tblData[Date]&gt;StartDt2Singapore),(tblData[Singapore]-AVERAGE(tblData[Singapore]))^2,"")</f>
        <v/>
      </c>
      <c r="BZ86" s="11">
        <f>tblData[[#This Row],[Date]]-Singapore100dt+1</f>
        <v>68</v>
      </c>
      <c r="CA86" s="11">
        <f ca="1">IF(AND(tblData[Date]&gt;StartDt2Generic,ISNUMBER(tblData[Day'# Generic])),betaGeneric/(deltaGeneric+betaPodeltaGeneric*EXP(-betaGeneric*tblData[Day'# Generic])),"")</f>
        <v>3141.6957897936727</v>
      </c>
      <c r="CB86" s="106" t="str">
        <f ca="1">IF(AND(ISNUMBER(tblData[Generic]),tblData[Date]&gt;StartDt2Generic),(tblData[Generic LogiP(t)]-tblData[[#This Row],[Generic]])^2,"")</f>
        <v/>
      </c>
      <c r="CC86" s="11" t="str">
        <f ca="1">IF(AND(ISNUMBER(tblData[Generic]),tblData[Date]&gt;StartDt2Generic),tblData[Generic LogiP(t)]/$CA$9,"")</f>
        <v/>
      </c>
      <c r="CD86" s="106" t="str">
        <f ca="1">IF(AND(ISNUMBER(tblData[Generic]),tblData[Date]&gt;StartDt2Generic),(tblData[Generic]-AVERAGE(tblData[Generic]))^2,"")</f>
        <v/>
      </c>
      <c r="CE86" s="11">
        <f>tblData[[#This Row],[Date]]-Generic100dt+1</f>
        <v>29</v>
      </c>
      <c r="CF86" s="11"/>
      <c r="CG86" s="11"/>
      <c r="CH86" s="11" t="str">
        <f>IF(ISNUMBER(tblData[[#This Row],[Tests]]),tblData[[#This Row],[Tests]]-CF85,"")</f>
        <v/>
      </c>
      <c r="CI86" s="11" t="str">
        <f>IF(ISNUMBER(tblData[[#This Row],[NSW Under Investigation'']]),tblData[[#This Row],[NSW Under Investigation'']]-CG85,"")</f>
        <v/>
      </c>
      <c r="CJ86" s="11">
        <f>IF(tblData[[#This Row],[Date]]&gt;myData!TestsStart,tblData[[#This Row],[Date]]-myData!TestsStart,"")</f>
        <v>44</v>
      </c>
      <c r="CK86" s="11">
        <f>IF(AND(tblData[[#This Row],[NSW Test Day Number]]&gt;0,ISNUMBER(tblData[[#This Row],[NSW Test Day Number]])),betaTests/(deltaTests+betaPodeltaTests*EXP(-betaTests*tblData[[#This Row],[NSW Test Day Number]])),"")</f>
        <v>125682.64097936923</v>
      </c>
      <c r="CL86" s="11" t="str">
        <f>IF(tblData[Tests]&gt;0,(tblData[[#This Row],[Tests]]-tblData[[#This Row],[NSW Test Logi]])^2,"")</f>
        <v/>
      </c>
      <c r="CM86" s="106" t="str">
        <f>IF(AND(ISNUMBER(tblData[Tests]),tblData[Date]&gt;StartDt2Tests),(tblData[Tests]-AVERAGE(tblData[Tests]))^2,"")</f>
        <v/>
      </c>
      <c r="CN86" s="11" t="str">
        <f>IF(ISNUMBER(tblData[Tests]),tblData[Tests]/$CN$9/100,"")</f>
        <v/>
      </c>
      <c r="CO86" s="106">
        <f ca="1">IF(AND(tblData[[#This Row],[NSW Test Day Number]]&gt;0,ISNUMBER(tblData[[#This Row],[NSW Test Day Number]])),TestsLogestB*TestsLogestM^tblData[[#This Row],[NSW Test Day Number]],"")</f>
        <v>955512.57719546487</v>
      </c>
      <c r="CP86" s="11" t="str">
        <f>IF(AND(tblData[[#This Row],[NSW Test Day Number]]&gt;0,ISNUMBER(tblData[Tests])),(tblData[Tests]-tblData[[#This Row],[NSW Test Per Capita]])^2,"")</f>
        <v/>
      </c>
      <c r="CQ86" s="39">
        <f ca="1">IF(AND(tblData[Day '# NSW]&gt;0,ISNUMBER(tblData[[#This Row],[Day '# NSW]])),NSWLogestB*NSWLogestM^tblData[[#This Row],[Day '# NSW]]/$CR$9,"")</f>
        <v>7952.0852102724357</v>
      </c>
      <c r="CR86" s="39" t="str">
        <f ca="1">IF(AND(ISNUMBER(tblData[NSW]),tblData[Date]&gt;StartDt2NSW),(tblData[NSW]/$CR$9-tblData[[#This Row],[NSW Cases LogEst]])^2,"")</f>
        <v/>
      </c>
      <c r="CS86" s="106"/>
      <c r="CT86" s="11"/>
      <c r="CW86" s="25"/>
      <c r="CX86"/>
      <c r="DL86" s="25"/>
      <c r="DR86"/>
      <c r="DS86"/>
      <c r="DT86"/>
      <c r="DU86"/>
      <c r="DW86" s="25"/>
      <c r="DX86" s="25"/>
      <c r="EB86" s="25"/>
      <c r="EC86" s="25"/>
      <c r="ED86" s="25"/>
      <c r="EE86" s="25"/>
      <c r="EK86"/>
      <c r="EL86"/>
      <c r="EM86"/>
      <c r="EN86"/>
      <c r="EO86"/>
      <c r="EP86"/>
      <c r="EQ86"/>
      <c r="ER86"/>
      <c r="ES86" s="69"/>
      <c r="EU86" s="25" t="s">
        <v>209</v>
      </c>
      <c r="EV86" s="69"/>
      <c r="EW86" s="26">
        <v>43852</v>
      </c>
      <c r="EY86" s="25">
        <v>3</v>
      </c>
      <c r="EZ86" s="22">
        <v>0.23690262188948924</v>
      </c>
      <c r="FA86" s="24">
        <v>1.0000000000010001E-8</v>
      </c>
      <c r="FB86" s="21">
        <v>1</v>
      </c>
      <c r="FC86" s="82">
        <v>23690262.188925233</v>
      </c>
      <c r="FD86" s="82">
        <v>70.768652159383493</v>
      </c>
      <c r="FE86" s="83">
        <v>0.23690261188948925</v>
      </c>
      <c r="FF86" s="84">
        <v>1.0000000000010001E-5</v>
      </c>
      <c r="FG86" s="26">
        <v>43904</v>
      </c>
      <c r="FH86" s="26" t="s">
        <v>216</v>
      </c>
      <c r="FI86" s="84"/>
      <c r="FJ86" s="84"/>
      <c r="FK86" s="19"/>
      <c r="FL86" s="26"/>
      <c r="FM86" s="25"/>
      <c r="FN86" s="18"/>
      <c r="FO86" s="25"/>
      <c r="FP86" s="25"/>
      <c r="FR86" s="25"/>
      <c r="FS86" s="19"/>
      <c r="FT86" s="72"/>
      <c r="FU86" s="25"/>
      <c r="FV86" s="142"/>
      <c r="FW86" s="25"/>
      <c r="FY86" s="25"/>
    </row>
    <row r="87" spans="2:217" x14ac:dyDescent="0.25">
      <c r="B87" s="26">
        <f t="shared" si="4"/>
        <v>43946</v>
      </c>
      <c r="D87" s="25"/>
      <c r="L87" s="12" t="str">
        <f>IF(ISNUMBER(tblData[[#This Row],[NSW]]),tblData[[#This Row],[New South Wales]]/$L$9,"")</f>
        <v/>
      </c>
      <c r="M87" s="25"/>
      <c r="N87" s="44" t="str">
        <f>IF(ISNUMBER(tblData[Italy]),tblData[Italy]/$N$9,"")</f>
        <v/>
      </c>
      <c r="O87" s="25"/>
      <c r="P87" s="106" t="str">
        <f>IF(ISNUMBER(tblData[US]),tblData[US]/$P$9,"")</f>
        <v/>
      </c>
      <c r="Q87" s="44"/>
      <c r="R87" s="19" t="str">
        <f>IF(ISNUMBER(tblData[SKorea]),tblData[SKorea]/$R$9,"")</f>
        <v/>
      </c>
      <c r="S87" s="44"/>
      <c r="T87" s="12" t="str">
        <f>IF(ISNUMBER(tblData[UK]),tblData[UK]/$T$9,"")</f>
        <v/>
      </c>
      <c r="U87" s="25"/>
      <c r="V87" s="20" t="str">
        <f>IF(ISNUMBER(tblData[China]),tblData[China]/$V$9,"")</f>
        <v/>
      </c>
      <c r="W87" s="20"/>
      <c r="X87" s="20" t="str">
        <f>IF(ISNUMBER(tblData[Singapore]),tblData[Singapore]/$X$9,"")</f>
        <v/>
      </c>
      <c r="Y87" s="20"/>
      <c r="Z87" s="20" t="str">
        <f>IF(AND(LEN(tblData[Generic])&gt;0,ISNUMBER(tblData[Generic])),tblData[Generic]/$Z$9,"")</f>
        <v/>
      </c>
      <c r="AA87" s="25">
        <f ca="1">IF(tblData[[#This Row],[Date]]&lt;StartDt2Italy,"",tblData[[#This Row],[Date]]-ItalyStart)</f>
        <v>86</v>
      </c>
      <c r="AB87" s="25">
        <f ca="1">IF(tblData[[#This Row],[Date]]&lt;=StartDt2US,"",tblData[[#This Row],[Date]]-USStart)</f>
        <v>94</v>
      </c>
      <c r="AC87" s="25">
        <f ca="1">IF(tblData[[#This Row],[Date]]&lt;StartDt2China,"",tblData[[#This Row],[Date]]-ChinaStart)</f>
        <v>94</v>
      </c>
      <c r="AD87" s="25">
        <f>IF(tblData[[#This Row],[Date]]&lt;=SKoreaStart,"",tblData[[#This Row],[Date]]-SKoreaStart)</f>
        <v>94</v>
      </c>
      <c r="AE87" s="25">
        <f ca="1">IF(tblData[[#This Row],[Date]]&lt;=StartDt2UK,"",tblData[[#This Row],[Date]]-UKStart)</f>
        <v>86</v>
      </c>
      <c r="AF87" s="25">
        <f>IF(tblData[[#This Row],[Date]]&lt;StartDt2Singapore,"",tblData[[#This Row],[Date]]-SingaporeStart)</f>
        <v>93</v>
      </c>
      <c r="AG87" s="25">
        <f ca="1">IF(tblData[[#This Row],[Date]]&lt;StartDt2Generic,"",tblData[[#This Row],[Date]]-GenericStart)</f>
        <v>94</v>
      </c>
      <c r="AH87">
        <f ca="1">IF(tblData[Date]&gt;StartDt2Au,tblData[Date]-AuStart,"")</f>
        <v>91</v>
      </c>
      <c r="AI87" s="25">
        <f>IF(tblData[New South Wales]&gt;=0,SUM(tblData[[#This Row],[Australian Capital Territory]:[Western Australia]]),"")</f>
        <v>0</v>
      </c>
      <c r="AJ87" s="12">
        <f>IF(ISNUMBER(tblData[Au]),tblData[Au]/$AE$9,"")</f>
        <v>0</v>
      </c>
      <c r="AK87" s="39">
        <f ca="1">IF(ISNUMBER(tblData[[#This Row],[Day'# Aust]]),betaAu/(deltaAu+betaPodeltaAu*EXP(-betaAu*tblData[[#This Row],[Day'# Aust]])),"")</f>
        <v>6175.8715245730209</v>
      </c>
      <c r="AL87" s="63">
        <f ca="1">IF(ISNUMBER(tblData[Day'# Aust]),tblData[Au LogiP(t)]/$AJ$9,"")</f>
        <v>2434.8965165482655</v>
      </c>
      <c r="AM87" s="11" t="str">
        <f ca="1">IF(AND(tblData[Date]&gt;StartDt2Au,ISNUMBER(tblData[NSW])),(tblData[[#This Row],[Au LogiP(t)]]-tblData[[#This Row],[Au]])^2,"")</f>
        <v/>
      </c>
      <c r="AN87" s="11">
        <f ca="1">IF(AND(ISNUMBER(tblData[Au]),tblData[Date]&gt;StartDt2Au),(tblData[Au]-AVERAGE(tblData[Au]))^2,"")</f>
        <v>196564.33811020709</v>
      </c>
      <c r="AO87" s="11">
        <f>tblData[[#This Row],[Date]]-Au100dt</f>
        <v>42</v>
      </c>
      <c r="AP87">
        <f ca="1">IF(tblData[Date]&gt;StartDt2NSW,tblData[Date]-StartDt2NSW,"")</f>
        <v>91</v>
      </c>
      <c r="AQ87" s="25" t="str">
        <f>IF(tblData[[#This Row],[New South Wales]]&gt;0,tblData[[#This Row],[New South Wales]],"")</f>
        <v/>
      </c>
      <c r="AR87" s="11">
        <f ca="1">IF(tblData[Date]&gt;StartDt2NSW,betaNSW/(deltaNSW+betaPodeltaNSW*EXP(-betaNSW*tblData[[#This Row],[Day '# NSW]])),"")</f>
        <v>2996.6645545843407</v>
      </c>
      <c r="AS87" s="12" t="str">
        <f ca="1">IF(AND(ISNUMBER(tblData[NSW]),tblData[Date]&gt;StartDt2NSW),(tblData[[#This Row],[NSW LogiP(t)]]-tblData[[#This Row],[NSW]])^2,"")</f>
        <v/>
      </c>
      <c r="AT87" s="39">
        <f ca="1">IF(AND(tblData[Date]&gt;StartDt2NSW,ISNUMBER(tblData[Day'# Aust])),tblData[NSW LogiP(t)]/$AR$9,"")</f>
        <v>3708.7432606241837</v>
      </c>
      <c r="AU87" s="11">
        <f>tblData[[#This Row],[Date]]-NSW100dt+1</f>
        <v>46</v>
      </c>
      <c r="AV87" s="11" t="str">
        <f ca="1">IF(AND(ISNUMBER(tblData[NSW]),tblData[Date]&gt;StartDt2NSW),(tblData[NSW]-AVERAGE(tblData[NSW]))^2,"")</f>
        <v/>
      </c>
      <c r="AW87" s="39">
        <f ca="1">IF(AND(tblData[Date]&gt;StartDt2Italy,ISNUMBER(tblData[Days'# Italy])),betaItaly/(deltaItaly+betaPodeltaItaly*EXP(-betaItaly*tblData[Days'# Italy])),"")</f>
        <v>97264.224882249502</v>
      </c>
      <c r="AX87" s="11" t="str">
        <f ca="1">IF(AND(tblData[Date]&gt;StartDt2Italy,ISNUMBER(tblData[Italy])),(tblData[[#This Row],[Italy LogiP(t)]]-tblData[[#This Row],[Italy]])^2,"")</f>
        <v/>
      </c>
      <c r="AY87" s="39">
        <f ca="1">IF(AND(tblData[Date]&gt;StartDt2Italy,ISNUMBER(tblData[Days'# Italy])),tblData[[#This Row],[Italy LogiP(t)]]/$AW$9,"")</f>
        <v>16080.718340456229</v>
      </c>
      <c r="AZ87" s="39" t="str">
        <f ca="1">IF(AND(ISNUMBER(tblData[Italy]),tblData[Date]&gt;StartDt2Italy),(tblData[Italy]-AVERAGE(tblData[Italy]))^2,"")</f>
        <v/>
      </c>
      <c r="BA87" s="11">
        <f>tblData[[#This Row],[Date]]-Italy100dt+1</f>
        <v>59</v>
      </c>
      <c r="BB87" s="11">
        <f ca="1">IF(AND(tblData[Date]&gt;StartDt2US,ISNUMBER(tblData[[#This Row],[Days'# US]])),betaUS/(deltaUS+betaPodeltaUS*EXP(-betaUS*tblData[Days'# US])),"")</f>
        <v>632134.48415367329</v>
      </c>
      <c r="BC87" s="11" t="str">
        <f ca="1">IF(AND(tblData[Date]&gt;StartDt2US,ISNUMBER(tblData[US])),(tblData[[#This Row],[US LogiP(t)]]-tblData[US])^2,"")</f>
        <v/>
      </c>
      <c r="BD87" s="137">
        <f ca="1">IF(AND(tblData[Date]&gt;=StartDt2US,ISNUMBER(tblData[[#This Row],[Days'# US]])),tblData[[#This Row],[US LogiP(t)]]/$BB$9,"")</f>
        <v>19200.522794141212</v>
      </c>
      <c r="BE87" s="137" t="str">
        <f ca="1">IF(AND(ISNUMBER(tblData[US]),tblData[Date]&gt;StartDt2US),(tblData[US]-AVERAGE(tblData[US]))^2,"")</f>
        <v/>
      </c>
      <c r="BF87" s="11">
        <f>tblData[[#This Row],[Date]]-US100dt+1</f>
        <v>43</v>
      </c>
      <c r="BG87" s="20">
        <f ca="1">IF(tblData[Date]&gt;StartDt2SKorea,betaSKorea/(deltaSKorea+betaPodeltaSKorea*EXP(-betaSKorea*(tblData[Date]-StartDt2SKorea))),"")</f>
        <v>9037.326246909257</v>
      </c>
      <c r="BH87" s="20" t="str">
        <f ca="1">IF(AND(tblData[Date]&gt;StartDt2SKorea,ISNUMBER(tblData[SKorea])),(tblData[[#This Row],[SKorea LogiP(t)]]-tblData[[#This Row],[SKorea]])^2,"")</f>
        <v/>
      </c>
      <c r="BI87" s="20">
        <f ca="1">IF(tblData[Date]&gt;StartDt2SKorea,tblData[[#This Row],[SKorea LogiP(t)]]/$BG$9,"")</f>
        <v>1758.234678387015</v>
      </c>
      <c r="BJ87" s="137" t="str">
        <f ca="1">IF(AND(ISNUMBER(tblData[SKorea]),tblData[Date]&gt;StartDt2SKorea),(tblData[SKorea]-AVERAGE(tblData[SKorea]))^2,"")</f>
        <v/>
      </c>
      <c r="BK87" s="11">
        <f>tblData[[#This Row],[Date]]-SKorea100dt+1</f>
        <v>64</v>
      </c>
      <c r="BL87" s="137">
        <f ca="1">IF(AND(tblData[Date]&gt;StartDt2UK,ISNUMBER(tblData[Days'# UK])),betaUK/(deltaUK+betaPodeltaUK*EXP(-betaUK*tblData[Days'# UK])),"")</f>
        <v>73897.051692039517</v>
      </c>
      <c r="BM87" s="71" t="str">
        <f ca="1">IF(AND(tblData[Date]&gt;StartDt2UK,ISNUMBER(tblData[UK])),(tblData[[#This Row],[UK LogiP(t)]]-tblData[[#This Row],[UK]])^2,"")</f>
        <v/>
      </c>
      <c r="BN87" s="71">
        <f ca="1">IF(ISNUMBER(tblData[Days'# UK]),tblData[[#This Row],[UK LogiP(t)]]/$BL$9,"")</f>
        <v>11122.373824810282</v>
      </c>
      <c r="BO87" s="137" t="str">
        <f ca="1">IF(AND(ISNUMBER(tblData[UK]),tblData[Date]&gt;StartDt2UK),(tblData[UK]-AVERAGE(tblData[UK]))^2,"")</f>
        <v/>
      </c>
      <c r="BP87" s="11">
        <f>tblData[[#This Row],[Date]]-UK100dt</f>
        <v>44</v>
      </c>
      <c r="BQ87" s="11">
        <f ca="1">IF(ISNUMBER(tblData[Days'# China]),betaChina/(deltaChina+betaPodeltaChina*EXP(-betaChina*tblData[Days'# China])),"")</f>
        <v>81223.947313705983</v>
      </c>
      <c r="BR87" s="11" t="str">
        <f>IF(ISNUMBER(tblData[China]),(tblData[[#This Row],[China LogiP(t)]]-tblData[[#This Row],[China]])^2,"")</f>
        <v/>
      </c>
      <c r="BS87" s="11">
        <f ca="1">tblData[[#This Row],[China LogiP(t)]]/$BQ$9</f>
        <v>564.32019444182367</v>
      </c>
      <c r="BT87" s="137" t="str">
        <f ca="1">IF(AND(ISNUMBER(tblData[China]),tblData[Date]&gt;StartDt2China),(tblData[China]-AVERAGE(tblData[China]))^2,"")</f>
        <v/>
      </c>
      <c r="BU87" s="11">
        <f>tblData[[#This Row],[Date]]-China100dt</f>
        <v>94</v>
      </c>
      <c r="BV87" s="106">
        <f>IF(ISNUMBER(tblData[Day'# Singapore]),betaSingapore/(deltaSingapore+betaPodeltaSingapore*EXP(-betaSingapore*tblData[Day'# Singapore])),"")</f>
        <v>6702.6969682288482</v>
      </c>
      <c r="BW87" s="11" t="str">
        <f>IF(AND(ISNUMBER(tblData[Singapore]),tblData[Date]&gt;=StartDt2Singapore),(tblData[[#This Row],[Singapore LogiP(t)]]-tblData[[#This Row],[Singapore]])^2,"")</f>
        <v/>
      </c>
      <c r="BX87" s="106">
        <f>IF(ISNUMBER(tblData[Day'# Singapore]),tblData[Singapore LogiP(t)]/$BV$9,"")</f>
        <v>11457.601655092049</v>
      </c>
      <c r="BY87" s="106" t="str">
        <f>IF(AND(ISNUMBER(tblData[Singapore]),tblData[Date]&gt;StartDt2Singapore),(tblData[Singapore]-AVERAGE(tblData[Singapore]))^2,"")</f>
        <v/>
      </c>
      <c r="BZ87" s="11">
        <f>tblData[[#This Row],[Date]]-Singapore100dt+1</f>
        <v>75</v>
      </c>
      <c r="CA87" s="11">
        <f ca="1">IF(AND(tblData[Date]&gt;StartDt2Generic,ISNUMBER(tblData[Day'# Generic])),betaGeneric/(deltaGeneric+betaPodeltaGeneric*EXP(-betaGeneric*tblData[Day'# Generic])),"")</f>
        <v>3435.6636679010076</v>
      </c>
      <c r="CB87" s="106" t="str">
        <f ca="1">IF(AND(ISNUMBER(tblData[Generic]),tblData[Date]&gt;StartDt2Generic),(tblData[Generic LogiP(t)]-tblData[[#This Row],[Generic]])^2,"")</f>
        <v/>
      </c>
      <c r="CC87" s="11" t="str">
        <f ca="1">IF(AND(ISNUMBER(tblData[Generic]),tblData[Date]&gt;StartDt2Generic),tblData[Generic LogiP(t)]/$CA$9,"")</f>
        <v/>
      </c>
      <c r="CD87" s="106" t="str">
        <f ca="1">IF(AND(ISNUMBER(tblData[Generic]),tblData[Date]&gt;StartDt2Generic),(tblData[Generic]-AVERAGE(tblData[Generic]))^2,"")</f>
        <v/>
      </c>
      <c r="CE87" s="11">
        <f>tblData[[#This Row],[Date]]-Generic100dt+1</f>
        <v>36</v>
      </c>
      <c r="CF87" s="11"/>
      <c r="CG87" s="11"/>
      <c r="CH87" s="11" t="str">
        <f>IF(ISNUMBER(tblData[[#This Row],[Tests]]),tblData[[#This Row],[Tests]]-CF86,"")</f>
        <v/>
      </c>
      <c r="CI87" s="11" t="str">
        <f>IF(ISNUMBER(tblData[[#This Row],[NSW Under Investigation'']]),tblData[[#This Row],[NSW Under Investigation'']]-CG86,"")</f>
        <v/>
      </c>
      <c r="CJ87" s="11">
        <f>IF(tblData[[#This Row],[Date]]&gt;myData!TestsStart,tblData[[#This Row],[Date]]-myData!TestsStart,"")</f>
        <v>51</v>
      </c>
      <c r="CK87" s="11">
        <f>IF(AND(tblData[[#This Row],[NSW Test Day Number]]&gt;0,ISNUMBER(tblData[[#This Row],[NSW Test Day Number]])),betaTests/(deltaTests+betaPodeltaTests*EXP(-betaTests*tblData[[#This Row],[NSW Test Day Number]])),"")</f>
        <v>126776.77504168119</v>
      </c>
      <c r="CL87" s="11" t="str">
        <f>IF(tblData[Tests]&gt;0,(tblData[[#This Row],[Tests]]-tblData[[#This Row],[NSW Test Logi]])^2,"")</f>
        <v/>
      </c>
      <c r="CM87" s="106" t="str">
        <f>IF(AND(ISNUMBER(tblData[Tests]),tblData[Date]&gt;StartDt2Tests),(tblData[Tests]-AVERAGE(tblData[Tests]))^2,"")</f>
        <v/>
      </c>
      <c r="CN87" s="11" t="str">
        <f>IF(ISNUMBER(tblData[Tests]),tblData[Tests]/$CN$9/100,"")</f>
        <v/>
      </c>
      <c r="CO87" s="106">
        <f ca="1">IF(AND(tblData[[#This Row],[NSW Test Day Number]]&gt;0,ISNUMBER(tblData[[#This Row],[NSW Test Day Number]])),TestsLogestB*TestsLogestM^tblData[[#This Row],[NSW Test Day Number]],"")</f>
        <v>2139408.8930793097</v>
      </c>
      <c r="CP87" s="11" t="str">
        <f>IF(AND(tblData[[#This Row],[NSW Test Day Number]]&gt;0,ISNUMBER(tblData[Tests])),(tblData[Tests]-tblData[[#This Row],[NSW Test Per Capita]])^2,"")</f>
        <v/>
      </c>
      <c r="CQ87" s="39">
        <f ca="1">IF(AND(tblData[Day '# NSW]&gt;0,ISNUMBER(tblData[[#This Row],[Day '# NSW]])),NSWLogestB*NSWLogestM^tblData[[#This Row],[Day '# NSW]]/$CR$9,"")</f>
        <v>16818.226968865481</v>
      </c>
      <c r="CR87" s="39" t="str">
        <f ca="1">IF(AND(ISNUMBER(tblData[NSW]),tblData[Date]&gt;StartDt2NSW),(tblData[NSW]/$CR$9-tblData[[#This Row],[NSW Cases LogEst]])^2,"")</f>
        <v/>
      </c>
      <c r="CS87" s="106"/>
      <c r="CT87" s="11"/>
      <c r="CW87" s="25"/>
      <c r="CX87"/>
      <c r="DL87" s="25"/>
      <c r="DR87"/>
      <c r="DS87"/>
      <c r="DT87"/>
      <c r="DU87"/>
      <c r="DW87" s="25"/>
      <c r="DX87" s="25"/>
      <c r="EB87" s="25"/>
      <c r="EC87" s="25"/>
      <c r="ED87" s="25"/>
      <c r="EE87" s="25"/>
      <c r="EK87"/>
      <c r="EL87"/>
      <c r="EM87"/>
      <c r="EN87"/>
      <c r="EO87"/>
      <c r="EP87"/>
      <c r="EQ87"/>
      <c r="ER87"/>
      <c r="ES87" s="69"/>
      <c r="EU87" s="25" t="s">
        <v>209</v>
      </c>
      <c r="EV87" s="69"/>
      <c r="EW87" s="26">
        <v>43852</v>
      </c>
      <c r="EY87" s="25">
        <v>3</v>
      </c>
      <c r="EZ87" s="22">
        <v>0.32325497596799352</v>
      </c>
      <c r="FA87" s="24">
        <v>3.2192747767709561E-5</v>
      </c>
      <c r="FB87" s="21">
        <v>8.8068098227311528E-2</v>
      </c>
      <c r="FC87" s="82">
        <v>10041.235942345667</v>
      </c>
      <c r="FD87" s="82">
        <v>0</v>
      </c>
      <c r="FE87" s="83">
        <v>3.6704794053753567</v>
      </c>
      <c r="FF87" s="84">
        <v>3.2192747767709563E-2</v>
      </c>
      <c r="FG87" s="26">
        <v>43905</v>
      </c>
      <c r="FH87" s="26" t="s">
        <v>487</v>
      </c>
      <c r="FI87" s="84"/>
      <c r="FJ87" s="84"/>
      <c r="FK87" s="19"/>
      <c r="FL87" s="26"/>
      <c r="FM87" s="25"/>
      <c r="FN87" s="18"/>
      <c r="FO87"/>
      <c r="FP87" s="25"/>
      <c r="FR87" s="25"/>
      <c r="FS87" s="19"/>
      <c r="FT87" s="72"/>
      <c r="FU87" s="25"/>
      <c r="FV87" s="142"/>
      <c r="FW87" s="25"/>
      <c r="FY87" s="25"/>
    </row>
    <row r="88" spans="2:217" x14ac:dyDescent="0.25">
      <c r="B88" s="26">
        <f t="shared" si="4"/>
        <v>43953</v>
      </c>
      <c r="D88" s="25"/>
      <c r="L88" s="12" t="str">
        <f>IF(ISNUMBER(tblData[[#This Row],[NSW]]),tblData[[#This Row],[New South Wales]]/$L$9,"")</f>
        <v/>
      </c>
      <c r="M88" s="25"/>
      <c r="N88" s="44" t="str">
        <f>IF(ISNUMBER(tblData[Italy]),tblData[Italy]/$N$9,"")</f>
        <v/>
      </c>
      <c r="O88" s="25"/>
      <c r="P88" s="106" t="str">
        <f>IF(ISNUMBER(tblData[US]),tblData[US]/$P$9,"")</f>
        <v/>
      </c>
      <c r="Q88" s="44"/>
      <c r="R88" s="19" t="str">
        <f>IF(ISNUMBER(tblData[SKorea]),tblData[SKorea]/$R$9,"")</f>
        <v/>
      </c>
      <c r="S88" s="44"/>
      <c r="T88" s="12" t="str">
        <f>IF(ISNUMBER(tblData[UK]),tblData[UK]/$T$9,"")</f>
        <v/>
      </c>
      <c r="U88" s="25"/>
      <c r="V88" s="20" t="str">
        <f>IF(ISNUMBER(tblData[China]),tblData[China]/$V$9,"")</f>
        <v/>
      </c>
      <c r="W88" s="20"/>
      <c r="X88" s="20" t="str">
        <f>IF(ISNUMBER(tblData[Singapore]),tblData[Singapore]/$X$9,"")</f>
        <v/>
      </c>
      <c r="Y88" s="20"/>
      <c r="Z88" s="20" t="str">
        <f>IF(AND(LEN(tblData[Generic])&gt;0,ISNUMBER(tblData[Generic])),tblData[Generic]/$Z$9,"")</f>
        <v/>
      </c>
      <c r="AA88" s="25">
        <f ca="1">IF(tblData[[#This Row],[Date]]&lt;StartDt2Italy,"",tblData[[#This Row],[Date]]-ItalyStart)</f>
        <v>93</v>
      </c>
      <c r="AB88" s="25">
        <f ca="1">IF(tblData[[#This Row],[Date]]&lt;=StartDt2US,"",tblData[[#This Row],[Date]]-USStart)</f>
        <v>101</v>
      </c>
      <c r="AC88" s="25">
        <f ca="1">IF(tblData[[#This Row],[Date]]&lt;StartDt2China,"",tblData[[#This Row],[Date]]-ChinaStart)</f>
        <v>101</v>
      </c>
      <c r="AD88" s="25">
        <f>IF(tblData[[#This Row],[Date]]&lt;=SKoreaStart,"",tblData[[#This Row],[Date]]-SKoreaStart)</f>
        <v>101</v>
      </c>
      <c r="AE88" s="25">
        <f ca="1">IF(tblData[[#This Row],[Date]]&lt;=StartDt2UK,"",tblData[[#This Row],[Date]]-UKStart)</f>
        <v>93</v>
      </c>
      <c r="AF88" s="25">
        <f>IF(tblData[[#This Row],[Date]]&lt;StartDt2Singapore,"",tblData[[#This Row],[Date]]-SingaporeStart)</f>
        <v>100</v>
      </c>
      <c r="AG88" s="25">
        <f ca="1">IF(tblData[[#This Row],[Date]]&lt;StartDt2Generic,"",tblData[[#This Row],[Date]]-GenericStart)</f>
        <v>101</v>
      </c>
      <c r="AH88">
        <f ca="1">IF(tblData[Date]&gt;StartDt2Au,tblData[Date]-AuStart,"")</f>
        <v>98</v>
      </c>
      <c r="AI88" s="25">
        <f>IF(tblData[New South Wales]&gt;=0,SUM(tblData[[#This Row],[Australian Capital Territory]:[Western Australia]]),"")</f>
        <v>0</v>
      </c>
      <c r="AJ88" s="12">
        <f>IF(ISNUMBER(tblData[Au]),tblData[Au]/$AE$9,"")</f>
        <v>0</v>
      </c>
      <c r="AK88" s="39">
        <f ca="1">IF(ISNUMBER(tblData[[#This Row],[Day'# Aust]]),betaAu/(deltaAu+betaPodeltaAu*EXP(-betaAu*tblData[[#This Row],[Day'# Aust]])),"")</f>
        <v>6179.0242522935905</v>
      </c>
      <c r="AL88" s="63">
        <f ca="1">IF(ISNUMBER(tblData[Day'# Aust]),tblData[Au LogiP(t)]/$AJ$9,"")</f>
        <v>2436.1395096568326</v>
      </c>
      <c r="AM88" s="11" t="str">
        <f ca="1">IF(AND(tblData[Date]&gt;StartDt2Au,ISNUMBER(tblData[NSW])),(tblData[[#This Row],[Au LogiP(t)]]-tblData[[#This Row],[Au]])^2,"")</f>
        <v/>
      </c>
      <c r="AN88" s="11">
        <f ca="1">IF(AND(ISNUMBER(tblData[Au]),tblData[Date]&gt;StartDt2Au),(tblData[Au]-AVERAGE(tblData[Au]))^2,"")</f>
        <v>196564.33811020709</v>
      </c>
      <c r="AO88" s="11">
        <f>tblData[[#This Row],[Date]]-Au100dt</f>
        <v>49</v>
      </c>
      <c r="AP88">
        <f ca="1">IF(tblData[Date]&gt;StartDt2NSW,tblData[Date]-StartDt2NSW,"")</f>
        <v>98</v>
      </c>
      <c r="AQ88" s="25" t="str">
        <f>IF(tblData[[#This Row],[New South Wales]]&gt;0,tblData[[#This Row],[New South Wales]],"")</f>
        <v/>
      </c>
      <c r="AR88" s="11">
        <f ca="1">IF(tblData[Date]&gt;StartDt2NSW,betaNSW/(deltaNSW+betaPodeltaNSW*EXP(-betaNSW*tblData[[#This Row],[Day '# NSW]])),"")</f>
        <v>2999.5788165325121</v>
      </c>
      <c r="AS88" s="12" t="str">
        <f ca="1">IF(AND(ISNUMBER(tblData[NSW]),tblData[Date]&gt;StartDt2NSW),(tblData[[#This Row],[NSW LogiP(t)]]-tblData[[#This Row],[NSW]])^2,"")</f>
        <v/>
      </c>
      <c r="AT88" s="39">
        <f ca="1">IF(AND(tblData[Date]&gt;StartDt2NSW,ISNUMBER(tblData[Day'# Aust])),tblData[NSW LogiP(t)]/$AR$9,"")</f>
        <v>3712.3500204610295</v>
      </c>
      <c r="AU88" s="11">
        <f>tblData[[#This Row],[Date]]-NSW100dt+1</f>
        <v>53</v>
      </c>
      <c r="AV88" s="11" t="str">
        <f ca="1">IF(AND(ISNUMBER(tblData[NSW]),tblData[Date]&gt;StartDt2NSW),(tblData[NSW]-AVERAGE(tblData[NSW]))^2,"")</f>
        <v/>
      </c>
      <c r="AW88" s="39">
        <f ca="1">IF(AND(tblData[Date]&gt;StartDt2Italy,ISNUMBER(tblData[Days'# Italy])),betaItaly/(deltaItaly+betaPodeltaItaly*EXP(-betaItaly*tblData[Days'# Italy])),"")</f>
        <v>97268.853146138848</v>
      </c>
      <c r="AX88" s="11" t="str">
        <f ca="1">IF(AND(tblData[Date]&gt;StartDt2Italy,ISNUMBER(tblData[Italy])),(tblData[[#This Row],[Italy LogiP(t)]]-tblData[[#This Row],[Italy]])^2,"")</f>
        <v/>
      </c>
      <c r="AY88" s="39">
        <f ca="1">IF(AND(tblData[Date]&gt;StartDt2Italy,ISNUMBER(tblData[Days'# Italy])),tblData[[#This Row],[Italy LogiP(t)]]/$AW$9,"")</f>
        <v>16081.483532469018</v>
      </c>
      <c r="AZ88" s="39" t="str">
        <f ca="1">IF(AND(ISNUMBER(tblData[Italy]),tblData[Date]&gt;StartDt2Italy),(tblData[Italy]-AVERAGE(tblData[Italy]))^2,"")</f>
        <v/>
      </c>
      <c r="BA88" s="11">
        <f>tblData[[#This Row],[Date]]-Italy100dt+1</f>
        <v>66</v>
      </c>
      <c r="BB88" s="11">
        <f ca="1">IF(AND(tblData[Date]&gt;StartDt2US,ISNUMBER(tblData[[#This Row],[Days'# US]])),betaUS/(deltaUS+betaPodeltaUS*EXP(-betaUS*tblData[Days'# US])),"")</f>
        <v>633033.2570133839</v>
      </c>
      <c r="BC88" s="11" t="str">
        <f ca="1">IF(AND(tblData[Date]&gt;StartDt2US,ISNUMBER(tblData[US])),(tblData[[#This Row],[US LogiP(t)]]-tblData[US])^2,"")</f>
        <v/>
      </c>
      <c r="BD88" s="137">
        <f ca="1">IF(AND(tblData[Date]&gt;=StartDt2US,ISNUMBER(tblData[[#This Row],[Days'# US]])),tblData[[#This Row],[US LogiP(t)]]/$BB$9,"")</f>
        <v>19227.822220469352</v>
      </c>
      <c r="BE88" s="137" t="str">
        <f ca="1">IF(AND(ISNUMBER(tblData[US]),tblData[Date]&gt;StartDt2US),(tblData[US]-AVERAGE(tblData[US]))^2,"")</f>
        <v/>
      </c>
      <c r="BF88" s="11">
        <f>tblData[[#This Row],[Date]]-US100dt+1</f>
        <v>50</v>
      </c>
      <c r="BG88" s="20">
        <f ca="1">IF(tblData[Date]&gt;StartDt2SKorea,betaSKorea/(deltaSKorea+betaPodeltaSKorea*EXP(-betaSKorea*(tblData[Date]-StartDt2SKorea))),"")</f>
        <v>9037.3329935845904</v>
      </c>
      <c r="BH88" s="20" t="str">
        <f ca="1">IF(AND(tblData[Date]&gt;StartDt2SKorea,ISNUMBER(tblData[SKorea])),(tblData[[#This Row],[SKorea LogiP(t)]]-tblData[[#This Row],[SKorea]])^2,"")</f>
        <v/>
      </c>
      <c r="BI88" s="20">
        <f ca="1">IF(tblData[Date]&gt;StartDt2SKorea,tblData[[#This Row],[SKorea LogiP(t)]]/$BG$9,"")</f>
        <v>1758.2359909697648</v>
      </c>
      <c r="BJ88" s="137" t="str">
        <f ca="1">IF(AND(ISNUMBER(tblData[SKorea]),tblData[Date]&gt;StartDt2SKorea),(tblData[SKorea]-AVERAGE(tblData[SKorea]))^2,"")</f>
        <v/>
      </c>
      <c r="BK88" s="11">
        <f>tblData[[#This Row],[Date]]-SKorea100dt+1</f>
        <v>71</v>
      </c>
      <c r="BL88" s="137">
        <f ca="1">IF(AND(tblData[Date]&gt;StartDt2UK,ISNUMBER(tblData[Days'# UK])),betaUK/(deltaUK+betaPodeltaUK*EXP(-betaUK*tblData[Days'# UK])),"")</f>
        <v>74404.106864619869</v>
      </c>
      <c r="BM88" s="71" t="str">
        <f ca="1">IF(AND(tblData[Date]&gt;StartDt2UK,ISNUMBER(tblData[UK])),(tblData[[#This Row],[UK LogiP(t)]]-tblData[[#This Row],[UK]])^2,"")</f>
        <v/>
      </c>
      <c r="BN88" s="71">
        <f ca="1">IF(ISNUMBER(tblData[Days'# UK]),tblData[[#This Row],[UK LogiP(t)]]/$BL$9,"")</f>
        <v>11198.691581068613</v>
      </c>
      <c r="BO88" s="137" t="str">
        <f ca="1">IF(AND(ISNUMBER(tblData[UK]),tblData[Date]&gt;StartDt2UK),(tblData[UK]-AVERAGE(tblData[UK]))^2,"")</f>
        <v/>
      </c>
      <c r="BP88" s="11">
        <f>tblData[[#This Row],[Date]]-UK100dt</f>
        <v>51</v>
      </c>
      <c r="BQ88" s="11">
        <f ca="1">IF(ISNUMBER(tblData[Days'# China]),betaChina/(deltaChina+betaPodeltaChina*EXP(-betaChina*tblData[Days'# China])),"")</f>
        <v>81223.950448285585</v>
      </c>
      <c r="BR88" s="11" t="str">
        <f>IF(ISNUMBER(tblData[China]),(tblData[[#This Row],[China LogiP(t)]]-tblData[[#This Row],[China]])^2,"")</f>
        <v/>
      </c>
      <c r="BS88" s="11">
        <f ca="1">tblData[[#This Row],[China LogiP(t)]]/$BQ$9</f>
        <v>564.32021621996455</v>
      </c>
      <c r="BT88" s="137" t="str">
        <f ca="1">IF(AND(ISNUMBER(tblData[China]),tblData[Date]&gt;StartDt2China),(tblData[China]-AVERAGE(tblData[China]))^2,"")</f>
        <v/>
      </c>
      <c r="BU88" s="11">
        <f>tblData[[#This Row],[Date]]-China100dt</f>
        <v>101</v>
      </c>
      <c r="BV88" s="106">
        <f>IF(ISNUMBER(tblData[Day'# Singapore]),betaSingapore/(deltaSingapore+betaPodeltaSingapore*EXP(-betaSingapore*tblData[Day'# Singapore])),"")</f>
        <v>11299.219017717343</v>
      </c>
      <c r="BW88" s="11" t="str">
        <f>IF(AND(ISNUMBER(tblData[Singapore]),tblData[Date]&gt;=StartDt2Singapore),(tblData[[#This Row],[Singapore LogiP(t)]]-tblData[[#This Row],[Singapore]])^2,"")</f>
        <v/>
      </c>
      <c r="BX88" s="106">
        <f>IF(ISNUMBER(tblData[Day'# Singapore]),tblData[Singapore LogiP(t)]/$BV$9,"")</f>
        <v>19314.904303790332</v>
      </c>
      <c r="BY88" s="106" t="str">
        <f>IF(AND(ISNUMBER(tblData[Singapore]),tblData[Date]&gt;StartDt2Singapore),(tblData[Singapore]-AVERAGE(tblData[Singapore]))^2,"")</f>
        <v/>
      </c>
      <c r="BZ88" s="11">
        <f>tblData[[#This Row],[Date]]-Singapore100dt+1</f>
        <v>82</v>
      </c>
      <c r="CA88" s="11">
        <f ca="1">IF(AND(tblData[Date]&gt;StartDt2Generic,ISNUMBER(tblData[Day'# Generic])),betaGeneric/(deltaGeneric+betaPodeltaGeneric*EXP(-betaGeneric*tblData[Day'# Generic])),"")</f>
        <v>3518.6470964298574</v>
      </c>
      <c r="CB88" s="106" t="str">
        <f ca="1">IF(AND(ISNUMBER(tblData[Generic]),tblData[Date]&gt;StartDt2Generic),(tblData[Generic LogiP(t)]-tblData[[#This Row],[Generic]])^2,"")</f>
        <v/>
      </c>
      <c r="CC88" s="11" t="str">
        <f ca="1">IF(AND(ISNUMBER(tblData[Generic]),tblData[Date]&gt;StartDt2Generic),tblData[Generic LogiP(t)]/$CA$9,"")</f>
        <v/>
      </c>
      <c r="CD88" s="106" t="str">
        <f ca="1">IF(AND(ISNUMBER(tblData[Generic]),tblData[Date]&gt;StartDt2Generic),(tblData[Generic]-AVERAGE(tblData[Generic]))^2,"")</f>
        <v/>
      </c>
      <c r="CE88" s="11">
        <f>tblData[[#This Row],[Date]]-Generic100dt+1</f>
        <v>43</v>
      </c>
      <c r="CF88" s="11"/>
      <c r="CG88" s="11"/>
      <c r="CH88" s="11" t="str">
        <f>IF(ISNUMBER(tblData[[#This Row],[Tests]]),tblData[[#This Row],[Tests]]-CF87,"")</f>
        <v/>
      </c>
      <c r="CI88" s="11" t="str">
        <f>IF(ISNUMBER(tblData[[#This Row],[NSW Under Investigation'']]),tblData[[#This Row],[NSW Under Investigation'']]-CG87,"")</f>
        <v/>
      </c>
      <c r="CJ88" s="11">
        <f>IF(tblData[[#This Row],[Date]]&gt;myData!TestsStart,tblData[[#This Row],[Date]]-myData!TestsStart,"")</f>
        <v>58</v>
      </c>
      <c r="CK88" s="11">
        <f>IF(AND(tblData[[#This Row],[NSW Test Day Number]]&gt;0,ISNUMBER(tblData[[#This Row],[NSW Test Day Number]])),betaTests/(deltaTests+betaPodeltaTests*EXP(-betaTests*tblData[[#This Row],[NSW Test Day Number]])),"")</f>
        <v>127099.23500170332</v>
      </c>
      <c r="CL88" s="11" t="str">
        <f>IF(tblData[Tests]&gt;0,(tblData[[#This Row],[Tests]]-tblData[[#This Row],[NSW Test Logi]])^2,"")</f>
        <v/>
      </c>
      <c r="CM88" s="106" t="str">
        <f>IF(AND(ISNUMBER(tblData[Tests]),tblData[Date]&gt;StartDt2Tests),(tblData[Tests]-AVERAGE(tblData[Tests]))^2,"")</f>
        <v/>
      </c>
      <c r="CN88" s="11" t="str">
        <f>IF(ISNUMBER(tblData[Tests]),tblData[Tests]/$CN$9/100,"")</f>
        <v/>
      </c>
      <c r="CO88" s="106">
        <f ca="1">IF(AND(tblData[[#This Row],[NSW Test Day Number]]&gt;0,ISNUMBER(tblData[[#This Row],[NSW Test Day Number]])),TestsLogestB*TestsLogestM^tblData[[#This Row],[NSW Test Day Number]],"")</f>
        <v>4790172.8569822125</v>
      </c>
      <c r="CP88" s="11" t="str">
        <f>IF(AND(tblData[[#This Row],[NSW Test Day Number]]&gt;0,ISNUMBER(tblData[Tests])),(tblData[Tests]-tblData[[#This Row],[NSW Test Per Capita]])^2,"")</f>
        <v/>
      </c>
      <c r="CQ88" s="39">
        <f ca="1">IF(AND(tblData[Day '# NSW]&gt;0,ISNUMBER(tblData[[#This Row],[Day '# NSW]])),NSWLogestB*NSWLogestM^tblData[[#This Row],[Day '# NSW]]/$CR$9,"")</f>
        <v>35569.633737184733</v>
      </c>
      <c r="CR88" s="39" t="str">
        <f ca="1">IF(AND(ISNUMBER(tblData[NSW]),tblData[Date]&gt;StartDt2NSW),(tblData[NSW]/$CR$9-tblData[[#This Row],[NSW Cases LogEst]])^2,"")</f>
        <v/>
      </c>
      <c r="CS88" s="106"/>
      <c r="CT88" s="11"/>
      <c r="CW88" s="25"/>
      <c r="CX88"/>
      <c r="DL88" s="25"/>
      <c r="DR88"/>
      <c r="DS88"/>
      <c r="DT88"/>
      <c r="DU88"/>
      <c r="DW88" s="25"/>
      <c r="DX88" s="25"/>
      <c r="EB88" s="25"/>
      <c r="EC88" s="25"/>
      <c r="ED88" s="25"/>
      <c r="EE88" s="25"/>
      <c r="EK88"/>
      <c r="EL88"/>
      <c r="EM88"/>
      <c r="EN88"/>
      <c r="EO88"/>
      <c r="EP88"/>
      <c r="EQ88"/>
      <c r="ER88"/>
      <c r="ES88" s="69"/>
      <c r="EU88" s="25" t="s">
        <v>209</v>
      </c>
      <c r="EV88" s="69"/>
      <c r="EW88" s="26">
        <v>43852</v>
      </c>
      <c r="EY88" s="25">
        <v>3</v>
      </c>
      <c r="EZ88" s="22">
        <v>0.36149962702652205</v>
      </c>
      <c r="FA88" s="24">
        <v>4.559608796995672E-5</v>
      </c>
      <c r="FB88" s="21">
        <v>2.9311946911653858E-2</v>
      </c>
      <c r="FC88" s="82">
        <v>7928.3035699184175</v>
      </c>
      <c r="FD88" s="82">
        <v>80.421636650241254</v>
      </c>
      <c r="FE88" s="83">
        <v>12.332796985678472</v>
      </c>
      <c r="FF88" s="84">
        <v>4.559608796995672E-2</v>
      </c>
      <c r="FG88" s="26">
        <v>43907</v>
      </c>
      <c r="FH88" s="26" t="s">
        <v>666</v>
      </c>
      <c r="FI88" s="84"/>
      <c r="FJ88" s="84">
        <v>4736</v>
      </c>
      <c r="FK88" s="19" t="s">
        <v>667</v>
      </c>
      <c r="FL88" s="26">
        <v>43906</v>
      </c>
      <c r="FM88" s="25">
        <v>38</v>
      </c>
      <c r="FN88" s="18" t="s">
        <v>668</v>
      </c>
      <c r="FO88"/>
      <c r="FP88" t="s">
        <v>669</v>
      </c>
      <c r="FR88" s="25"/>
      <c r="FS88" s="19"/>
      <c r="FT88" s="72"/>
      <c r="FU88" s="25"/>
      <c r="FV88" s="142"/>
      <c r="FW88" s="25"/>
      <c r="FY88" s="25"/>
    </row>
    <row r="89" spans="2:217" x14ac:dyDescent="0.25">
      <c r="B89" s="26">
        <f t="shared" si="4"/>
        <v>43960</v>
      </c>
      <c r="D89" s="25"/>
      <c r="L89" s="12" t="str">
        <f>IF(ISNUMBER(tblData[[#This Row],[NSW]]),tblData[[#This Row],[New South Wales]]/$L$9,"")</f>
        <v/>
      </c>
      <c r="M89" s="25"/>
      <c r="N89" s="44" t="str">
        <f>IF(ISNUMBER(tblData[Italy]),tblData[Italy]/$N$9,"")</f>
        <v/>
      </c>
      <c r="O89" s="25"/>
      <c r="P89" s="106" t="str">
        <f>IF(ISNUMBER(tblData[US]),tblData[US]/$P$9,"")</f>
        <v/>
      </c>
      <c r="Q89" s="44"/>
      <c r="R89" s="19" t="str">
        <f>IF(ISNUMBER(tblData[SKorea]),tblData[SKorea]/$R$9,"")</f>
        <v/>
      </c>
      <c r="S89" s="44"/>
      <c r="T89" s="12" t="str">
        <f>IF(ISNUMBER(tblData[UK]),tblData[UK]/$T$9,"")</f>
        <v/>
      </c>
      <c r="U89" s="25"/>
      <c r="V89" s="20" t="str">
        <f>IF(ISNUMBER(tblData[China]),tblData[China]/$V$9,"")</f>
        <v/>
      </c>
      <c r="W89" s="20"/>
      <c r="X89" s="20" t="str">
        <f>IF(ISNUMBER(tblData[Singapore]),tblData[Singapore]/$X$9,"")</f>
        <v/>
      </c>
      <c r="Y89" s="20"/>
      <c r="Z89" s="20" t="str">
        <f>IF(AND(LEN(tblData[Generic])&gt;0,ISNUMBER(tblData[Generic])),tblData[Generic]/$Z$9,"")</f>
        <v/>
      </c>
      <c r="AA89" s="25">
        <f ca="1">IF(tblData[[#This Row],[Date]]&lt;StartDt2Italy,"",tblData[[#This Row],[Date]]-ItalyStart)</f>
        <v>100</v>
      </c>
      <c r="AB89" s="25">
        <f ca="1">IF(tblData[[#This Row],[Date]]&lt;=StartDt2US,"",tblData[[#This Row],[Date]]-USStart)</f>
        <v>108</v>
      </c>
      <c r="AC89" s="25">
        <f ca="1">IF(tblData[[#This Row],[Date]]&lt;StartDt2China,"",tblData[[#This Row],[Date]]-ChinaStart)</f>
        <v>108</v>
      </c>
      <c r="AD89" s="25">
        <f>IF(tblData[[#This Row],[Date]]&lt;=SKoreaStart,"",tblData[[#This Row],[Date]]-SKoreaStart)</f>
        <v>108</v>
      </c>
      <c r="AE89" s="25">
        <f ca="1">IF(tblData[[#This Row],[Date]]&lt;=StartDt2UK,"",tblData[[#This Row],[Date]]-UKStart)</f>
        <v>100</v>
      </c>
      <c r="AF89" s="25">
        <f>IF(tblData[[#This Row],[Date]]&lt;StartDt2Singapore,"",tblData[[#This Row],[Date]]-SingaporeStart)</f>
        <v>107</v>
      </c>
      <c r="AG89" s="25">
        <f ca="1">IF(tblData[[#This Row],[Date]]&lt;StartDt2Generic,"",tblData[[#This Row],[Date]]-GenericStart)</f>
        <v>108</v>
      </c>
      <c r="AH89">
        <f ca="1">IF(tblData[Date]&gt;StartDt2Au,tblData[Date]-AuStart,"")</f>
        <v>105</v>
      </c>
      <c r="AI89" s="25">
        <f>IF(tblData[New South Wales]&gt;=0,SUM(tblData[[#This Row],[Australian Capital Territory]:[Western Australia]]),"")</f>
        <v>0</v>
      </c>
      <c r="AJ89" s="12">
        <f>IF(ISNUMBER(tblData[Au]),tblData[Au]/$AE$9,"")</f>
        <v>0</v>
      </c>
      <c r="AK89" s="39">
        <f ca="1">IF(ISNUMBER(tblData[[#This Row],[Day'# Aust]]),betaAu/(deltaAu+betaPodeltaAu*EXP(-betaAu*tblData[[#This Row],[Day'# Aust]])),"")</f>
        <v>6179.5607441192706</v>
      </c>
      <c r="AL89" s="63">
        <f ca="1">IF(ISNUMBER(tblData[Day'# Aust]),tblData[Au LogiP(t)]/$AJ$9,"")</f>
        <v>2436.3510266989711</v>
      </c>
      <c r="AM89" s="11" t="str">
        <f ca="1">IF(AND(tblData[Date]&gt;StartDt2Au,ISNUMBER(tblData[NSW])),(tblData[[#This Row],[Au LogiP(t)]]-tblData[[#This Row],[Au]])^2,"")</f>
        <v/>
      </c>
      <c r="AN89" s="11">
        <f ca="1">IF(AND(ISNUMBER(tblData[Au]),tblData[Date]&gt;StartDt2Au),(tblData[Au]-AVERAGE(tblData[Au]))^2,"")</f>
        <v>196564.33811020709</v>
      </c>
      <c r="AO89" s="11">
        <f>tblData[[#This Row],[Date]]-Au100dt</f>
        <v>56</v>
      </c>
      <c r="AP89">
        <f ca="1">IF(tblData[Date]&gt;StartDt2NSW,tblData[Date]-StartDt2NSW,"")</f>
        <v>105</v>
      </c>
      <c r="AQ89" s="25" t="str">
        <f>IF(tblData[[#This Row],[New South Wales]]&gt;0,tblData[[#This Row],[New South Wales]],"")</f>
        <v/>
      </c>
      <c r="AR89" s="11">
        <f ca="1">IF(tblData[Date]&gt;StartDt2NSW,betaNSW/(deltaNSW+betaPodeltaNSW*EXP(-betaNSW*tblData[[#This Row],[Day '# NSW]])),"")</f>
        <v>3000.1310260838995</v>
      </c>
      <c r="AS89" s="12" t="str">
        <f ca="1">IF(AND(ISNUMBER(tblData[NSW]),tblData[Date]&gt;StartDt2NSW),(tblData[[#This Row],[NSW LogiP(t)]]-tblData[[#This Row],[NSW]])^2,"")</f>
        <v/>
      </c>
      <c r="AT89" s="39">
        <f ca="1">IF(AND(tblData[Date]&gt;StartDt2NSW,ISNUMBER(tblData[Day'# Aust])),tblData[NSW LogiP(t)]/$AR$9,"")</f>
        <v>3713.0334481236378</v>
      </c>
      <c r="AU89" s="11">
        <f>tblData[[#This Row],[Date]]-NSW100dt+1</f>
        <v>60</v>
      </c>
      <c r="AV89" s="11" t="str">
        <f ca="1">IF(AND(ISNUMBER(tblData[NSW]),tblData[Date]&gt;StartDt2NSW),(tblData[NSW]-AVERAGE(tblData[NSW]))^2,"")</f>
        <v/>
      </c>
      <c r="AW89" s="39">
        <f ca="1">IF(AND(tblData[Date]&gt;StartDt2Italy,ISNUMBER(tblData[Days'# Italy])),betaItaly/(deltaItaly+betaPodeltaItaly*EXP(-betaItaly*tblData[Days'# Italy])),"")</f>
        <v>97269.620960603454</v>
      </c>
      <c r="AX89" s="11" t="str">
        <f ca="1">IF(AND(tblData[Date]&gt;StartDt2Italy,ISNUMBER(tblData[Italy])),(tblData[[#This Row],[Italy LogiP(t)]]-tblData[[#This Row],[Italy]])^2,"")</f>
        <v/>
      </c>
      <c r="AY89" s="39">
        <f ca="1">IF(AND(tblData[Date]&gt;StartDt2Italy,ISNUMBER(tblData[Days'# Italy])),tblData[[#This Row],[Italy LogiP(t)]]/$AW$9,"")</f>
        <v>16081.61047542423</v>
      </c>
      <c r="AZ89" s="39" t="str">
        <f ca="1">IF(AND(ISNUMBER(tblData[Italy]),tblData[Date]&gt;StartDt2Italy),(tblData[Italy]-AVERAGE(tblData[Italy]))^2,"")</f>
        <v/>
      </c>
      <c r="BA89" s="11">
        <f>tblData[[#This Row],[Date]]-Italy100dt+1</f>
        <v>73</v>
      </c>
      <c r="BB89" s="11">
        <f ca="1">IF(AND(tblData[Date]&gt;StartDt2US,ISNUMBER(tblData[[#This Row],[Days'# US]])),betaUS/(deltaUS+betaPodeltaUS*EXP(-betaUS*tblData[Days'# US])),"")</f>
        <v>633156.75961730268</v>
      </c>
      <c r="BC89" s="11" t="str">
        <f ca="1">IF(AND(tblData[Date]&gt;StartDt2US,ISNUMBER(tblData[US])),(tblData[[#This Row],[US LogiP(t)]]-tblData[US])^2,"")</f>
        <v/>
      </c>
      <c r="BD89" s="137">
        <f ca="1">IF(AND(tblData[Date]&gt;=StartDt2US,ISNUMBER(tblData[[#This Row],[Days'# US]])),tblData[[#This Row],[US LogiP(t)]]/$BB$9,"")</f>
        <v>19231.573502231575</v>
      </c>
      <c r="BE89" s="137" t="str">
        <f ca="1">IF(AND(ISNUMBER(tblData[US]),tblData[Date]&gt;StartDt2US),(tblData[US]-AVERAGE(tblData[US]))^2,"")</f>
        <v/>
      </c>
      <c r="BF89" s="11">
        <f>tblData[[#This Row],[Date]]-US100dt+1</f>
        <v>57</v>
      </c>
      <c r="BG89" s="20">
        <f ca="1">IF(tblData[Date]&gt;StartDt2SKorea,betaSKorea/(deltaSKorea+betaPodeltaSKorea*EXP(-betaSKorea*(tblData[Date]-StartDt2SKorea))),"")</f>
        <v>9037.3340760568299</v>
      </c>
      <c r="BH89" s="20" t="str">
        <f ca="1">IF(AND(tblData[Date]&gt;StartDt2SKorea,ISNUMBER(tblData[SKorea])),(tblData[[#This Row],[SKorea LogiP(t)]]-tblData[[#This Row],[SKorea]])^2,"")</f>
        <v/>
      </c>
      <c r="BI89" s="20">
        <f ca="1">IF(tblData[Date]&gt;StartDt2SKorea,tblData[[#This Row],[SKorea LogiP(t)]]/$BG$9,"")</f>
        <v>1758.2362015674767</v>
      </c>
      <c r="BJ89" s="137" t="str">
        <f ca="1">IF(AND(ISNUMBER(tblData[SKorea]),tblData[Date]&gt;StartDt2SKorea),(tblData[SKorea]-AVERAGE(tblData[SKorea]))^2,"")</f>
        <v/>
      </c>
      <c r="BK89" s="11">
        <f>tblData[[#This Row],[Date]]-SKorea100dt+1</f>
        <v>78</v>
      </c>
      <c r="BL89" s="137">
        <f ca="1">IF(AND(tblData[Date]&gt;StartDt2UK,ISNUMBER(tblData[Days'# UK])),betaUK/(deltaUK+betaPodeltaUK*EXP(-betaUK*tblData[Days'# UK])),"")</f>
        <v>74518.686050492892</v>
      </c>
      <c r="BM89" s="71" t="str">
        <f ca="1">IF(AND(tblData[Date]&gt;StartDt2UK,ISNUMBER(tblData[UK])),(tblData[[#This Row],[UK LogiP(t)]]-tblData[[#This Row],[UK]])^2,"")</f>
        <v/>
      </c>
      <c r="BN89" s="71">
        <f ca="1">IF(ISNUMBER(tblData[Days'# UK]),tblData[[#This Row],[UK LogiP(t)]]/$BL$9,"")</f>
        <v>11215.937093692488</v>
      </c>
      <c r="BO89" s="137" t="str">
        <f ca="1">IF(AND(ISNUMBER(tblData[UK]),tblData[Date]&gt;StartDt2UK),(tblData[UK]-AVERAGE(tblData[UK]))^2,"")</f>
        <v/>
      </c>
      <c r="BP89" s="11">
        <f>tblData[[#This Row],[Date]]-UK100dt</f>
        <v>58</v>
      </c>
      <c r="BQ89" s="11">
        <f ca="1">IF(ISNUMBER(tblData[Days'# China]),betaChina/(deltaChina+betaPodeltaChina*EXP(-betaChina*tblData[Days'# China])),"")</f>
        <v>81223.951116244833</v>
      </c>
      <c r="BR89" s="11" t="str">
        <f>IF(ISNUMBER(tblData[China]),(tblData[[#This Row],[China LogiP(t)]]-tblData[[#This Row],[China]])^2,"")</f>
        <v/>
      </c>
      <c r="BS89" s="11">
        <f ca="1">tblData[[#This Row],[China LogiP(t)]]/$BQ$9</f>
        <v>564.32022086074983</v>
      </c>
      <c r="BT89" s="137" t="str">
        <f ca="1">IF(AND(ISNUMBER(tblData[China]),tblData[Date]&gt;StartDt2China),(tblData[China]-AVERAGE(tblData[China]))^2,"")</f>
        <v/>
      </c>
      <c r="BU89" s="11">
        <f>tblData[[#This Row],[Date]]-China100dt</f>
        <v>108</v>
      </c>
      <c r="BV89" s="106">
        <f>IF(ISNUMBER(tblData[Day'# Singapore]),betaSingapore/(deltaSingapore+betaPodeltaSingapore*EXP(-betaSingapore*tblData[Day'# Singapore])),"")</f>
        <v>18610.176759911865</v>
      </c>
      <c r="BW89" s="11" t="str">
        <f>IF(AND(ISNUMBER(tblData[Singapore]),tblData[Date]&gt;=StartDt2Singapore),(tblData[[#This Row],[Singapore LogiP(t)]]-tblData[[#This Row],[Singapore]])^2,"")</f>
        <v/>
      </c>
      <c r="BX89" s="106">
        <f>IF(ISNUMBER(tblData[Day'# Singapore]),tblData[Singapore LogiP(t)]/$BV$9,"")</f>
        <v>31812.267965661311</v>
      </c>
      <c r="BY89" s="106" t="str">
        <f>IF(AND(ISNUMBER(tblData[Singapore]),tblData[Date]&gt;StartDt2Singapore),(tblData[Singapore]-AVERAGE(tblData[Singapore]))^2,"")</f>
        <v/>
      </c>
      <c r="BZ89" s="11">
        <f>tblData[[#This Row],[Date]]-Singapore100dt+1</f>
        <v>89</v>
      </c>
      <c r="CA89" s="11">
        <f ca="1">IF(AND(tblData[Date]&gt;StartDt2Generic,ISNUMBER(tblData[Day'# Generic])),betaGeneric/(deltaGeneric+betaPodeltaGeneric*EXP(-betaGeneric*tblData[Day'# Generic])),"")</f>
        <v>3540.1991341528787</v>
      </c>
      <c r="CB89" s="106" t="str">
        <f ca="1">IF(AND(ISNUMBER(tblData[Generic]),tblData[Date]&gt;StartDt2Generic),(tblData[Generic LogiP(t)]-tblData[[#This Row],[Generic]])^2,"")</f>
        <v/>
      </c>
      <c r="CC89" s="11" t="str">
        <f ca="1">IF(AND(ISNUMBER(tblData[Generic]),tblData[Date]&gt;StartDt2Generic),tblData[Generic LogiP(t)]/$CA$9,"")</f>
        <v/>
      </c>
      <c r="CD89" s="106" t="str">
        <f ca="1">IF(AND(ISNUMBER(tblData[Generic]),tblData[Date]&gt;StartDt2Generic),(tblData[Generic]-AVERAGE(tblData[Generic]))^2,"")</f>
        <v/>
      </c>
      <c r="CE89" s="11">
        <f>tblData[[#This Row],[Date]]-Generic100dt+1</f>
        <v>50</v>
      </c>
      <c r="CF89" s="11"/>
      <c r="CG89" s="11"/>
      <c r="CH89" s="11" t="str">
        <f>IF(ISNUMBER(tblData[[#This Row],[Tests]]),tblData[[#This Row],[Tests]]-CF88,"")</f>
        <v/>
      </c>
      <c r="CI89" s="11" t="str">
        <f>IF(ISNUMBER(tblData[[#This Row],[NSW Under Investigation'']]),tblData[[#This Row],[NSW Under Investigation'']]-CG88,"")</f>
        <v/>
      </c>
      <c r="CJ89" s="11">
        <f>IF(tblData[[#This Row],[Date]]&gt;myData!TestsStart,tblData[[#This Row],[Date]]-myData!TestsStart,"")</f>
        <v>65</v>
      </c>
      <c r="CK89" s="11">
        <f>IF(AND(tblData[[#This Row],[NSW Test Day Number]]&gt;0,ISNUMBER(tblData[[#This Row],[NSW Test Day Number]])),betaTests/(deltaTests+betaPodeltaTests*EXP(-betaTests*tblData[[#This Row],[NSW Test Day Number]])),"")</f>
        <v>127193.51915338887</v>
      </c>
      <c r="CL89" s="11" t="str">
        <f>IF(tblData[Tests]&gt;0,(tblData[[#This Row],[Tests]]-tblData[[#This Row],[NSW Test Logi]])^2,"")</f>
        <v/>
      </c>
      <c r="CM89" s="106" t="str">
        <f>IF(AND(ISNUMBER(tblData[Tests]),tblData[Date]&gt;StartDt2Tests),(tblData[Tests]-AVERAGE(tblData[Tests]))^2,"")</f>
        <v/>
      </c>
      <c r="CN89" s="11" t="str">
        <f>IF(ISNUMBER(tblData[Tests]),tblData[Tests]/$CN$9/100,"")</f>
        <v/>
      </c>
      <c r="CO89" s="106">
        <f ca="1">IF(AND(tblData[[#This Row],[NSW Test Day Number]]&gt;0,ISNUMBER(tblData[[#This Row],[NSW Test Day Number]])),TestsLogestB*TestsLogestM^tblData[[#This Row],[NSW Test Day Number]],"")</f>
        <v>10725278.40470116</v>
      </c>
      <c r="CP89" s="11" t="str">
        <f>IF(AND(tblData[[#This Row],[NSW Test Day Number]]&gt;0,ISNUMBER(tblData[Tests])),(tblData[Tests]-tblData[[#This Row],[NSW Test Per Capita]])^2,"")</f>
        <v/>
      </c>
      <c r="CQ89" s="39">
        <f ca="1">IF(AND(tblData[Day '# NSW]&gt;0,ISNUMBER(tblData[[#This Row],[Day '# NSW]])),NSWLogestB*NSWLogestM^tblData[[#This Row],[Day '# NSW]]/$CR$9,"")</f>
        <v>75227.837425410718</v>
      </c>
      <c r="CR89" s="39" t="str">
        <f ca="1">IF(AND(ISNUMBER(tblData[NSW]),tblData[Date]&gt;StartDt2NSW),(tblData[NSW]/$CR$9-tblData[[#This Row],[NSW Cases LogEst]])^2,"")</f>
        <v/>
      </c>
      <c r="CS89" s="106"/>
      <c r="CT89" s="11"/>
      <c r="CW89" s="25"/>
      <c r="CX89"/>
      <c r="DL89" s="25"/>
      <c r="DR89"/>
      <c r="DS89"/>
      <c r="DT89"/>
      <c r="DU89"/>
      <c r="DW89" s="25"/>
      <c r="DX89" s="25"/>
      <c r="EB89" s="25"/>
      <c r="EC89" s="25"/>
      <c r="ED89" s="25"/>
      <c r="EE89" s="25"/>
      <c r="EK89"/>
      <c r="EL89"/>
      <c r="EM89"/>
      <c r="EN89"/>
      <c r="EO89"/>
      <c r="EP89"/>
      <c r="EQ89"/>
      <c r="ER89"/>
      <c r="ES89" s="69"/>
      <c r="EU89" s="25" t="s">
        <v>209</v>
      </c>
      <c r="EV89" s="69"/>
      <c r="EW89" s="26">
        <v>43852</v>
      </c>
      <c r="EY89" s="25">
        <v>3</v>
      </c>
      <c r="EZ89" s="22">
        <v>0.27693699134998795</v>
      </c>
      <c r="FA89" s="24">
        <v>9.9999999999976868E-11</v>
      </c>
      <c r="FB89" s="21">
        <v>0.29473541562593031</v>
      </c>
      <c r="FC89" s="82">
        <v>2769369913.5005202</v>
      </c>
      <c r="FD89" s="82">
        <v>50.62824539226316</v>
      </c>
      <c r="FE89" s="83">
        <v>0.93961219669642571</v>
      </c>
      <c r="FF89" s="84">
        <v>9.9999999999976874E-8</v>
      </c>
      <c r="FG89" s="26">
        <v>43907</v>
      </c>
      <c r="FH89" s="26" t="s">
        <v>702</v>
      </c>
      <c r="FI89" s="84"/>
      <c r="FJ89" s="84">
        <v>6421</v>
      </c>
      <c r="FK89" s="19" t="s">
        <v>703</v>
      </c>
      <c r="FL89" s="26">
        <v>43907</v>
      </c>
      <c r="FM89" s="25">
        <v>38</v>
      </c>
      <c r="FN89" s="18" t="s">
        <v>704</v>
      </c>
      <c r="FO89"/>
      <c r="FP89" s="25" t="s">
        <v>705</v>
      </c>
      <c r="FQ89" s="25" t="s">
        <v>674</v>
      </c>
      <c r="FR89" s="25" t="s">
        <v>706</v>
      </c>
      <c r="FS89" s="19"/>
      <c r="FT89" s="72"/>
      <c r="FU89" s="25"/>
      <c r="FV89" s="142"/>
      <c r="FW89" s="25"/>
      <c r="FY89" s="25"/>
      <c r="FZ89" s="25"/>
      <c r="GA89" s="25"/>
      <c r="GB89" s="25"/>
      <c r="GC89" s="25"/>
      <c r="GD89" s="25"/>
    </row>
    <row r="90" spans="2:217" x14ac:dyDescent="0.25">
      <c r="B90" s="26">
        <f t="shared" si="4"/>
        <v>43967</v>
      </c>
      <c r="D90" s="25"/>
      <c r="L90" s="12" t="str">
        <f>IF(ISNUMBER(tblData[[#This Row],[NSW]]),tblData[[#This Row],[New South Wales]]/$L$9,"")</f>
        <v/>
      </c>
      <c r="M90" s="25"/>
      <c r="N90" s="44" t="str">
        <f>IF(ISNUMBER(tblData[Italy]),tblData[Italy]/$N$9,"")</f>
        <v/>
      </c>
      <c r="O90" s="25"/>
      <c r="P90" s="106" t="str">
        <f>IF(ISNUMBER(tblData[US]),tblData[US]/$P$9,"")</f>
        <v/>
      </c>
      <c r="Q90" s="44"/>
      <c r="R90" s="19" t="str">
        <f>IF(ISNUMBER(tblData[SKorea]),tblData[SKorea]/$R$9,"")</f>
        <v/>
      </c>
      <c r="S90" s="44"/>
      <c r="T90" s="12" t="str">
        <f>IF(ISNUMBER(tblData[UK]),tblData[UK]/$T$9,"")</f>
        <v/>
      </c>
      <c r="U90" s="25"/>
      <c r="V90" s="20" t="str">
        <f>IF(ISNUMBER(tblData[China]),tblData[China]/$V$9,"")</f>
        <v/>
      </c>
      <c r="W90" s="20"/>
      <c r="X90" s="20" t="str">
        <f>IF(ISNUMBER(tblData[Singapore]),tblData[Singapore]/$X$9,"")</f>
        <v/>
      </c>
      <c r="Y90" s="20"/>
      <c r="Z90" s="20" t="str">
        <f>IF(AND(LEN(tblData[Generic])&gt;0,ISNUMBER(tblData[Generic])),tblData[Generic]/$Z$9,"")</f>
        <v/>
      </c>
      <c r="AA90" s="25">
        <f ca="1">IF(tblData[[#This Row],[Date]]&lt;StartDt2Italy,"",tblData[[#This Row],[Date]]-ItalyStart)</f>
        <v>107</v>
      </c>
      <c r="AB90" s="25">
        <f ca="1">IF(tblData[[#This Row],[Date]]&lt;=StartDt2US,"",tblData[[#This Row],[Date]]-USStart)</f>
        <v>115</v>
      </c>
      <c r="AC90" s="25">
        <f ca="1">IF(tblData[[#This Row],[Date]]&lt;StartDt2China,"",tblData[[#This Row],[Date]]-ChinaStart)</f>
        <v>115</v>
      </c>
      <c r="AD90" s="25">
        <f>IF(tblData[[#This Row],[Date]]&lt;=SKoreaStart,"",tblData[[#This Row],[Date]]-SKoreaStart)</f>
        <v>115</v>
      </c>
      <c r="AE90" s="25">
        <f ca="1">IF(tblData[[#This Row],[Date]]&lt;=StartDt2UK,"",tblData[[#This Row],[Date]]-UKStart)</f>
        <v>107</v>
      </c>
      <c r="AF90" s="25">
        <f>IF(tblData[[#This Row],[Date]]&lt;StartDt2Singapore,"",tblData[[#This Row],[Date]]-SingaporeStart)</f>
        <v>114</v>
      </c>
      <c r="AG90" s="25">
        <f ca="1">IF(tblData[[#This Row],[Date]]&lt;StartDt2Generic,"",tblData[[#This Row],[Date]]-GenericStart)</f>
        <v>115</v>
      </c>
      <c r="AH90">
        <f ca="1">IF(tblData[Date]&gt;StartDt2Au,tblData[Date]-AuStart,"")</f>
        <v>112</v>
      </c>
      <c r="AI90" s="25">
        <f>IF(tblData[New South Wales]&gt;=0,SUM(tblData[[#This Row],[Australian Capital Territory]:[Western Australia]]),"")</f>
        <v>0</v>
      </c>
      <c r="AJ90" s="12">
        <f>IF(ISNUMBER(tblData[Au]),tblData[Au]/$AE$9,"")</f>
        <v>0</v>
      </c>
      <c r="AK90" s="39">
        <f ca="1">IF(ISNUMBER(tblData[[#This Row],[Day'# Aust]]),betaAu/(deltaAu+betaPodeltaAu*EXP(-betaAu*tblData[[#This Row],[Day'# Aust]])),"")</f>
        <v>6179.6519923639735</v>
      </c>
      <c r="AL90" s="63">
        <f ca="1">IF(ISNUMBER(tblData[Day'# Aust]),tblData[Au LogiP(t)]/$AJ$9,"")</f>
        <v>2436.38700219365</v>
      </c>
      <c r="AM90" s="11" t="str">
        <f ca="1">IF(AND(tblData[Date]&gt;StartDt2Au,ISNUMBER(tblData[NSW])),(tblData[[#This Row],[Au LogiP(t)]]-tblData[[#This Row],[Au]])^2,"")</f>
        <v/>
      </c>
      <c r="AN90" s="11">
        <f ca="1">IF(AND(ISNUMBER(tblData[Au]),tblData[Date]&gt;StartDt2Au),(tblData[Au]-AVERAGE(tblData[Au]))^2,"")</f>
        <v>196564.33811020709</v>
      </c>
      <c r="AO90" s="11">
        <f>tblData[[#This Row],[Date]]-Au100dt</f>
        <v>63</v>
      </c>
      <c r="AP90">
        <f ca="1">IF(tblData[Date]&gt;StartDt2NSW,tblData[Date]-StartDt2NSW,"")</f>
        <v>112</v>
      </c>
      <c r="AQ90" s="25" t="str">
        <f>IF(tblData[[#This Row],[New South Wales]]&gt;0,tblData[[#This Row],[New South Wales]],"")</f>
        <v/>
      </c>
      <c r="AR90" s="11">
        <f ca="1">IF(tblData[Date]&gt;StartDt2NSW,betaNSW/(deltaNSW+betaPodeltaNSW*EXP(-betaNSW*tblData[[#This Row],[Day '# NSW]])),"")</f>
        <v>3000.235563612398</v>
      </c>
      <c r="AS90" s="12" t="str">
        <f ca="1">IF(AND(ISNUMBER(tblData[NSW]),tblData[Date]&gt;StartDt2NSW),(tblData[[#This Row],[NSW LogiP(t)]]-tblData[[#This Row],[NSW]])^2,"")</f>
        <v/>
      </c>
      <c r="AT90" s="39">
        <f ca="1">IF(AND(tblData[Date]&gt;StartDt2NSW,ISNUMBER(tblData[Day'# Aust])),tblData[NSW LogiP(t)]/$AR$9,"")</f>
        <v>3713.1628262529675</v>
      </c>
      <c r="AU90" s="11">
        <f>tblData[[#This Row],[Date]]-NSW100dt+1</f>
        <v>67</v>
      </c>
      <c r="AV90" s="11" t="str">
        <f ca="1">IF(AND(ISNUMBER(tblData[NSW]),tblData[Date]&gt;StartDt2NSW),(tblData[NSW]-AVERAGE(tblData[NSW]))^2,"")</f>
        <v/>
      </c>
      <c r="AW90" s="39">
        <f ca="1">IF(AND(tblData[Date]&gt;StartDt2Italy,ISNUMBER(tblData[Days'# Italy])),betaItaly/(deltaItaly+betaPodeltaItaly*EXP(-betaItaly*tblData[Days'# Italy])),"")</f>
        <v>97269.748332721065</v>
      </c>
      <c r="AX90" s="11" t="str">
        <f ca="1">IF(AND(tblData[Date]&gt;StartDt2Italy,ISNUMBER(tblData[Italy])),(tblData[[#This Row],[Italy LogiP(t)]]-tblData[[#This Row],[Italy]])^2,"")</f>
        <v/>
      </c>
      <c r="AY90" s="39">
        <f ca="1">IF(AND(tblData[Date]&gt;StartDt2Italy,ISNUMBER(tblData[Days'# Italy])),tblData[[#This Row],[Italy LogiP(t)]]/$AW$9,"")</f>
        <v>16081.631533887918</v>
      </c>
      <c r="AZ90" s="39" t="str">
        <f ca="1">IF(AND(ISNUMBER(tblData[Italy]),tblData[Date]&gt;StartDt2Italy),(tblData[Italy]-AVERAGE(tblData[Italy]))^2,"")</f>
        <v/>
      </c>
      <c r="BA90" s="11">
        <f>tblData[[#This Row],[Date]]-Italy100dt+1</f>
        <v>80</v>
      </c>
      <c r="BB90" s="11">
        <f ca="1">IF(AND(tblData[Date]&gt;StartDt2US,ISNUMBER(tblData[[#This Row],[Days'# US]])),betaUS/(deltaUS+betaPodeltaUS*EXP(-betaUS*tblData[Days'# US])),"")</f>
        <v>633173.70677455235</v>
      </c>
      <c r="BC90" s="11" t="str">
        <f ca="1">IF(AND(tblData[Date]&gt;StartDt2US,ISNUMBER(tblData[US])),(tblData[[#This Row],[US LogiP(t)]]-tblData[US])^2,"")</f>
        <v/>
      </c>
      <c r="BD90" s="137">
        <f ca="1">IF(AND(tblData[Date]&gt;=StartDt2US,ISNUMBER(tblData[[#This Row],[Days'# US]])),tblData[[#This Row],[US LogiP(t)]]/$BB$9,"")</f>
        <v>19232.088257061798</v>
      </c>
      <c r="BE90" s="137" t="str">
        <f ca="1">IF(AND(ISNUMBER(tblData[US]),tblData[Date]&gt;StartDt2US),(tblData[US]-AVERAGE(tblData[US]))^2,"")</f>
        <v/>
      </c>
      <c r="BF90" s="11">
        <f>tblData[[#This Row],[Date]]-US100dt+1</f>
        <v>64</v>
      </c>
      <c r="BG90" s="20">
        <f ca="1">IF(tblData[Date]&gt;StartDt2SKorea,betaSKorea/(deltaSKorea+betaPodeltaSKorea*EXP(-betaSKorea*(tblData[Date]-StartDt2SKorea))),"")</f>
        <v>9037.3342497342692</v>
      </c>
      <c r="BH90" s="20" t="str">
        <f ca="1">IF(AND(tblData[Date]&gt;StartDt2SKorea,ISNUMBER(tblData[SKorea])),(tblData[[#This Row],[SKorea LogiP(t)]]-tblData[[#This Row],[SKorea]])^2,"")</f>
        <v/>
      </c>
      <c r="BI90" s="20">
        <f ca="1">IF(tblData[Date]&gt;StartDt2SKorea,tblData[[#This Row],[SKorea LogiP(t)]]/$BG$9,"")</f>
        <v>1758.2362353568619</v>
      </c>
      <c r="BJ90" s="137" t="str">
        <f ca="1">IF(AND(ISNUMBER(tblData[SKorea]),tblData[Date]&gt;StartDt2SKorea),(tblData[SKorea]-AVERAGE(tblData[SKorea]))^2,"")</f>
        <v/>
      </c>
      <c r="BK90" s="11">
        <f>tblData[[#This Row],[Date]]-SKorea100dt+1</f>
        <v>85</v>
      </c>
      <c r="BL90" s="137">
        <f ca="1">IF(AND(tblData[Date]&gt;StartDt2UK,ISNUMBER(tblData[Days'# UK])),betaUK/(deltaUK+betaPodeltaUK*EXP(-betaUK*tblData[Days'# UK])),"")</f>
        <v>74544.409922684557</v>
      </c>
      <c r="BM90" s="71" t="str">
        <f ca="1">IF(AND(tblData[Date]&gt;StartDt2UK,ISNUMBER(tblData[UK])),(tblData[[#This Row],[UK LogiP(t)]]-tblData[[#This Row],[UK]])^2,"")</f>
        <v/>
      </c>
      <c r="BN90" s="71">
        <f ca="1">IF(ISNUMBER(tblData[Days'# UK]),tblData[[#This Row],[UK LogiP(t)]]/$BL$9,"")</f>
        <v>11219.808838453426</v>
      </c>
      <c r="BO90" s="137" t="str">
        <f ca="1">IF(AND(ISNUMBER(tblData[UK]),tblData[Date]&gt;StartDt2UK),(tblData[UK]-AVERAGE(tblData[UK]))^2,"")</f>
        <v/>
      </c>
      <c r="BP90" s="11">
        <f>tblData[[#This Row],[Date]]-UK100dt</f>
        <v>65</v>
      </c>
      <c r="BQ90" s="11">
        <f ca="1">IF(ISNUMBER(tblData[Days'# China]),betaChina/(deltaChina+betaPodeltaChina*EXP(-betaChina*tblData[Days'# China])),"")</f>
        <v>81223.951258582747</v>
      </c>
      <c r="BR90" s="11" t="str">
        <f>IF(ISNUMBER(tblData[China]),(tblData[[#This Row],[China LogiP(t)]]-tblData[[#This Row],[China]])^2,"")</f>
        <v/>
      </c>
      <c r="BS90" s="11">
        <f ca="1">tblData[[#This Row],[China LogiP(t)]]/$BQ$9</f>
        <v>564.32022184967195</v>
      </c>
      <c r="BT90" s="137" t="str">
        <f ca="1">IF(AND(ISNUMBER(tblData[China]),tblData[Date]&gt;StartDt2China),(tblData[China]-AVERAGE(tblData[China]))^2,"")</f>
        <v/>
      </c>
      <c r="BU90" s="11">
        <f>tblData[[#This Row],[Date]]-China100dt</f>
        <v>115</v>
      </c>
      <c r="BV90" s="106">
        <f>IF(ISNUMBER(tblData[Day'# Singapore]),betaSingapore/(deltaSingapore+betaPodeltaSingapore*EXP(-betaSingapore*tblData[Day'# Singapore])),"")</f>
        <v>29570.707132766816</v>
      </c>
      <c r="BW90" s="11" t="str">
        <f>IF(AND(ISNUMBER(tblData[Singapore]),tblData[Date]&gt;=StartDt2Singapore),(tblData[[#This Row],[Singapore LogiP(t)]]-tblData[[#This Row],[Singapore]])^2,"")</f>
        <v/>
      </c>
      <c r="BX90" s="106">
        <f>IF(ISNUMBER(tblData[Day'# Singapore]),tblData[Singapore LogiP(t)]/$BV$9,"")</f>
        <v>50548.217320968921</v>
      </c>
      <c r="BY90" s="106" t="str">
        <f>IF(AND(ISNUMBER(tblData[Singapore]),tblData[Date]&gt;StartDt2Singapore),(tblData[Singapore]-AVERAGE(tblData[Singapore]))^2,"")</f>
        <v/>
      </c>
      <c r="BZ90" s="11">
        <f>tblData[[#This Row],[Date]]-Singapore100dt+1</f>
        <v>96</v>
      </c>
      <c r="CA90" s="11">
        <f ca="1">IF(AND(tblData[Date]&gt;StartDt2Generic,ISNUMBER(tblData[Day'# Generic])),betaGeneric/(deltaGeneric+betaPodeltaGeneric*EXP(-betaGeneric*tblData[Day'# Generic])),"")</f>
        <v>3545.6729630517702</v>
      </c>
      <c r="CB90" s="106" t="str">
        <f ca="1">IF(AND(ISNUMBER(tblData[Generic]),tblData[Date]&gt;StartDt2Generic),(tblData[Generic LogiP(t)]-tblData[[#This Row],[Generic]])^2,"")</f>
        <v/>
      </c>
      <c r="CC90" s="11" t="str">
        <f ca="1">IF(AND(ISNUMBER(tblData[Generic]),tblData[Date]&gt;StartDt2Generic),tblData[Generic LogiP(t)]/$CA$9,"")</f>
        <v/>
      </c>
      <c r="CD90" s="106" t="str">
        <f ca="1">IF(AND(ISNUMBER(tblData[Generic]),tblData[Date]&gt;StartDt2Generic),(tblData[Generic]-AVERAGE(tblData[Generic]))^2,"")</f>
        <v/>
      </c>
      <c r="CE90" s="11">
        <f>tblData[[#This Row],[Date]]-Generic100dt+1</f>
        <v>57</v>
      </c>
      <c r="CF90" s="11"/>
      <c r="CG90" s="11"/>
      <c r="CH90" s="11" t="str">
        <f>IF(ISNUMBER(tblData[[#This Row],[Tests]]),tblData[[#This Row],[Tests]]-CF89,"")</f>
        <v/>
      </c>
      <c r="CI90" s="11" t="str">
        <f>IF(ISNUMBER(tblData[[#This Row],[NSW Under Investigation'']]),tblData[[#This Row],[NSW Under Investigation'']]-CG89,"")</f>
        <v/>
      </c>
      <c r="CJ90" s="11">
        <f>IF(tblData[[#This Row],[Date]]&gt;myData!TestsStart,tblData[[#This Row],[Date]]-myData!TestsStart,"")</f>
        <v>72</v>
      </c>
      <c r="CK90" s="11">
        <f>IF(AND(tblData[[#This Row],[NSW Test Day Number]]&gt;0,ISNUMBER(tblData[[#This Row],[NSW Test Day Number]])),betaTests/(deltaTests+betaPodeltaTests*EXP(-betaTests*tblData[[#This Row],[NSW Test Day Number]])),"")</f>
        <v>127221.02292564146</v>
      </c>
      <c r="CL90" s="11" t="str">
        <f>IF(tblData[Tests]&gt;0,(tblData[[#This Row],[Tests]]-tblData[[#This Row],[NSW Test Logi]])^2,"")</f>
        <v/>
      </c>
      <c r="CM90" s="106" t="str">
        <f>IF(AND(ISNUMBER(tblData[Tests]),tblData[Date]&gt;StartDt2Tests),(tblData[Tests]-AVERAGE(tblData[Tests]))^2,"")</f>
        <v/>
      </c>
      <c r="CN90" s="11" t="str">
        <f>IF(ISNUMBER(tblData[Tests]),tblData[Tests]/$CN$9/100,"")</f>
        <v/>
      </c>
      <c r="CO90" s="106">
        <f ca="1">IF(AND(tblData[[#This Row],[NSW Test Day Number]]&gt;0,ISNUMBER(tblData[[#This Row],[NSW Test Day Number]])),TestsLogestB*TestsLogestM^tblData[[#This Row],[NSW Test Day Number]],"")</f>
        <v>24014080.554666758</v>
      </c>
      <c r="CP90" s="11" t="str">
        <f>IF(AND(tblData[[#This Row],[NSW Test Day Number]]&gt;0,ISNUMBER(tblData[Tests])),(tblData[Tests]-tblData[[#This Row],[NSW Test Per Capita]])^2,"")</f>
        <v/>
      </c>
      <c r="CQ90" s="39">
        <f ca="1">IF(AND(tblData[Day '# NSW]&gt;0,ISNUMBER(tblData[[#This Row],[Day '# NSW]])),NSWLogestB*NSWLogestM^tblData[[#This Row],[Day '# NSW]]/$CR$9,"")</f>
        <v>159102.77754105267</v>
      </c>
      <c r="CR90" s="39" t="str">
        <f ca="1">IF(AND(ISNUMBER(tblData[NSW]),tblData[Date]&gt;StartDt2NSW),(tblData[NSW]/$CR$9-tblData[[#This Row],[NSW Cases LogEst]])^2,"")</f>
        <v/>
      </c>
      <c r="CS90" s="106"/>
      <c r="CT90" s="11"/>
      <c r="CW90" s="25"/>
      <c r="CX90"/>
      <c r="DL90" s="25"/>
      <c r="DR90"/>
      <c r="DS90"/>
      <c r="DT90"/>
      <c r="DU90"/>
      <c r="DW90" s="25"/>
      <c r="DX90" s="25"/>
      <c r="EB90" s="25"/>
      <c r="EC90" s="25"/>
      <c r="ED90" s="25"/>
      <c r="EE90" s="25"/>
      <c r="EK90"/>
      <c r="EL90"/>
      <c r="EM90"/>
      <c r="EN90"/>
      <c r="EO90"/>
      <c r="EP90"/>
      <c r="EQ90"/>
      <c r="ER90"/>
      <c r="ES90" s="69"/>
      <c r="EU90" s="25" t="s">
        <v>209</v>
      </c>
      <c r="EV90" s="69"/>
      <c r="EW90" s="26">
        <v>43852</v>
      </c>
      <c r="EY90" s="25">
        <v>3</v>
      </c>
      <c r="EZ90" s="22">
        <v>0.26960395783553237</v>
      </c>
      <c r="FA90" s="24">
        <v>9.0234118240884196E-8</v>
      </c>
      <c r="FB90" s="21">
        <v>0.28960505152543209</v>
      </c>
      <c r="FC90" s="82">
        <v>2987827.2552718031</v>
      </c>
      <c r="FD90" s="82">
        <v>77.269010204642242</v>
      </c>
      <c r="FE90" s="83">
        <v>0.9309365644114127</v>
      </c>
      <c r="FF90" s="84">
        <v>9.0234118240884196E-5</v>
      </c>
      <c r="FG90" s="26">
        <v>43907</v>
      </c>
      <c r="FH90" s="26" t="s">
        <v>718</v>
      </c>
      <c r="FI90" s="84"/>
      <c r="FJ90" s="84">
        <v>7786</v>
      </c>
      <c r="FK90" s="25" t="s">
        <v>719</v>
      </c>
      <c r="FL90" s="26">
        <v>43907</v>
      </c>
      <c r="FM90" s="25">
        <v>39</v>
      </c>
      <c r="FN90" s="26" t="s">
        <v>720</v>
      </c>
      <c r="FO90" s="25"/>
      <c r="FP90" s="25" t="s">
        <v>721</v>
      </c>
      <c r="FQ90" s="30" t="s">
        <v>674</v>
      </c>
      <c r="FR90" s="18" t="s">
        <v>722</v>
      </c>
      <c r="FS90" s="19">
        <v>236.49282585071069</v>
      </c>
      <c r="FT90" s="72">
        <v>43907</v>
      </c>
      <c r="FU90" s="25">
        <v>-2</v>
      </c>
      <c r="FV90" s="142">
        <v>43909</v>
      </c>
      <c r="FW90" s="11">
        <v>0</v>
      </c>
      <c r="FY90" s="25"/>
      <c r="FZ90" s="25"/>
      <c r="GA90" s="25"/>
      <c r="GB90" s="25"/>
      <c r="GC90" s="25"/>
      <c r="GD90" s="25"/>
    </row>
    <row r="91" spans="2:217" x14ac:dyDescent="0.25">
      <c r="B91" s="26">
        <f t="shared" si="4"/>
        <v>43974</v>
      </c>
      <c r="D91" s="25"/>
      <c r="L91" s="12" t="str">
        <f>IF(ISNUMBER(tblData[[#This Row],[NSW]]),tblData[[#This Row],[New South Wales]]/$L$9,"")</f>
        <v/>
      </c>
      <c r="M91" s="25"/>
      <c r="N91" s="44" t="str">
        <f>IF(ISNUMBER(tblData[Italy]),tblData[Italy]/$N$9,"")</f>
        <v/>
      </c>
      <c r="O91" s="25"/>
      <c r="P91" s="106" t="str">
        <f>IF(ISNUMBER(tblData[US]),tblData[US]/$P$9,"")</f>
        <v/>
      </c>
      <c r="Q91" s="44"/>
      <c r="R91" s="19" t="str">
        <f>IF(ISNUMBER(tblData[SKorea]),tblData[SKorea]/$R$9,"")</f>
        <v/>
      </c>
      <c r="S91" s="44"/>
      <c r="T91" s="12" t="str">
        <f>IF(ISNUMBER(tblData[UK]),tblData[UK]/$T$9,"")</f>
        <v/>
      </c>
      <c r="U91" s="25"/>
      <c r="V91" s="20" t="str">
        <f>IF(ISNUMBER(tblData[China]),tblData[China]/$V$9,"")</f>
        <v/>
      </c>
      <c r="W91" s="20"/>
      <c r="X91" s="20" t="str">
        <f>IF(ISNUMBER(tblData[Singapore]),tblData[Singapore]/$X$9,"")</f>
        <v/>
      </c>
      <c r="Y91" s="20"/>
      <c r="Z91" s="20" t="str">
        <f>IF(AND(LEN(tblData[Generic])&gt;0,ISNUMBER(tblData[Generic])),tblData[Generic]/$Z$9,"")</f>
        <v/>
      </c>
      <c r="AA91" s="25">
        <f ca="1">IF(tblData[[#This Row],[Date]]&lt;StartDt2Italy,"",tblData[[#This Row],[Date]]-ItalyStart)</f>
        <v>114</v>
      </c>
      <c r="AB91" s="25">
        <f ca="1">IF(tblData[[#This Row],[Date]]&lt;=StartDt2US,"",tblData[[#This Row],[Date]]-USStart)</f>
        <v>122</v>
      </c>
      <c r="AC91" s="25">
        <f ca="1">IF(tblData[[#This Row],[Date]]&lt;StartDt2China,"",tblData[[#This Row],[Date]]-ChinaStart)</f>
        <v>122</v>
      </c>
      <c r="AD91" s="25">
        <f>IF(tblData[[#This Row],[Date]]&lt;=SKoreaStart,"",tblData[[#This Row],[Date]]-SKoreaStart)</f>
        <v>122</v>
      </c>
      <c r="AE91" s="25">
        <f ca="1">IF(tblData[[#This Row],[Date]]&lt;=StartDt2UK,"",tblData[[#This Row],[Date]]-UKStart)</f>
        <v>114</v>
      </c>
      <c r="AF91" s="25">
        <f>IF(tblData[[#This Row],[Date]]&lt;StartDt2Singapore,"",tblData[[#This Row],[Date]]-SingaporeStart)</f>
        <v>121</v>
      </c>
      <c r="AG91" s="25">
        <f ca="1">IF(tblData[[#This Row],[Date]]&lt;StartDt2Generic,"",tblData[[#This Row],[Date]]-GenericStart)</f>
        <v>122</v>
      </c>
      <c r="AH91">
        <f ca="1">IF(tblData[Date]&gt;StartDt2Au,tblData[Date]-AuStart,"")</f>
        <v>119</v>
      </c>
      <c r="AI91" s="25">
        <f>IF(tblData[New South Wales]&gt;=0,SUM(tblData[[#This Row],[Australian Capital Territory]:[Western Australia]]),"")</f>
        <v>0</v>
      </c>
      <c r="AJ91" s="12">
        <f>IF(ISNUMBER(tblData[Au]),tblData[Au]/$AE$9,"")</f>
        <v>0</v>
      </c>
      <c r="AK91" s="39">
        <f ca="1">IF(ISNUMBER(tblData[[#This Row],[Day'# Aust]]),betaAu/(deltaAu+betaPodeltaAu*EXP(-betaAu*tblData[[#This Row],[Day'# Aust]])),"")</f>
        <v>6179.6675108487088</v>
      </c>
      <c r="AL91" s="63">
        <f ca="1">IF(ISNUMBER(tblData[Day'# Aust]),tblData[Au LogiP(t)]/$AJ$9,"")</f>
        <v>2436.3931205049316</v>
      </c>
      <c r="AM91" s="11" t="str">
        <f ca="1">IF(AND(tblData[Date]&gt;StartDt2Au,ISNUMBER(tblData[NSW])),(tblData[[#This Row],[Au LogiP(t)]]-tblData[[#This Row],[Au]])^2,"")</f>
        <v/>
      </c>
      <c r="AN91" s="11">
        <f ca="1">IF(AND(ISNUMBER(tblData[Au]),tblData[Date]&gt;StartDt2Au),(tblData[Au]-AVERAGE(tblData[Au]))^2,"")</f>
        <v>196564.33811020709</v>
      </c>
      <c r="AO91" s="11">
        <f>tblData[[#This Row],[Date]]-Au100dt</f>
        <v>70</v>
      </c>
      <c r="AP91">
        <f ca="1">IF(tblData[Date]&gt;StartDt2NSW,tblData[Date]-StartDt2NSW,"")</f>
        <v>119</v>
      </c>
      <c r="AQ91" s="25" t="str">
        <f>IF(tblData[[#This Row],[New South Wales]]&gt;0,tblData[[#This Row],[New South Wales]],"")</f>
        <v/>
      </c>
      <c r="AR91" s="11">
        <f ca="1">IF(tblData[Date]&gt;StartDt2NSW,betaNSW/(deltaNSW+betaPodeltaNSW*EXP(-betaNSW*tblData[[#This Row],[Day '# NSW]])),"")</f>
        <v>3000.2553498610223</v>
      </c>
      <c r="AS91" s="12" t="str">
        <f ca="1">IF(AND(ISNUMBER(tblData[NSW]),tblData[Date]&gt;StartDt2NSW),(tblData[[#This Row],[NSW LogiP(t)]]-tblData[[#This Row],[NSW]])^2,"")</f>
        <v/>
      </c>
      <c r="AT91" s="39">
        <f ca="1">IF(AND(tblData[Date]&gt;StartDt2NSW,ISNUMBER(tblData[Day'# Aust])),tblData[NSW LogiP(t)]/$AR$9,"")</f>
        <v>3713.1873141844335</v>
      </c>
      <c r="AU91" s="11">
        <f>tblData[[#This Row],[Date]]-NSW100dt+1</f>
        <v>74</v>
      </c>
      <c r="AV91" s="11" t="str">
        <f ca="1">IF(AND(ISNUMBER(tblData[NSW]),tblData[Date]&gt;StartDt2NSW),(tblData[NSW]-AVERAGE(tblData[NSW]))^2,"")</f>
        <v/>
      </c>
      <c r="AW91" s="39">
        <f ca="1">IF(AND(tblData[Date]&gt;StartDt2Italy,ISNUMBER(tblData[Days'# Italy])),betaItaly/(deltaItaly+betaPodeltaItaly*EXP(-betaItaly*tblData[Days'# Italy])),"")</f>
        <v>97269.769462215947</v>
      </c>
      <c r="AX91" s="11" t="str">
        <f ca="1">IF(AND(tblData[Date]&gt;StartDt2Italy,ISNUMBER(tblData[Italy])),(tblData[[#This Row],[Italy LogiP(t)]]-tblData[[#This Row],[Italy]])^2,"")</f>
        <v/>
      </c>
      <c r="AY91" s="39">
        <f ca="1">IF(AND(tblData[Date]&gt;StartDt2Italy,ISNUMBER(tblData[Days'# Italy])),tblData[[#This Row],[Italy LogiP(t)]]/$AW$9,"")</f>
        <v>16081.635027232529</v>
      </c>
      <c r="AZ91" s="39" t="str">
        <f ca="1">IF(AND(ISNUMBER(tblData[Italy]),tblData[Date]&gt;StartDt2Italy),(tblData[Italy]-AVERAGE(tblData[Italy]))^2,"")</f>
        <v/>
      </c>
      <c r="BA91" s="11">
        <f>tblData[[#This Row],[Date]]-Italy100dt+1</f>
        <v>87</v>
      </c>
      <c r="BB91" s="11">
        <f ca="1">IF(AND(tblData[Date]&gt;StartDt2US,ISNUMBER(tblData[[#This Row],[Days'# US]])),betaUS/(deltaUS+betaPodeltaUS*EXP(-betaUS*tblData[Days'# US])),"")</f>
        <v>633176.03183622856</v>
      </c>
      <c r="BC91" s="11" t="str">
        <f ca="1">IF(AND(tblData[Date]&gt;StartDt2US,ISNUMBER(tblData[US])),(tblData[[#This Row],[US LogiP(t)]]-tblData[US])^2,"")</f>
        <v/>
      </c>
      <c r="BD91" s="137">
        <f ca="1">IF(AND(tblData[Date]&gt;=StartDt2US,ISNUMBER(tblData[[#This Row],[Days'# US]])),tblData[[#This Row],[US LogiP(t)]]/$BB$9,"")</f>
        <v>19232.158878742517</v>
      </c>
      <c r="BE91" s="137" t="str">
        <f ca="1">IF(AND(ISNUMBER(tblData[US]),tblData[Date]&gt;StartDt2US),(tblData[US]-AVERAGE(tblData[US]))^2,"")</f>
        <v/>
      </c>
      <c r="BF91" s="11">
        <f>tblData[[#This Row],[Date]]-US100dt+1</f>
        <v>71</v>
      </c>
      <c r="BG91" s="20">
        <f ca="1">IF(tblData[Date]&gt;StartDt2SKorea,betaSKorea/(deltaSKorea+betaPodeltaSKorea*EXP(-betaSKorea*(tblData[Date]-StartDt2SKorea))),"")</f>
        <v>9037.3342775999718</v>
      </c>
      <c r="BH91" s="20" t="str">
        <f ca="1">IF(AND(tblData[Date]&gt;StartDt2SKorea,ISNUMBER(tblData[SKorea])),(tblData[[#This Row],[SKorea LogiP(t)]]-tblData[[#This Row],[SKorea]])^2,"")</f>
        <v/>
      </c>
      <c r="BI91" s="20">
        <f ca="1">IF(tblData[Date]&gt;StartDt2SKorea,tblData[[#This Row],[SKorea LogiP(t)]]/$BG$9,"")</f>
        <v>1758.2362407782048</v>
      </c>
      <c r="BJ91" s="137" t="str">
        <f ca="1">IF(AND(ISNUMBER(tblData[SKorea]),tblData[Date]&gt;StartDt2SKorea),(tblData[SKorea]-AVERAGE(tblData[SKorea]))^2,"")</f>
        <v/>
      </c>
      <c r="BK91" s="11">
        <f>tblData[[#This Row],[Date]]-SKorea100dt+1</f>
        <v>92</v>
      </c>
      <c r="BL91" s="137">
        <f ca="1">IF(AND(tblData[Date]&gt;StartDt2UK,ISNUMBER(tblData[Days'# UK])),betaUK/(deltaUK+betaPodeltaUK*EXP(-betaUK*tblData[Days'# UK])),"")</f>
        <v>74550.176687887055</v>
      </c>
      <c r="BM91" s="71" t="str">
        <f ca="1">IF(AND(tblData[Date]&gt;StartDt2UK,ISNUMBER(tblData[UK])),(tblData[[#This Row],[UK LogiP(t)]]-tblData[[#This Row],[UK]])^2,"")</f>
        <v/>
      </c>
      <c r="BN91" s="71">
        <f ca="1">IF(ISNUMBER(tblData[Days'# UK]),tblData[[#This Row],[UK LogiP(t)]]/$BL$9,"")</f>
        <v>11220.676804317738</v>
      </c>
      <c r="BO91" s="137" t="str">
        <f ca="1">IF(AND(ISNUMBER(tblData[UK]),tblData[Date]&gt;StartDt2UK),(tblData[UK]-AVERAGE(tblData[UK]))^2,"")</f>
        <v/>
      </c>
      <c r="BP91" s="11">
        <f>tblData[[#This Row],[Date]]-UK100dt</f>
        <v>72</v>
      </c>
      <c r="BQ91" s="11">
        <f ca="1">IF(ISNUMBER(tblData[Days'# China]),betaChina/(deltaChina+betaPodeltaChina*EXP(-betaChina*tblData[Days'# China])),"")</f>
        <v>81223.951288914061</v>
      </c>
      <c r="BR91" s="11" t="str">
        <f>IF(ISNUMBER(tblData[China]),(tblData[[#This Row],[China LogiP(t)]]-tblData[[#This Row],[China]])^2,"")</f>
        <v/>
      </c>
      <c r="BS91" s="11">
        <f ca="1">tblData[[#This Row],[China LogiP(t)]]/$BQ$9</f>
        <v>564.32022206040506</v>
      </c>
      <c r="BT91" s="137" t="str">
        <f ca="1">IF(AND(ISNUMBER(tblData[China]),tblData[Date]&gt;StartDt2China),(tblData[China]-AVERAGE(tblData[China]))^2,"")</f>
        <v/>
      </c>
      <c r="BU91" s="11">
        <f>tblData[[#This Row],[Date]]-China100dt</f>
        <v>122</v>
      </c>
      <c r="BV91" s="106">
        <f>IF(ISNUMBER(tblData[Day'# Singapore]),betaSingapore/(deltaSingapore+betaPodeltaSingapore*EXP(-betaSingapore*tblData[Day'# Singapore])),"")</f>
        <v>44627.247154231525</v>
      </c>
      <c r="BW91" s="11" t="str">
        <f>IF(AND(ISNUMBER(tblData[Singapore]),tblData[Date]&gt;=StartDt2Singapore),(tblData[[#This Row],[Singapore LogiP(t)]]-tblData[[#This Row],[Singapore]])^2,"")</f>
        <v/>
      </c>
      <c r="BX91" s="106">
        <f>IF(ISNUMBER(tblData[Day'# Singapore]),tblData[Singapore LogiP(t)]/$BV$9,"")</f>
        <v>76285.892571335949</v>
      </c>
      <c r="BY91" s="106" t="str">
        <f>IF(AND(ISNUMBER(tblData[Singapore]),tblData[Date]&gt;StartDt2Singapore),(tblData[Singapore]-AVERAGE(tblData[Singapore]))^2,"")</f>
        <v/>
      </c>
      <c r="BZ91" s="11">
        <f>tblData[[#This Row],[Date]]-Singapore100dt+1</f>
        <v>103</v>
      </c>
      <c r="CA91" s="11">
        <f ca="1">IF(AND(tblData[Date]&gt;StartDt2Generic,ISNUMBER(tblData[Day'# Generic])),betaGeneric/(deltaGeneric+betaPodeltaGeneric*EXP(-betaGeneric*tblData[Day'# Generic])),"")</f>
        <v>3547.0552919909433</v>
      </c>
      <c r="CB91" s="106" t="str">
        <f ca="1">IF(AND(ISNUMBER(tblData[Generic]),tblData[Date]&gt;StartDt2Generic),(tblData[Generic LogiP(t)]-tblData[[#This Row],[Generic]])^2,"")</f>
        <v/>
      </c>
      <c r="CC91" s="11" t="str">
        <f ca="1">IF(AND(ISNUMBER(tblData[Generic]),tblData[Date]&gt;StartDt2Generic),tblData[Generic LogiP(t)]/$CA$9,"")</f>
        <v/>
      </c>
      <c r="CD91" s="106" t="str">
        <f ca="1">IF(AND(ISNUMBER(tblData[Generic]),tblData[Date]&gt;StartDt2Generic),(tblData[Generic]-AVERAGE(tblData[Generic]))^2,"")</f>
        <v/>
      </c>
      <c r="CE91" s="11">
        <f>tblData[[#This Row],[Date]]-Generic100dt+1</f>
        <v>64</v>
      </c>
      <c r="CF91" s="11"/>
      <c r="CG91" s="11"/>
      <c r="CH91" s="11" t="str">
        <f>IF(ISNUMBER(tblData[[#This Row],[Tests]]),tblData[[#This Row],[Tests]]-CF90,"")</f>
        <v/>
      </c>
      <c r="CI91" s="11" t="str">
        <f>IF(ISNUMBER(tblData[[#This Row],[NSW Under Investigation'']]),tblData[[#This Row],[NSW Under Investigation'']]-CG90,"")</f>
        <v/>
      </c>
      <c r="CJ91" s="11">
        <f>IF(tblData[[#This Row],[Date]]&gt;myData!TestsStart,tblData[[#This Row],[Date]]-myData!TestsStart,"")</f>
        <v>79</v>
      </c>
      <c r="CK91" s="11">
        <f>IF(AND(tblData[[#This Row],[NSW Test Day Number]]&gt;0,ISNUMBER(tblData[[#This Row],[NSW Test Day Number]])),betaTests/(deltaTests+betaPodeltaTests*EXP(-betaTests*tblData[[#This Row],[NSW Test Day Number]])),"")</f>
        <v>127229.04065054009</v>
      </c>
      <c r="CL91" s="11" t="str">
        <f>IF(tblData[Tests]&gt;0,(tblData[[#This Row],[Tests]]-tblData[[#This Row],[NSW Test Logi]])^2,"")</f>
        <v/>
      </c>
      <c r="CM91" s="106" t="str">
        <f>IF(AND(ISNUMBER(tblData[Tests]),tblData[Date]&gt;StartDt2Tests),(tblData[Tests]-AVERAGE(tblData[Tests]))^2,"")</f>
        <v/>
      </c>
      <c r="CN91" s="11" t="str">
        <f>IF(ISNUMBER(tblData[Tests]),tblData[Tests]/$CN$9/100,"")</f>
        <v/>
      </c>
      <c r="CO91" s="106">
        <f ca="1">IF(AND(tblData[[#This Row],[NSW Test Day Number]]&gt;0,ISNUMBER(tblData[[#This Row],[NSW Test Day Number]])),TestsLogestB*TestsLogestM^tblData[[#This Row],[NSW Test Day Number]],"")</f>
        <v>53767934.325439274</v>
      </c>
      <c r="CP91" s="11" t="str">
        <f>IF(AND(tblData[[#This Row],[NSW Test Day Number]]&gt;0,ISNUMBER(tblData[Tests])),(tblData[Tests]-tblData[[#This Row],[NSW Test Per Capita]])^2,"")</f>
        <v/>
      </c>
      <c r="CQ91" s="39">
        <f ca="1">IF(AND(tblData[Day '# NSW]&gt;0,ISNUMBER(tblData[[#This Row],[Day '# NSW]])),NSWLogestB*NSWLogestM^tblData[[#This Row],[Day '# NSW]]/$CR$9,"")</f>
        <v>336493.70615467342</v>
      </c>
      <c r="CR91" s="39" t="str">
        <f ca="1">IF(AND(ISNUMBER(tblData[NSW]),tblData[Date]&gt;StartDt2NSW),(tblData[NSW]/$CR$9-tblData[[#This Row],[NSW Cases LogEst]])^2,"")</f>
        <v/>
      </c>
      <c r="CS91" s="106"/>
      <c r="CT91" s="11"/>
      <c r="CW91" s="25"/>
      <c r="CX91"/>
      <c r="DL91" s="25"/>
      <c r="DR91"/>
      <c r="DS91"/>
      <c r="DT91"/>
      <c r="DU91"/>
      <c r="DW91" s="25"/>
      <c r="DX91" s="25"/>
      <c r="EB91" s="25"/>
      <c r="EC91" s="25"/>
      <c r="ED91" s="25"/>
      <c r="EE91" s="25"/>
      <c r="EK91"/>
      <c r="EL91"/>
      <c r="EM91"/>
      <c r="EN91"/>
      <c r="EQ91" s="69"/>
      <c r="ER91" s="26"/>
      <c r="ES91" s="69"/>
      <c r="EU91" s="25" t="s">
        <v>209</v>
      </c>
      <c r="EV91" s="69">
        <v>43911.866307870368</v>
      </c>
      <c r="EW91" s="26">
        <v>43852</v>
      </c>
      <c r="EX91" s="26">
        <v>43870</v>
      </c>
      <c r="EY91" s="25">
        <v>3</v>
      </c>
      <c r="EZ91" s="25">
        <v>0.34769529201458815</v>
      </c>
      <c r="FA91" s="24">
        <v>1.0000000000000751E-9</v>
      </c>
      <c r="FB91" s="21">
        <v>1.709986186409522E-2</v>
      </c>
      <c r="FC91" s="82">
        <v>347695292.01456201</v>
      </c>
      <c r="FD91" s="82">
        <v>315.73237932545749</v>
      </c>
      <c r="FE91" s="83">
        <v>20.333222265821231</v>
      </c>
      <c r="FF91" s="84">
        <v>1.0000000000000751E-6</v>
      </c>
      <c r="FG91" s="26">
        <v>43910</v>
      </c>
      <c r="FH91" s="25" t="s">
        <v>1053</v>
      </c>
      <c r="FI91" s="84"/>
      <c r="FJ91" s="84">
        <v>19100</v>
      </c>
      <c r="FK91" s="25" t="s">
        <v>1054</v>
      </c>
      <c r="FL91" s="26">
        <v>43910</v>
      </c>
      <c r="FM91" s="25">
        <v>41</v>
      </c>
      <c r="FN91" s="25" t="s">
        <v>1055</v>
      </c>
      <c r="FO91"/>
      <c r="FP91" t="s">
        <v>1056</v>
      </c>
      <c r="FQ91" s="25" t="s">
        <v>674</v>
      </c>
      <c r="FR91" s="25" t="s">
        <v>1057</v>
      </c>
      <c r="FS91" s="19">
        <v>580.14551422406544</v>
      </c>
      <c r="FT91" s="72">
        <v>43910</v>
      </c>
      <c r="FU91" s="25">
        <v>1</v>
      </c>
      <c r="FV91" s="142">
        <v>43910</v>
      </c>
      <c r="FW91" s="25">
        <v>1</v>
      </c>
      <c r="FY91" s="25"/>
      <c r="FZ91" s="25"/>
      <c r="GA91" s="25"/>
      <c r="GB91" s="25"/>
      <c r="GC91" s="25"/>
      <c r="GD91" s="25"/>
      <c r="GE91" s="25"/>
      <c r="GF91" s="25"/>
      <c r="GG91" s="25"/>
      <c r="GH91" s="25"/>
      <c r="GI91" s="25"/>
      <c r="GJ91" s="25"/>
    </row>
    <row r="92" spans="2:217" x14ac:dyDescent="0.25">
      <c r="B92" s="26">
        <f t="shared" si="4"/>
        <v>43981</v>
      </c>
      <c r="D92" s="25"/>
      <c r="L92" s="12" t="str">
        <f>IF(ISNUMBER(tblData[[#This Row],[NSW]]),tblData[[#This Row],[New South Wales]]/$L$9,"")</f>
        <v/>
      </c>
      <c r="M92" s="25"/>
      <c r="N92" s="44" t="str">
        <f>IF(ISNUMBER(tblData[Italy]),tblData[Italy]/$N$9,"")</f>
        <v/>
      </c>
      <c r="O92" s="25"/>
      <c r="P92" s="106" t="str">
        <f>IF(ISNUMBER(tblData[US]),tblData[US]/$P$9,"")</f>
        <v/>
      </c>
      <c r="Q92" s="44"/>
      <c r="R92" s="19" t="str">
        <f>IF(ISNUMBER(tblData[SKorea]),tblData[SKorea]/$R$9,"")</f>
        <v/>
      </c>
      <c r="S92" s="44"/>
      <c r="T92" s="12" t="str">
        <f>IF(ISNUMBER(tblData[UK]),tblData[UK]/$T$9,"")</f>
        <v/>
      </c>
      <c r="U92" s="25"/>
      <c r="V92" s="20" t="str">
        <f>IF(ISNUMBER(tblData[China]),tblData[China]/$V$9,"")</f>
        <v/>
      </c>
      <c r="W92" s="20"/>
      <c r="X92" s="20" t="str">
        <f>IF(ISNUMBER(tblData[Singapore]),tblData[Singapore]/$X$9,"")</f>
        <v/>
      </c>
      <c r="Y92" s="20"/>
      <c r="Z92" s="20" t="str">
        <f>IF(AND(LEN(tblData[Generic])&gt;0,ISNUMBER(tblData[Generic])),tblData[Generic]/$Z$9,"")</f>
        <v/>
      </c>
      <c r="AA92" s="25">
        <f ca="1">IF(tblData[[#This Row],[Date]]&lt;StartDt2Italy,"",tblData[[#This Row],[Date]]-ItalyStart)</f>
        <v>121</v>
      </c>
      <c r="AB92" s="25">
        <f ca="1">IF(tblData[[#This Row],[Date]]&lt;=StartDt2US,"",tblData[[#This Row],[Date]]-USStart)</f>
        <v>129</v>
      </c>
      <c r="AC92" s="25">
        <f ca="1">IF(tblData[[#This Row],[Date]]&lt;StartDt2China,"",tblData[[#This Row],[Date]]-ChinaStart)</f>
        <v>129</v>
      </c>
      <c r="AD92" s="25">
        <f>IF(tblData[[#This Row],[Date]]&lt;=SKoreaStart,"",tblData[[#This Row],[Date]]-SKoreaStart)</f>
        <v>129</v>
      </c>
      <c r="AE92" s="25">
        <f ca="1">IF(tblData[[#This Row],[Date]]&lt;=StartDt2UK,"",tblData[[#This Row],[Date]]-UKStart)</f>
        <v>121</v>
      </c>
      <c r="AF92" s="25">
        <f>IF(tblData[[#This Row],[Date]]&lt;StartDt2Singapore,"",tblData[[#This Row],[Date]]-SingaporeStart)</f>
        <v>128</v>
      </c>
      <c r="AG92" s="25">
        <f ca="1">IF(tblData[[#This Row],[Date]]&lt;StartDt2Generic,"",tblData[[#This Row],[Date]]-GenericStart)</f>
        <v>129</v>
      </c>
      <c r="AH92">
        <f ca="1">IF(tblData[Date]&gt;StartDt2Au,tblData[Date]-AuStart,"")</f>
        <v>126</v>
      </c>
      <c r="AI92" s="25">
        <f>IF(tblData[New South Wales]&gt;=0,SUM(tblData[[#This Row],[Australian Capital Territory]:[Western Australia]]),"")</f>
        <v>0</v>
      </c>
      <c r="AJ92" s="12">
        <f>IF(ISNUMBER(tblData[Au]),tblData[Au]/$AE$9,"")</f>
        <v>0</v>
      </c>
      <c r="AK92" s="39">
        <f ca="1">IF(ISNUMBER(tblData[[#This Row],[Day'# Aust]]),betaAu/(deltaAu+betaPodeltaAu*EXP(-betaAu*tblData[[#This Row],[Day'# Aust]])),"")</f>
        <v>6179.6701500218369</v>
      </c>
      <c r="AL92" s="63">
        <f ca="1">IF(ISNUMBER(tblData[Day'# Aust]),tblData[Au LogiP(t)]/$AJ$9,"")</f>
        <v>2436.3941610242223</v>
      </c>
      <c r="AM92" s="11" t="str">
        <f ca="1">IF(AND(tblData[Date]&gt;StartDt2Au,ISNUMBER(tblData[NSW])),(tblData[[#This Row],[Au LogiP(t)]]-tblData[[#This Row],[Au]])^2,"")</f>
        <v/>
      </c>
      <c r="AN92" s="11">
        <f ca="1">IF(AND(ISNUMBER(tblData[Au]),tblData[Date]&gt;StartDt2Au),(tblData[Au]-AVERAGE(tblData[Au]))^2,"")</f>
        <v>196564.33811020709</v>
      </c>
      <c r="AO92" s="11">
        <f>tblData[[#This Row],[Date]]-Au100dt</f>
        <v>77</v>
      </c>
      <c r="AP92">
        <f ca="1">IF(tblData[Date]&gt;StartDt2NSW,tblData[Date]-StartDt2NSW,"")</f>
        <v>126</v>
      </c>
      <c r="AQ92" s="25" t="str">
        <f>IF(tblData[[#This Row],[New South Wales]]&gt;0,tblData[[#This Row],[New South Wales]],"")</f>
        <v/>
      </c>
      <c r="AR92" s="11">
        <f ca="1">IF(tblData[Date]&gt;StartDt2NSW,betaNSW/(deltaNSW+betaPodeltaNSW*EXP(-betaNSW*tblData[[#This Row],[Day '# NSW]])),"")</f>
        <v>3000.2590947599879</v>
      </c>
      <c r="AS92" s="12" t="str">
        <f ca="1">IF(AND(ISNUMBER(tblData[NSW]),tblData[Date]&gt;StartDt2NSW),(tblData[[#This Row],[NSW LogiP(t)]]-tblData[[#This Row],[NSW]])^2,"")</f>
        <v/>
      </c>
      <c r="AT92" s="39">
        <f ca="1">IF(AND(tblData[Date]&gt;StartDt2NSW,ISNUMBER(tblData[Day'# Aust])),tblData[NSW LogiP(t)]/$AR$9,"")</f>
        <v>3713.1919489603806</v>
      </c>
      <c r="AU92" s="11">
        <f>tblData[[#This Row],[Date]]-NSW100dt+1</f>
        <v>81</v>
      </c>
      <c r="AV92" s="11" t="str">
        <f ca="1">IF(AND(ISNUMBER(tblData[NSW]),tblData[Date]&gt;StartDt2NSW),(tblData[NSW]-AVERAGE(tblData[NSW]))^2,"")</f>
        <v/>
      </c>
      <c r="AW92" s="39">
        <f ca="1">IF(AND(tblData[Date]&gt;StartDt2Italy,ISNUMBER(tblData[Days'# Italy])),betaItaly/(deltaItaly+betaPodeltaItaly*EXP(-betaItaly*tblData[Days'# Italy])),"")</f>
        <v>97269.772967339319</v>
      </c>
      <c r="AX92" s="11" t="str">
        <f ca="1">IF(AND(tblData[Date]&gt;StartDt2Italy,ISNUMBER(tblData[Italy])),(tblData[[#This Row],[Italy LogiP(t)]]-tblData[[#This Row],[Italy]])^2,"")</f>
        <v/>
      </c>
      <c r="AY92" s="39">
        <f ca="1">IF(AND(tblData[Date]&gt;StartDt2Italy,ISNUMBER(tblData[Days'# Italy])),tblData[[#This Row],[Italy LogiP(t)]]/$AW$9,"")</f>
        <v>16081.635606735443</v>
      </c>
      <c r="AZ92" s="39" t="str">
        <f ca="1">IF(AND(ISNUMBER(tblData[Italy]),tblData[Date]&gt;StartDt2Italy),(tblData[Italy]-AVERAGE(tblData[Italy]))^2,"")</f>
        <v/>
      </c>
      <c r="BA92" s="11">
        <f>tblData[[#This Row],[Date]]-Italy100dt+1</f>
        <v>94</v>
      </c>
      <c r="BB92" s="11">
        <f ca="1">IF(AND(tblData[Date]&gt;StartDt2US,ISNUMBER(tblData[[#This Row],[Days'# US]])),betaUS/(deltaUS+betaPodeltaUS*EXP(-betaUS*tblData[Days'# US])),"")</f>
        <v>633176.35081419931</v>
      </c>
      <c r="BC92" s="11" t="str">
        <f ca="1">IF(AND(tblData[Date]&gt;StartDt2US,ISNUMBER(tblData[US])),(tblData[[#This Row],[US LogiP(t)]]-tblData[US])^2,"")</f>
        <v/>
      </c>
      <c r="BD92" s="137">
        <f ca="1">IF(AND(tblData[Date]&gt;=StartDt2US,ISNUMBER(tblData[[#This Row],[Days'# US]])),tblData[[#This Row],[US LogiP(t)]]/$BB$9,"")</f>
        <v>19232.168567414708</v>
      </c>
      <c r="BE92" s="137" t="str">
        <f ca="1">IF(AND(ISNUMBER(tblData[US]),tblData[Date]&gt;StartDt2US),(tblData[US]-AVERAGE(tblData[US]))^2,"")</f>
        <v/>
      </c>
      <c r="BF92" s="11">
        <f>tblData[[#This Row],[Date]]-US100dt+1</f>
        <v>78</v>
      </c>
      <c r="BG92" s="20">
        <f ca="1">IF(tblData[Date]&gt;StartDt2SKorea,betaSKorea/(deltaSKorea+betaPodeltaSKorea*EXP(-betaSKorea*(tblData[Date]-StartDt2SKorea))),"")</f>
        <v>9037.3342820708895</v>
      </c>
      <c r="BH92" s="20" t="str">
        <f ca="1">IF(AND(tblData[Date]&gt;StartDt2SKorea,ISNUMBER(tblData[SKorea])),(tblData[[#This Row],[SKorea LogiP(t)]]-tblData[[#This Row],[SKorea]])^2,"")</f>
        <v/>
      </c>
      <c r="BI92" s="20">
        <f ca="1">IF(tblData[Date]&gt;StartDt2SKorea,tblData[[#This Row],[SKorea LogiP(t)]]/$BG$9,"")</f>
        <v>1758.236241648033</v>
      </c>
      <c r="BJ92" s="137" t="str">
        <f ca="1">IF(AND(ISNUMBER(tblData[SKorea]),tblData[Date]&gt;StartDt2SKorea),(tblData[SKorea]-AVERAGE(tblData[SKorea]))^2,"")</f>
        <v/>
      </c>
      <c r="BK92" s="11">
        <f>tblData[[#This Row],[Date]]-SKorea100dt+1</f>
        <v>99</v>
      </c>
      <c r="BL92" s="137">
        <f ca="1">IF(AND(tblData[Date]&gt;StartDt2UK,ISNUMBER(tblData[Days'# UK])),betaUK/(deltaUK+betaPodeltaUK*EXP(-betaUK*tblData[Days'# UK])),"")</f>
        <v>74551.469054801433</v>
      </c>
      <c r="BM92" s="71" t="str">
        <f ca="1">IF(AND(tblData[Date]&gt;StartDt2UK,ISNUMBER(tblData[UK])),(tblData[[#This Row],[UK LogiP(t)]]-tblData[[#This Row],[UK]])^2,"")</f>
        <v/>
      </c>
      <c r="BN92" s="71">
        <f ca="1">IF(ISNUMBER(tblData[Days'# UK]),tblData[[#This Row],[UK LogiP(t)]]/$BL$9,"")</f>
        <v>11220.87132071063</v>
      </c>
      <c r="BO92" s="137" t="str">
        <f ca="1">IF(AND(ISNUMBER(tblData[UK]),tblData[Date]&gt;StartDt2UK),(tblData[UK]-AVERAGE(tblData[UK]))^2,"")</f>
        <v/>
      </c>
      <c r="BP92" s="11">
        <f>tblData[[#This Row],[Date]]-UK100dt</f>
        <v>79</v>
      </c>
      <c r="BQ92" s="11">
        <f ca="1">IF(ISNUMBER(tblData[Days'# China]),betaChina/(deltaChina+betaPodeltaChina*EXP(-betaChina*tblData[Days'# China])),"")</f>
        <v>81223.951295377468</v>
      </c>
      <c r="BR92" s="11" t="str">
        <f>IF(ISNUMBER(tblData[China]),(tblData[[#This Row],[China LogiP(t)]]-tblData[[#This Row],[China]])^2,"")</f>
        <v/>
      </c>
      <c r="BS92" s="11">
        <f ca="1">tblData[[#This Row],[China LogiP(t)]]/$BQ$9</f>
        <v>564.3202221053109</v>
      </c>
      <c r="BT92" s="137" t="str">
        <f ca="1">IF(AND(ISNUMBER(tblData[China]),tblData[Date]&gt;StartDt2China),(tblData[China]-AVERAGE(tblData[China]))^2,"")</f>
        <v/>
      </c>
      <c r="BU92" s="11">
        <f>tblData[[#This Row],[Date]]-China100dt</f>
        <v>129</v>
      </c>
      <c r="BV92" s="106">
        <f>IF(ISNUMBER(tblData[Day'# Singapore]),betaSingapore/(deltaSingapore+betaPodeltaSingapore*EXP(-betaSingapore*tblData[Day'# Singapore])),"")</f>
        <v>63004.408270875065</v>
      </c>
      <c r="BW92" s="11" t="str">
        <f>IF(AND(ISNUMBER(tblData[Singapore]),tblData[Date]&gt;=StartDt2Singapore),(tblData[[#This Row],[Singapore LogiP(t)]]-tblData[[#This Row],[Singapore]])^2,"")</f>
        <v/>
      </c>
      <c r="BX92" s="106">
        <f>IF(ISNUMBER(tblData[Day'# Singapore]),tblData[Singapore LogiP(t)]/$BV$9,"")</f>
        <v>107699.84319807704</v>
      </c>
      <c r="BY92" s="106" t="str">
        <f>IF(AND(ISNUMBER(tblData[Singapore]),tblData[Date]&gt;StartDt2Singapore),(tblData[Singapore]-AVERAGE(tblData[Singapore]))^2,"")</f>
        <v/>
      </c>
      <c r="BZ92" s="11">
        <f>tblData[[#This Row],[Date]]-Singapore100dt+1</f>
        <v>110</v>
      </c>
      <c r="CA92" s="11">
        <f ca="1">IF(AND(tblData[Date]&gt;StartDt2Generic,ISNUMBER(tblData[Day'# Generic])),betaGeneric/(deltaGeneric+betaPodeltaGeneric*EXP(-betaGeneric*tblData[Day'# Generic])),"")</f>
        <v>3547.4038726408953</v>
      </c>
      <c r="CB92" s="106" t="str">
        <f ca="1">IF(AND(ISNUMBER(tblData[Generic]),tblData[Date]&gt;StartDt2Generic),(tblData[Generic LogiP(t)]-tblData[[#This Row],[Generic]])^2,"")</f>
        <v/>
      </c>
      <c r="CC92" s="11" t="str">
        <f ca="1">IF(AND(ISNUMBER(tblData[Generic]),tblData[Date]&gt;StartDt2Generic),tblData[Generic LogiP(t)]/$CA$9,"")</f>
        <v/>
      </c>
      <c r="CD92" s="106" t="str">
        <f ca="1">IF(AND(ISNUMBER(tblData[Generic]),tblData[Date]&gt;StartDt2Generic),(tblData[Generic]-AVERAGE(tblData[Generic]))^2,"")</f>
        <v/>
      </c>
      <c r="CE92" s="11">
        <f>tblData[[#This Row],[Date]]-Generic100dt+1</f>
        <v>71</v>
      </c>
      <c r="CF92" s="11"/>
      <c r="CG92" s="11"/>
      <c r="CH92" s="11" t="str">
        <f>IF(ISNUMBER(tblData[[#This Row],[Tests]]),tblData[[#This Row],[Tests]]-CF91,"")</f>
        <v/>
      </c>
      <c r="CI92" s="11" t="str">
        <f>IF(ISNUMBER(tblData[[#This Row],[NSW Under Investigation'']]),tblData[[#This Row],[NSW Under Investigation'']]-CG91,"")</f>
        <v/>
      </c>
      <c r="CJ92" s="11">
        <f>IF(tblData[[#This Row],[Date]]&gt;myData!TestsStart,tblData[[#This Row],[Date]]-myData!TestsStart,"")</f>
        <v>86</v>
      </c>
      <c r="CK92" s="11">
        <f>IF(AND(tblData[[#This Row],[NSW Test Day Number]]&gt;0,ISNUMBER(tblData[[#This Row],[NSW Test Day Number]])),betaTests/(deltaTests+betaPodeltaTests*EXP(-betaTests*tblData[[#This Row],[NSW Test Day Number]])),"")</f>
        <v>127231.37746437559</v>
      </c>
      <c r="CL92" s="11" t="str">
        <f>IF(tblData[Tests]&gt;0,(tblData[[#This Row],[Tests]]-tblData[[#This Row],[NSW Test Logi]])^2,"")</f>
        <v/>
      </c>
      <c r="CM92" s="106" t="str">
        <f>IF(AND(ISNUMBER(tblData[Tests]),tblData[Date]&gt;StartDt2Tests),(tblData[Tests]-AVERAGE(tblData[Tests]))^2,"")</f>
        <v/>
      </c>
      <c r="CN92" s="11" t="str">
        <f>IF(ISNUMBER(tblData[Tests]),tblData[Tests]/$CN$9/100,"")</f>
        <v/>
      </c>
      <c r="CO92" s="106">
        <f ca="1">IF(AND(tblData[[#This Row],[NSW Test Day Number]]&gt;0,ISNUMBER(tblData[[#This Row],[NSW Test Day Number]])),TestsLogestB*TestsLogestM^tblData[[#This Row],[NSW Test Day Number]],"")</f>
        <v>120387318.39195621</v>
      </c>
      <c r="CP92" s="11" t="str">
        <f>IF(AND(tblData[[#This Row],[NSW Test Day Number]]&gt;0,ISNUMBER(tblData[Tests])),(tblData[Tests]-tblData[[#This Row],[NSW Test Per Capita]])^2,"")</f>
        <v/>
      </c>
      <c r="CQ92" s="39">
        <f ca="1">IF(AND(tblData[Day '# NSW]&gt;0,ISNUMBER(tblData[[#This Row],[Day '# NSW]])),NSWLogestB*NSWLogestM^tblData[[#This Row],[Day '# NSW]]/$CR$9,"")</f>
        <v>711665.85544046783</v>
      </c>
      <c r="CR92" s="39" t="str">
        <f ca="1">IF(AND(ISNUMBER(tblData[NSW]),tblData[Date]&gt;StartDt2NSW),(tblData[NSW]/$CR$9-tblData[[#This Row],[NSW Cases LogEst]])^2,"")</f>
        <v/>
      </c>
      <c r="CS92" s="106"/>
      <c r="CT92" s="11"/>
      <c r="CW92" s="25"/>
      <c r="CX92"/>
      <c r="DL92" s="25"/>
      <c r="DR92"/>
      <c r="DS92"/>
      <c r="DT92"/>
      <c r="DU92"/>
      <c r="DW92" s="25"/>
      <c r="DX92" s="25"/>
      <c r="EB92" s="25"/>
      <c r="EC92" s="25"/>
      <c r="ED92" s="25"/>
      <c r="EE92" s="25"/>
      <c r="EK92"/>
      <c r="EL92"/>
      <c r="EM92"/>
      <c r="EN92"/>
      <c r="EO92"/>
      <c r="EP92"/>
      <c r="EQ92"/>
      <c r="ER92"/>
      <c r="ES92" s="69"/>
      <c r="EU92" s="25" t="s">
        <v>209</v>
      </c>
      <c r="EV92" s="69"/>
      <c r="EW92" s="26">
        <v>43852</v>
      </c>
      <c r="EY92" s="25">
        <v>3</v>
      </c>
      <c r="EZ92" s="25">
        <v>0.26960395737241599</v>
      </c>
      <c r="FA92" s="24">
        <v>2.2999968774326208E-6</v>
      </c>
      <c r="FB92" s="21">
        <v>0.28960505147680476</v>
      </c>
      <c r="FC92" s="82">
        <v>117219.27104238607</v>
      </c>
      <c r="FD92" s="82">
        <v>681.80877800845474</v>
      </c>
      <c r="FE92" s="83">
        <v>0.9309343532058354</v>
      </c>
      <c r="FF92" s="84">
        <v>2.2999968774326208E-3</v>
      </c>
      <c r="FG92" s="26">
        <v>43910</v>
      </c>
      <c r="FH92" s="25" t="s">
        <v>984</v>
      </c>
      <c r="FI92" s="84"/>
      <c r="FJ92" s="84">
        <v>14366</v>
      </c>
      <c r="FK92" s="25" t="s">
        <v>985</v>
      </c>
      <c r="FL92" s="26">
        <v>43909</v>
      </c>
      <c r="FM92" s="25">
        <v>41</v>
      </c>
      <c r="FN92" s="25" t="s">
        <v>986</v>
      </c>
      <c r="FO92"/>
      <c r="FP92" s="25" t="s">
        <v>987</v>
      </c>
      <c r="FQ92" t="s">
        <v>674</v>
      </c>
      <c r="FR92" s="25" t="s">
        <v>988</v>
      </c>
      <c r="FS92" s="19">
        <v>436.35447420643584</v>
      </c>
      <c r="FT92" s="72">
        <v>43910</v>
      </c>
      <c r="FU92" s="25">
        <v>0</v>
      </c>
      <c r="FV92" s="142">
        <v>43909</v>
      </c>
      <c r="FW92">
        <v>1</v>
      </c>
      <c r="FY92" s="25"/>
      <c r="GA92" s="25"/>
      <c r="GB92" s="25"/>
      <c r="GC92" s="25"/>
      <c r="GD92" s="25"/>
      <c r="GE92" s="25"/>
      <c r="GF92" s="25"/>
      <c r="GG92" s="25"/>
      <c r="GH92" s="25"/>
      <c r="GI92" s="25"/>
      <c r="GJ92" s="25"/>
      <c r="GK92" s="25"/>
      <c r="GL92" s="25"/>
      <c r="GM92" s="25"/>
      <c r="GN92" s="25"/>
      <c r="GO92" s="25"/>
      <c r="GP92" s="25"/>
      <c r="GQ92" s="25"/>
      <c r="GR92" s="25"/>
      <c r="GS92" s="25"/>
      <c r="GT92" s="25"/>
      <c r="GU92" s="25"/>
      <c r="GV92" s="25"/>
      <c r="GW92" s="25"/>
      <c r="GX92" s="25"/>
      <c r="GY92" s="25"/>
      <c r="GZ92" s="25"/>
      <c r="HA92" s="25"/>
      <c r="HB92" s="25"/>
      <c r="HC92" s="25"/>
      <c r="HD92" s="25"/>
      <c r="HE92" s="25"/>
      <c r="HF92" s="25"/>
      <c r="HG92" s="25"/>
      <c r="HH92" s="25"/>
    </row>
    <row r="93" spans="2:217" x14ac:dyDescent="0.25">
      <c r="B93" s="26">
        <f t="shared" si="4"/>
        <v>43988</v>
      </c>
      <c r="D93" s="25"/>
      <c r="L93" s="12" t="str">
        <f>IF(ISNUMBER(tblData[[#This Row],[NSW]]),tblData[[#This Row],[New South Wales]]/$L$9,"")</f>
        <v/>
      </c>
      <c r="M93" s="25"/>
      <c r="N93" s="44" t="str">
        <f>IF(ISNUMBER(tblData[Italy]),tblData[Italy]/$N$9,"")</f>
        <v/>
      </c>
      <c r="O93" s="25"/>
      <c r="P93" s="106" t="str">
        <f>IF(ISNUMBER(tblData[US]),tblData[US]/$P$9,"")</f>
        <v/>
      </c>
      <c r="Q93" s="44"/>
      <c r="R93" s="19" t="str">
        <f>IF(ISNUMBER(tblData[SKorea]),tblData[SKorea]/$R$9,"")</f>
        <v/>
      </c>
      <c r="S93" s="44"/>
      <c r="T93" s="12" t="str">
        <f>IF(ISNUMBER(tblData[UK]),tblData[UK]/$T$9,"")</f>
        <v/>
      </c>
      <c r="U93" s="25"/>
      <c r="V93" s="20" t="str">
        <f>IF(ISNUMBER(tblData[China]),tblData[China]/$V$9,"")</f>
        <v/>
      </c>
      <c r="W93" s="20"/>
      <c r="X93" s="20" t="str">
        <f>IF(ISNUMBER(tblData[Singapore]),tblData[Singapore]/$X$9,"")</f>
        <v/>
      </c>
      <c r="Y93" s="20"/>
      <c r="Z93" s="20" t="str">
        <f>IF(AND(LEN(tblData[Generic])&gt;0,ISNUMBER(tblData[Generic])),tblData[Generic]/$Z$9,"")</f>
        <v/>
      </c>
      <c r="AA93" s="25">
        <f ca="1">IF(tblData[[#This Row],[Date]]&lt;StartDt2Italy,"",tblData[[#This Row],[Date]]-ItalyStart)</f>
        <v>128</v>
      </c>
      <c r="AB93" s="25">
        <f ca="1">IF(tblData[[#This Row],[Date]]&lt;=StartDt2US,"",tblData[[#This Row],[Date]]-USStart)</f>
        <v>136</v>
      </c>
      <c r="AC93" s="25">
        <f ca="1">IF(tblData[[#This Row],[Date]]&lt;StartDt2China,"",tblData[[#This Row],[Date]]-ChinaStart)</f>
        <v>136</v>
      </c>
      <c r="AD93" s="25">
        <f>IF(tblData[[#This Row],[Date]]&lt;=SKoreaStart,"",tblData[[#This Row],[Date]]-SKoreaStart)</f>
        <v>136</v>
      </c>
      <c r="AE93" s="25">
        <f ca="1">IF(tblData[[#This Row],[Date]]&lt;=StartDt2UK,"",tblData[[#This Row],[Date]]-UKStart)</f>
        <v>128</v>
      </c>
      <c r="AF93" s="25">
        <f>IF(tblData[[#This Row],[Date]]&lt;StartDt2Singapore,"",tblData[[#This Row],[Date]]-SingaporeStart)</f>
        <v>135</v>
      </c>
      <c r="AG93" s="25">
        <f ca="1">IF(tblData[[#This Row],[Date]]&lt;StartDt2Generic,"",tblData[[#This Row],[Date]]-GenericStart)</f>
        <v>136</v>
      </c>
      <c r="AH93">
        <f ca="1">IF(tblData[Date]&gt;StartDt2Au,tblData[Date]-AuStart,"")</f>
        <v>133</v>
      </c>
      <c r="AI93" s="25">
        <f>IF(tblData[New South Wales]&gt;=0,SUM(tblData[[#This Row],[Australian Capital Territory]:[Western Australia]]),"")</f>
        <v>0</v>
      </c>
      <c r="AJ93" s="12">
        <f>IF(ISNUMBER(tblData[Au]),tblData[Au]/$AE$9,"")</f>
        <v>0</v>
      </c>
      <c r="AK93" s="39">
        <f ca="1">IF(ISNUMBER(tblData[[#This Row],[Day'# Aust]]),betaAu/(deltaAu+betaPodeltaAu*EXP(-betaAu*tblData[[#This Row],[Day'# Aust]])),"")</f>
        <v>6179.670598855465</v>
      </c>
      <c r="AL93" s="63">
        <f ca="1">IF(ISNUMBER(tblData[Day'# Aust]),tblData[Au LogiP(t)]/$AJ$9,"")</f>
        <v>2436.3943379811799</v>
      </c>
      <c r="AM93" s="11" t="str">
        <f ca="1">IF(AND(tblData[Date]&gt;StartDt2Au,ISNUMBER(tblData[NSW])),(tblData[[#This Row],[Au LogiP(t)]]-tblData[[#This Row],[Au]])^2,"")</f>
        <v/>
      </c>
      <c r="AN93" s="11">
        <f ca="1">IF(AND(ISNUMBER(tblData[Au]),tblData[Date]&gt;StartDt2Au),(tblData[Au]-AVERAGE(tblData[Au]))^2,"")</f>
        <v>196564.33811020709</v>
      </c>
      <c r="AO93" s="11">
        <f>tblData[[#This Row],[Date]]-Au100dt</f>
        <v>84</v>
      </c>
      <c r="AP93">
        <f ca="1">IF(tblData[Date]&gt;StartDt2NSW,tblData[Date]-StartDt2NSW,"")</f>
        <v>133</v>
      </c>
      <c r="AQ93" s="25" t="str">
        <f>IF(tblData[[#This Row],[New South Wales]]&gt;0,tblData[[#This Row],[New South Wales]],"")</f>
        <v/>
      </c>
      <c r="AR93" s="11">
        <f ca="1">IF(tblData[Date]&gt;StartDt2NSW,betaNSW/(deltaNSW+betaPodeltaNSW*EXP(-betaNSW*tblData[[#This Row],[Day '# NSW]])),"")</f>
        <v>3000.259803544121</v>
      </c>
      <c r="AS93" s="12" t="str">
        <f ca="1">IF(AND(ISNUMBER(tblData[NSW]),tblData[Date]&gt;StartDt2NSW),(tblData[[#This Row],[NSW LogiP(t)]]-tblData[[#This Row],[NSW]])^2,"")</f>
        <v/>
      </c>
      <c r="AT93" s="39">
        <f ca="1">IF(AND(tblData[Date]&gt;StartDt2NSW,ISNUMBER(tblData[Day'# Aust])),tblData[NSW LogiP(t)]/$AR$9,"")</f>
        <v>3713.1928261684666</v>
      </c>
      <c r="AU93" s="11">
        <f>tblData[[#This Row],[Date]]-NSW100dt+1</f>
        <v>88</v>
      </c>
      <c r="AV93" s="11" t="str">
        <f ca="1">IF(AND(ISNUMBER(tblData[NSW]),tblData[Date]&gt;StartDt2NSW),(tblData[NSW]-AVERAGE(tblData[NSW]))^2,"")</f>
        <v/>
      </c>
      <c r="AW93" s="39">
        <f ca="1">IF(AND(tblData[Date]&gt;StartDt2Italy,ISNUMBER(tblData[Days'# Italy])),betaItaly/(deltaItaly+betaPodeltaItaly*EXP(-betaItaly*tblData[Days'# Italy])),"")</f>
        <v>97269.77354879606</v>
      </c>
      <c r="AX93" s="11" t="str">
        <f ca="1">IF(AND(tblData[Date]&gt;StartDt2Italy,ISNUMBER(tblData[Italy])),(tblData[[#This Row],[Italy LogiP(t)]]-tblData[[#This Row],[Italy]])^2,"")</f>
        <v/>
      </c>
      <c r="AY93" s="39">
        <f ca="1">IF(AND(tblData[Date]&gt;StartDt2Italy,ISNUMBER(tblData[Days'# Italy])),tblData[[#This Row],[Italy LogiP(t)]]/$AW$9,"")</f>
        <v>16081.635702867829</v>
      </c>
      <c r="AZ93" s="39" t="str">
        <f ca="1">IF(AND(ISNUMBER(tblData[Italy]),tblData[Date]&gt;StartDt2Italy),(tblData[Italy]-AVERAGE(tblData[Italy]))^2,"")</f>
        <v/>
      </c>
      <c r="BA93" s="11">
        <f>tblData[[#This Row],[Date]]-Italy100dt+1</f>
        <v>101</v>
      </c>
      <c r="BB93" s="11">
        <f ca="1">IF(AND(tblData[Date]&gt;StartDt2US,ISNUMBER(tblData[[#This Row],[Days'# US]])),betaUS/(deltaUS+betaPodeltaUS*EXP(-betaUS*tblData[Days'# US])),"")</f>
        <v>633176.39457500807</v>
      </c>
      <c r="BC93" s="11" t="str">
        <f ca="1">IF(AND(tblData[Date]&gt;StartDt2US,ISNUMBER(tblData[US])),(tblData[[#This Row],[US LogiP(t)]]-tblData[US])^2,"")</f>
        <v/>
      </c>
      <c r="BD93" s="137">
        <f ca="1">IF(AND(tblData[Date]&gt;=StartDt2US,ISNUMBER(tblData[[#This Row],[Days'# US]])),tblData[[#This Row],[US LogiP(t)]]/$BB$9,"")</f>
        <v>19232.169896610358</v>
      </c>
      <c r="BE93" s="137" t="str">
        <f ca="1">IF(AND(ISNUMBER(tblData[US]),tblData[Date]&gt;StartDt2US),(tblData[US]-AVERAGE(tblData[US]))^2,"")</f>
        <v/>
      </c>
      <c r="BF93" s="11">
        <f>tblData[[#This Row],[Date]]-US100dt+1</f>
        <v>85</v>
      </c>
      <c r="BG93" s="20">
        <f ca="1">IF(tblData[Date]&gt;StartDt2SKorea,betaSKorea/(deltaSKorea+betaPodeltaSKorea*EXP(-betaSKorea*(tblData[Date]-StartDt2SKorea))),"")</f>
        <v>9037.3342827882243</v>
      </c>
      <c r="BH93" s="20" t="str">
        <f ca="1">IF(AND(tblData[Date]&gt;StartDt2SKorea,ISNUMBER(tblData[SKorea])),(tblData[[#This Row],[SKorea LogiP(t)]]-tblData[[#This Row],[SKorea]])^2,"")</f>
        <v/>
      </c>
      <c r="BI93" s="20">
        <f ca="1">IF(tblData[Date]&gt;StartDt2SKorea,tblData[[#This Row],[SKorea LogiP(t)]]/$BG$9,"")</f>
        <v>1758.2362417875925</v>
      </c>
      <c r="BJ93" s="137" t="str">
        <f ca="1">IF(AND(ISNUMBER(tblData[SKorea]),tblData[Date]&gt;StartDt2SKorea),(tblData[SKorea]-AVERAGE(tblData[SKorea]))^2,"")</f>
        <v/>
      </c>
      <c r="BK93" s="11">
        <f>tblData[[#This Row],[Date]]-SKorea100dt+1</f>
        <v>106</v>
      </c>
      <c r="BL93" s="137">
        <f ca="1">IF(AND(tblData[Date]&gt;StartDt2UK,ISNUMBER(tblData[Days'# UK])),betaUK/(deltaUK+betaPodeltaUK*EXP(-betaUK*tblData[Days'# UK])),"")</f>
        <v>74551.758660754262</v>
      </c>
      <c r="BM93" s="71" t="str">
        <f ca="1">IF(AND(tblData[Date]&gt;StartDt2UK,ISNUMBER(tblData[UK])),(tblData[[#This Row],[UK LogiP(t)]]-tblData[[#This Row],[UK]])^2,"")</f>
        <v/>
      </c>
      <c r="BN93" s="71">
        <f ca="1">IF(ISNUMBER(tblData[Days'# UK]),tblData[[#This Row],[UK LogiP(t)]]/$BL$9,"")</f>
        <v>11220.914909806481</v>
      </c>
      <c r="BO93" s="137" t="str">
        <f ca="1">IF(AND(ISNUMBER(tblData[UK]),tblData[Date]&gt;StartDt2UK),(tblData[UK]-AVERAGE(tblData[UK]))^2,"")</f>
        <v/>
      </c>
      <c r="BP93" s="11">
        <f>tblData[[#This Row],[Date]]-UK100dt</f>
        <v>86</v>
      </c>
      <c r="BQ93" s="11">
        <f ca="1">IF(ISNUMBER(tblData[Days'# China]),betaChina/(deltaChina+betaPodeltaChina*EXP(-betaChina*tblData[Days'# China])),"")</f>
        <v>81223.951296754793</v>
      </c>
      <c r="BR93" s="11" t="str">
        <f>IF(ISNUMBER(tblData[China]),(tblData[[#This Row],[China LogiP(t)]]-tblData[[#This Row],[China]])^2,"")</f>
        <v/>
      </c>
      <c r="BS93" s="11">
        <f ca="1">tblData[[#This Row],[China LogiP(t)]]/$BQ$9</f>
        <v>564.32022211488015</v>
      </c>
      <c r="BT93" s="137" t="str">
        <f ca="1">IF(AND(ISNUMBER(tblData[China]),tblData[Date]&gt;StartDt2China),(tblData[China]-AVERAGE(tblData[China]))^2,"")</f>
        <v/>
      </c>
      <c r="BU93" s="11">
        <f>tblData[[#This Row],[Date]]-China100dt</f>
        <v>136</v>
      </c>
      <c r="BV93" s="106">
        <f>IF(ISNUMBER(tblData[Day'# Singapore]),betaSingapore/(deltaSingapore+betaPodeltaSingapore*EXP(-betaSingapore*tblData[Day'# Singapore])),"")</f>
        <v>82455.381916641461</v>
      </c>
      <c r="BW93" s="11" t="str">
        <f>IF(AND(ISNUMBER(tblData[Singapore]),tblData[Date]&gt;=StartDt2Singapore),(tblData[[#This Row],[Singapore LogiP(t)]]-tblData[[#This Row],[Singapore]])^2,"")</f>
        <v/>
      </c>
      <c r="BX93" s="106">
        <f>IF(ISNUMBER(tblData[Day'# Singapore]),tblData[Singapore LogiP(t)]/$BV$9,"")</f>
        <v>140949.37079767772</v>
      </c>
      <c r="BY93" s="106" t="str">
        <f>IF(AND(ISNUMBER(tblData[Singapore]),tblData[Date]&gt;StartDt2Singapore),(tblData[Singapore]-AVERAGE(tblData[Singapore]))^2,"")</f>
        <v/>
      </c>
      <c r="BZ93" s="11">
        <f>tblData[[#This Row],[Date]]-Singapore100dt+1</f>
        <v>117</v>
      </c>
      <c r="CA93" s="11">
        <f ca="1">IF(AND(tblData[Date]&gt;StartDt2Generic,ISNUMBER(tblData[Day'# Generic])),betaGeneric/(deltaGeneric+betaPodeltaGeneric*EXP(-betaGeneric*tblData[Day'# Generic])),"")</f>
        <v>3547.4917418313598</v>
      </c>
      <c r="CB93" s="106" t="str">
        <f ca="1">IF(AND(ISNUMBER(tblData[Generic]),tblData[Date]&gt;StartDt2Generic),(tblData[Generic LogiP(t)]-tblData[[#This Row],[Generic]])^2,"")</f>
        <v/>
      </c>
      <c r="CC93" s="11" t="str">
        <f ca="1">IF(AND(ISNUMBER(tblData[Generic]),tblData[Date]&gt;StartDt2Generic),tblData[Generic LogiP(t)]/$CA$9,"")</f>
        <v/>
      </c>
      <c r="CD93" s="106" t="str">
        <f ca="1">IF(AND(ISNUMBER(tblData[Generic]),tblData[Date]&gt;StartDt2Generic),(tblData[Generic]-AVERAGE(tblData[Generic]))^2,"")</f>
        <v/>
      </c>
      <c r="CE93" s="11">
        <f>tblData[[#This Row],[Date]]-Generic100dt+1</f>
        <v>78</v>
      </c>
      <c r="CF93" s="11"/>
      <c r="CG93" s="11"/>
      <c r="CH93" s="11" t="str">
        <f>IF(ISNUMBER(tblData[[#This Row],[Tests]]),tblData[[#This Row],[Tests]]-CF92,"")</f>
        <v/>
      </c>
      <c r="CI93" s="11" t="str">
        <f>IF(ISNUMBER(tblData[[#This Row],[NSW Under Investigation'']]),tblData[[#This Row],[NSW Under Investigation'']]-CG92,"")</f>
        <v/>
      </c>
      <c r="CJ93" s="11">
        <f>IF(tblData[[#This Row],[Date]]&gt;myData!TestsStart,tblData[[#This Row],[Date]]-myData!TestsStart,"")</f>
        <v>93</v>
      </c>
      <c r="CK93" s="11">
        <f>IF(AND(tblData[[#This Row],[NSW Test Day Number]]&gt;0,ISNUMBER(tblData[[#This Row],[NSW Test Day Number]])),betaTests/(deltaTests+betaPodeltaTests*EXP(-betaTests*tblData[[#This Row],[NSW Test Day Number]])),"")</f>
        <v>127232.0585034579</v>
      </c>
      <c r="CL93" s="11" t="str">
        <f>IF(tblData[Tests]&gt;0,(tblData[[#This Row],[Tests]]-tblData[[#This Row],[NSW Test Logi]])^2,"")</f>
        <v/>
      </c>
      <c r="CM93" s="106" t="str">
        <f>IF(AND(ISNUMBER(tblData[Tests]),tblData[Date]&gt;StartDt2Tests),(tblData[Tests]-AVERAGE(tblData[Tests]))^2,"")</f>
        <v/>
      </c>
      <c r="CN93" s="11" t="str">
        <f>IF(ISNUMBER(tblData[Tests]),tblData[Tests]/$CN$9/100,"")</f>
        <v/>
      </c>
      <c r="CO93" s="106">
        <f ca="1">IF(AND(tblData[[#This Row],[NSW Test Day Number]]&gt;0,ISNUMBER(tblData[[#This Row],[NSW Test Day Number]])),TestsLogestB*TestsLogestM^tblData[[#This Row],[NSW Test Day Number]],"")</f>
        <v>269549251.08121735</v>
      </c>
      <c r="CP93" s="11" t="str">
        <f>IF(AND(tblData[[#This Row],[NSW Test Day Number]]&gt;0,ISNUMBER(tblData[Tests])),(tblData[Tests]-tblData[[#This Row],[NSW Test Per Capita]])^2,"")</f>
        <v/>
      </c>
      <c r="CQ93" s="39">
        <f ca="1">IF(AND(tblData[Day '# NSW]&gt;0,ISNUMBER(tblData[[#This Row],[Day '# NSW]])),NSWLogestB*NSWLogestM^tblData[[#This Row],[Day '# NSW]]/$CR$9,"")</f>
        <v>1505134.5107982748</v>
      </c>
      <c r="CR93" s="39" t="str">
        <f ca="1">IF(AND(ISNUMBER(tblData[NSW]),tblData[Date]&gt;StartDt2NSW),(tblData[NSW]/$CR$9-tblData[[#This Row],[NSW Cases LogEst]])^2,"")</f>
        <v/>
      </c>
      <c r="CS93" s="106"/>
      <c r="CT93" s="11"/>
      <c r="CW93" s="25"/>
      <c r="CX93"/>
      <c r="DL93" s="25"/>
      <c r="DR93"/>
      <c r="DS93"/>
      <c r="DT93"/>
      <c r="DU93"/>
      <c r="DW93" s="25"/>
      <c r="DX93" s="25"/>
      <c r="EB93" s="25"/>
      <c r="EC93" s="25"/>
      <c r="ED93" s="25"/>
      <c r="EE93" s="25"/>
      <c r="EK93"/>
      <c r="EL93"/>
      <c r="EM93"/>
      <c r="EN93"/>
      <c r="EO93"/>
      <c r="EP93"/>
      <c r="EQ93"/>
      <c r="ER93"/>
      <c r="ES93" s="69"/>
      <c r="EU93" s="48" t="s">
        <v>209</v>
      </c>
      <c r="EV93" s="69">
        <v>43912.326689814814</v>
      </c>
      <c r="EW93" s="26">
        <v>43852</v>
      </c>
      <c r="EX93" s="26">
        <v>43870</v>
      </c>
      <c r="EY93" s="25">
        <v>3</v>
      </c>
      <c r="EZ93" s="48">
        <v>0.34769529183841918</v>
      </c>
      <c r="FA93" s="24">
        <v>9.0410268503126118E-7</v>
      </c>
      <c r="FB93" s="21">
        <v>1.7099861863491616E-2</v>
      </c>
      <c r="FC93" s="82">
        <v>384575.00192734954</v>
      </c>
      <c r="FD93" s="82">
        <v>373.46102354388694</v>
      </c>
      <c r="FE93" s="83">
        <v>20.333221353133922</v>
      </c>
      <c r="FF93" s="84">
        <v>9.0410268503126115E-4</v>
      </c>
      <c r="FG93" s="26">
        <v>43911</v>
      </c>
      <c r="FH93" s="48" t="s">
        <v>1070</v>
      </c>
      <c r="FI93" s="84"/>
      <c r="FJ93" s="84">
        <v>24148</v>
      </c>
      <c r="FK93" s="48" t="s">
        <v>1071</v>
      </c>
      <c r="FL93" s="26">
        <v>43911</v>
      </c>
      <c r="FM93" s="25">
        <v>42</v>
      </c>
      <c r="FN93" s="48" t="s">
        <v>1072</v>
      </c>
      <c r="FO93" s="48"/>
      <c r="FP93" s="48" t="s">
        <v>1073</v>
      </c>
      <c r="FQ93" s="48" t="s">
        <v>674</v>
      </c>
      <c r="FR93" s="48" t="s">
        <v>1074</v>
      </c>
      <c r="FS93" s="19">
        <v>733.47402499909595</v>
      </c>
      <c r="FT93" s="72">
        <v>43910</v>
      </c>
      <c r="FU93" s="25">
        <v>1</v>
      </c>
      <c r="FV93" s="142">
        <v>43910</v>
      </c>
      <c r="FW93" s="48">
        <v>2</v>
      </c>
      <c r="FY93" s="25"/>
      <c r="GE93" s="25"/>
      <c r="GF93" s="25"/>
      <c r="GG93" s="25"/>
      <c r="GH93" s="25"/>
      <c r="GI93" s="25"/>
      <c r="GJ93" s="25"/>
      <c r="GK93" s="25"/>
      <c r="GL93" s="25"/>
      <c r="GM93" s="25"/>
      <c r="GN93" s="25"/>
      <c r="GO93" s="25"/>
      <c r="GP93" s="25"/>
      <c r="GQ93" s="25"/>
      <c r="GR93" s="25"/>
      <c r="GS93" s="25"/>
      <c r="GT93" s="25"/>
      <c r="GU93" s="25"/>
      <c r="GV93" s="25"/>
      <c r="GW93" s="25"/>
      <c r="GX93" s="25"/>
      <c r="GY93" s="25"/>
      <c r="GZ93" s="25"/>
      <c r="HA93" s="25"/>
      <c r="HB93" s="25"/>
      <c r="HC93" s="25"/>
      <c r="HD93" s="25"/>
      <c r="HE93" s="25"/>
      <c r="HF93" s="25"/>
      <c r="HG93" s="25"/>
      <c r="HH93" s="25"/>
    </row>
    <row r="94" spans="2:217" x14ac:dyDescent="0.25">
      <c r="B94" s="26">
        <f t="shared" si="4"/>
        <v>43995</v>
      </c>
      <c r="D94" s="25"/>
      <c r="L94" s="12" t="str">
        <f>IF(ISNUMBER(tblData[[#This Row],[NSW]]),tblData[[#This Row],[New South Wales]]/$L$9,"")</f>
        <v/>
      </c>
      <c r="M94" s="25"/>
      <c r="N94" s="44" t="str">
        <f>IF(ISNUMBER(tblData[Italy]),tblData[Italy]/$N$9,"")</f>
        <v/>
      </c>
      <c r="O94" s="25"/>
      <c r="P94" s="106" t="str">
        <f>IF(ISNUMBER(tblData[US]),tblData[US]/$P$9,"")</f>
        <v/>
      </c>
      <c r="Q94" s="44"/>
      <c r="R94" s="19" t="str">
        <f>IF(ISNUMBER(tblData[SKorea]),tblData[SKorea]/$R$9,"")</f>
        <v/>
      </c>
      <c r="S94" s="44"/>
      <c r="T94" s="12" t="str">
        <f>IF(ISNUMBER(tblData[UK]),tblData[UK]/$T$9,"")</f>
        <v/>
      </c>
      <c r="U94" s="25"/>
      <c r="V94" s="20" t="str">
        <f>IF(ISNUMBER(tblData[China]),tblData[China]/$V$9,"")</f>
        <v/>
      </c>
      <c r="W94" s="20"/>
      <c r="X94" s="20" t="str">
        <f>IF(ISNUMBER(tblData[Singapore]),tblData[Singapore]/$X$9,"")</f>
        <v/>
      </c>
      <c r="Y94" s="20"/>
      <c r="Z94" s="20" t="str">
        <f>IF(AND(LEN(tblData[Generic])&gt;0,ISNUMBER(tblData[Generic])),tblData[Generic]/$Z$9,"")</f>
        <v/>
      </c>
      <c r="AA94" s="25">
        <f ca="1">IF(tblData[[#This Row],[Date]]&lt;StartDt2Italy,"",tblData[[#This Row],[Date]]-ItalyStart)</f>
        <v>135</v>
      </c>
      <c r="AB94" s="25">
        <f ca="1">IF(tblData[[#This Row],[Date]]&lt;=StartDt2US,"",tblData[[#This Row],[Date]]-USStart)</f>
        <v>143</v>
      </c>
      <c r="AC94" s="25">
        <f ca="1">IF(tblData[[#This Row],[Date]]&lt;StartDt2China,"",tblData[[#This Row],[Date]]-ChinaStart)</f>
        <v>143</v>
      </c>
      <c r="AD94" s="25">
        <f>IF(tblData[[#This Row],[Date]]&lt;=SKoreaStart,"",tblData[[#This Row],[Date]]-SKoreaStart)</f>
        <v>143</v>
      </c>
      <c r="AE94" s="25">
        <f ca="1">IF(tblData[[#This Row],[Date]]&lt;=StartDt2UK,"",tblData[[#This Row],[Date]]-UKStart)</f>
        <v>135</v>
      </c>
      <c r="AF94" s="25">
        <f>IF(tblData[[#This Row],[Date]]&lt;StartDt2Singapore,"",tblData[[#This Row],[Date]]-SingaporeStart)</f>
        <v>142</v>
      </c>
      <c r="AG94" s="25">
        <f ca="1">IF(tblData[[#This Row],[Date]]&lt;StartDt2Generic,"",tblData[[#This Row],[Date]]-GenericStart)</f>
        <v>143</v>
      </c>
      <c r="AH94">
        <f ca="1">IF(tblData[Date]&gt;StartDt2Au,tblData[Date]-AuStart,"")</f>
        <v>140</v>
      </c>
      <c r="AI94" s="25">
        <f>IF(tblData[New South Wales]&gt;=0,SUM(tblData[[#This Row],[Australian Capital Territory]:[Western Australia]]),"")</f>
        <v>0</v>
      </c>
      <c r="AJ94" s="12">
        <f>IF(ISNUMBER(tblData[Au]),tblData[Au]/$AE$9,"")</f>
        <v>0</v>
      </c>
      <c r="AK94" s="39">
        <f ca="1">IF(ISNUMBER(tblData[[#This Row],[Day'# Aust]]),betaAu/(deltaAu+betaPodeltaAu*EXP(-betaAu*tblData[[#This Row],[Day'# Aust]])),"")</f>
        <v>6179.670675186775</v>
      </c>
      <c r="AL94" s="63">
        <f ca="1">IF(ISNUMBER(tblData[Day'# Aust]),tblData[Au LogiP(t)]/$AJ$9,"")</f>
        <v>2436.3943680755301</v>
      </c>
      <c r="AM94" s="11" t="str">
        <f ca="1">IF(AND(tblData[Date]&gt;StartDt2Au,ISNUMBER(tblData[NSW])),(tblData[[#This Row],[Au LogiP(t)]]-tblData[[#This Row],[Au]])^2,"")</f>
        <v/>
      </c>
      <c r="AN94" s="11">
        <f ca="1">IF(AND(ISNUMBER(tblData[Au]),tblData[Date]&gt;StartDt2Au),(tblData[Au]-AVERAGE(tblData[Au]))^2,"")</f>
        <v>196564.33811020709</v>
      </c>
      <c r="AO94" s="11">
        <f>tblData[[#This Row],[Date]]-Au100dt</f>
        <v>91</v>
      </c>
      <c r="AP94">
        <f ca="1">IF(tblData[Date]&gt;StartDt2NSW,tblData[Date]-StartDt2NSW,"")</f>
        <v>140</v>
      </c>
      <c r="AQ94" s="25" t="str">
        <f>IF(tblData[[#This Row],[New South Wales]]&gt;0,tblData[[#This Row],[New South Wales]],"")</f>
        <v/>
      </c>
      <c r="AR94" s="11">
        <f ca="1">IF(tblData[Date]&gt;StartDt2NSW,betaNSW/(deltaNSW+betaPodeltaNSW*EXP(-betaNSW*tblData[[#This Row],[Day '# NSW]])),"")</f>
        <v>3000.2599376930921</v>
      </c>
      <c r="AS94" s="12" t="str">
        <f ca="1">IF(AND(ISNUMBER(tblData[NSW]),tblData[Date]&gt;StartDt2NSW),(tblData[[#This Row],[NSW LogiP(t)]]-tblData[[#This Row],[NSW]])^2,"")</f>
        <v/>
      </c>
      <c r="AT94" s="39">
        <f ca="1">IF(AND(tblData[Date]&gt;StartDt2NSW,ISNUMBER(tblData[Day'# Aust])),tblData[NSW LogiP(t)]/$AR$9,"")</f>
        <v>3713.1929921944206</v>
      </c>
      <c r="AU94" s="11">
        <f>tblData[[#This Row],[Date]]-NSW100dt+1</f>
        <v>95</v>
      </c>
      <c r="AV94" s="11" t="str">
        <f ca="1">IF(AND(ISNUMBER(tblData[NSW]),tblData[Date]&gt;StartDt2NSW),(tblData[NSW]-AVERAGE(tblData[NSW]))^2,"")</f>
        <v/>
      </c>
      <c r="AW94" s="39">
        <f ca="1">IF(AND(tblData[Date]&gt;StartDt2Italy,ISNUMBER(tblData[Days'# Italy])),betaItaly/(deltaItaly+betaPodeltaItaly*EXP(-betaItaly*tblData[Days'# Italy])),"")</f>
        <v>97269.773645252571</v>
      </c>
      <c r="AX94" s="11" t="str">
        <f ca="1">IF(AND(tblData[Date]&gt;StartDt2Italy,ISNUMBER(tblData[Italy])),(tblData[[#This Row],[Italy LogiP(t)]]-tblData[[#This Row],[Italy]])^2,"")</f>
        <v/>
      </c>
      <c r="AY94" s="39">
        <f ca="1">IF(AND(tblData[Date]&gt;StartDt2Italy,ISNUMBER(tblData[Days'# Italy])),tblData[[#This Row],[Italy LogiP(t)]]/$AW$9,"")</f>
        <v>16081.635718815009</v>
      </c>
      <c r="AZ94" s="39" t="str">
        <f ca="1">IF(AND(ISNUMBER(tblData[Italy]),tblData[Date]&gt;StartDt2Italy),(tblData[Italy]-AVERAGE(tblData[Italy]))^2,"")</f>
        <v/>
      </c>
      <c r="BA94" s="11">
        <f>tblData[[#This Row],[Date]]-Italy100dt+1</f>
        <v>108</v>
      </c>
      <c r="BB94" s="11">
        <f ca="1">IF(AND(tblData[Date]&gt;StartDt2US,ISNUMBER(tblData[[#This Row],[Days'# US]])),betaUS/(deltaUS+betaPodeltaUS*EXP(-betaUS*tblData[Days'# US])),"")</f>
        <v>633176.40057858068</v>
      </c>
      <c r="BC94" s="11" t="str">
        <f ca="1">IF(AND(tblData[Date]&gt;StartDt2US,ISNUMBER(tblData[US])),(tblData[[#This Row],[US LogiP(t)]]-tblData[US])^2,"")</f>
        <v/>
      </c>
      <c r="BD94" s="137">
        <f ca="1">IF(AND(tblData[Date]&gt;=StartDt2US,ISNUMBER(tblData[[#This Row],[Days'# US]])),tblData[[#This Row],[US LogiP(t)]]/$BB$9,"")</f>
        <v>19232.170078963536</v>
      </c>
      <c r="BE94" s="137" t="str">
        <f ca="1">IF(AND(ISNUMBER(tblData[US]),tblData[Date]&gt;StartDt2US),(tblData[US]-AVERAGE(tblData[US]))^2,"")</f>
        <v/>
      </c>
      <c r="BF94" s="11">
        <f>tblData[[#This Row],[Date]]-US100dt+1</f>
        <v>92</v>
      </c>
      <c r="BG94" s="20">
        <f ca="1">IF(tblData[Date]&gt;StartDt2SKorea,betaSKorea/(deltaSKorea+betaPodeltaSKorea*EXP(-betaSKorea*(tblData[Date]-StartDt2SKorea))),"")</f>
        <v>9037.334282903319</v>
      </c>
      <c r="BH94" s="20" t="str">
        <f ca="1">IF(AND(tblData[Date]&gt;StartDt2SKorea,ISNUMBER(tblData[SKorea])),(tblData[[#This Row],[SKorea LogiP(t)]]-tblData[[#This Row],[SKorea]])^2,"")</f>
        <v/>
      </c>
      <c r="BI94" s="20">
        <f ca="1">IF(tblData[Date]&gt;StartDt2SKorea,tblData[[#This Row],[SKorea LogiP(t)]]/$BG$9,"")</f>
        <v>1758.2362418099844</v>
      </c>
      <c r="BJ94" s="137" t="str">
        <f ca="1">IF(AND(ISNUMBER(tblData[SKorea]),tblData[Date]&gt;StartDt2SKorea),(tblData[SKorea]-AVERAGE(tblData[SKorea]))^2,"")</f>
        <v/>
      </c>
      <c r="BK94" s="11">
        <f>tblData[[#This Row],[Date]]-SKorea100dt+1</f>
        <v>113</v>
      </c>
      <c r="BL94" s="137">
        <f ca="1">IF(AND(tblData[Date]&gt;StartDt2UK,ISNUMBER(tblData[Days'# UK])),betaUK/(deltaUK+betaPodeltaUK*EXP(-betaUK*tblData[Days'# UK])),"")</f>
        <v>74551.82355736068</v>
      </c>
      <c r="BM94" s="71" t="str">
        <f ca="1">IF(AND(tblData[Date]&gt;StartDt2UK,ISNUMBER(tblData[UK])),(tblData[[#This Row],[UK LogiP(t)]]-tblData[[#This Row],[UK]])^2,"")</f>
        <v/>
      </c>
      <c r="BN94" s="71">
        <f ca="1">IF(ISNUMBER(tblData[Days'# UK]),tblData[[#This Row],[UK LogiP(t)]]/$BL$9,"")</f>
        <v>11220.924677507628</v>
      </c>
      <c r="BO94" s="137" t="str">
        <f ca="1">IF(AND(ISNUMBER(tblData[UK]),tblData[Date]&gt;StartDt2UK),(tblData[UK]-AVERAGE(tblData[UK]))^2,"")</f>
        <v/>
      </c>
      <c r="BP94" s="11">
        <f>tblData[[#This Row],[Date]]-UK100dt</f>
        <v>93</v>
      </c>
      <c r="BQ94" s="11">
        <f ca="1">IF(ISNUMBER(tblData[Days'# China]),betaChina/(deltaChina+betaPodeltaChina*EXP(-betaChina*tblData[Days'# China])),"")</f>
        <v>81223.95129704829</v>
      </c>
      <c r="BR94" s="11" t="str">
        <f>IF(ISNUMBER(tblData[China]),(tblData[[#This Row],[China LogiP(t)]]-tblData[[#This Row],[China]])^2,"")</f>
        <v/>
      </c>
      <c r="BS94" s="11">
        <f ca="1">tblData[[#This Row],[China LogiP(t)]]/$BQ$9</f>
        <v>564.32022211691924</v>
      </c>
      <c r="BT94" s="137" t="str">
        <f ca="1">IF(AND(ISNUMBER(tblData[China]),tblData[Date]&gt;StartDt2China),(tblData[China]-AVERAGE(tblData[China]))^2,"")</f>
        <v/>
      </c>
      <c r="BU94" s="11">
        <f>tblData[[#This Row],[Date]]-China100dt</f>
        <v>143</v>
      </c>
      <c r="BV94" s="106">
        <f>IF(ISNUMBER(tblData[Day'# Singapore]),betaSingapore/(deltaSingapore+betaPodeltaSingapore*EXP(-betaSingapore*tblData[Day'# Singapore])),"")</f>
        <v>100171.00602413023</v>
      </c>
      <c r="BW94" s="11" t="str">
        <f>IF(AND(ISNUMBER(tblData[Singapore]),tblData[Date]&gt;=StartDt2Singapore),(tblData[[#This Row],[Singapore LogiP(t)]]-tblData[[#This Row],[Singapore]])^2,"")</f>
        <v/>
      </c>
      <c r="BX94" s="106">
        <f>IF(ISNUMBER(tblData[Day'# Singapore]),tblData[Singapore LogiP(t)]/$BV$9,"")</f>
        <v>171232.48893013716</v>
      </c>
      <c r="BY94" s="106" t="str">
        <f>IF(AND(ISNUMBER(tblData[Singapore]),tblData[Date]&gt;StartDt2Singapore),(tblData[Singapore]-AVERAGE(tblData[Singapore]))^2,"")</f>
        <v/>
      </c>
      <c r="BZ94" s="11">
        <f>tblData[[#This Row],[Date]]-Singapore100dt+1</f>
        <v>124</v>
      </c>
      <c r="CA94" s="11">
        <f ca="1">IF(AND(tblData[Date]&gt;StartDt2Generic,ISNUMBER(tblData[Day'# Generic])),betaGeneric/(deltaGeneric+betaPodeltaGeneric*EXP(-betaGeneric*tblData[Day'# Generic])),"")</f>
        <v>3547.5138896015828</v>
      </c>
      <c r="CB94" s="106" t="str">
        <f ca="1">IF(AND(ISNUMBER(tblData[Generic]),tblData[Date]&gt;StartDt2Generic),(tblData[Generic LogiP(t)]-tblData[[#This Row],[Generic]])^2,"")</f>
        <v/>
      </c>
      <c r="CC94" s="11" t="str">
        <f ca="1">IF(AND(ISNUMBER(tblData[Generic]),tblData[Date]&gt;StartDt2Generic),tblData[Generic LogiP(t)]/$CA$9,"")</f>
        <v/>
      </c>
      <c r="CD94" s="106" t="str">
        <f ca="1">IF(AND(ISNUMBER(tblData[Generic]),tblData[Date]&gt;StartDt2Generic),(tblData[Generic]-AVERAGE(tblData[Generic]))^2,"")</f>
        <v/>
      </c>
      <c r="CE94" s="11">
        <f>tblData[[#This Row],[Date]]-Generic100dt+1</f>
        <v>85</v>
      </c>
      <c r="CF94" s="11"/>
      <c r="CG94" s="11"/>
      <c r="CH94" s="11" t="str">
        <f>IF(ISNUMBER(tblData[[#This Row],[Tests]]),tblData[[#This Row],[Tests]]-CF93,"")</f>
        <v/>
      </c>
      <c r="CI94" s="11" t="str">
        <f>IF(ISNUMBER(tblData[[#This Row],[NSW Under Investigation'']]),tblData[[#This Row],[NSW Under Investigation'']]-CG93,"")</f>
        <v/>
      </c>
      <c r="CJ94" s="11">
        <f>IF(tblData[[#This Row],[Date]]&gt;myData!TestsStart,tblData[[#This Row],[Date]]-myData!TestsStart,"")</f>
        <v>100</v>
      </c>
      <c r="CK94" s="11">
        <f>IF(AND(tblData[[#This Row],[NSW Test Day Number]]&gt;0,ISNUMBER(tblData[[#This Row],[NSW Test Day Number]])),betaTests/(deltaTests+betaPodeltaTests*EXP(-betaTests*tblData[[#This Row],[NSW Test Day Number]])),"")</f>
        <v>127232.25698158628</v>
      </c>
      <c r="CL94" s="11" t="str">
        <f>IF(tblData[Tests]&gt;0,(tblData[[#This Row],[Tests]]-tblData[[#This Row],[NSW Test Logi]])^2,"")</f>
        <v/>
      </c>
      <c r="CM94" s="106" t="str">
        <f>IF(AND(ISNUMBER(tblData[Tests]),tblData[Date]&gt;StartDt2Tests),(tblData[Tests]-AVERAGE(tblData[Tests]))^2,"")</f>
        <v/>
      </c>
      <c r="CN94" s="11" t="str">
        <f>IF(ISNUMBER(tblData[Tests]),tblData[Tests]/$CN$9/100,"")</f>
        <v/>
      </c>
      <c r="CO94" s="106">
        <f ca="1">IF(AND(tblData[[#This Row],[NSW Test Day Number]]&gt;0,ISNUMBER(tblData[[#This Row],[NSW Test Day Number]])),TestsLogestB*TestsLogestM^tblData[[#This Row],[NSW Test Day Number]],"")</f>
        <v>603525352.41203427</v>
      </c>
      <c r="CP94" s="11" t="str">
        <f>IF(AND(tblData[[#This Row],[NSW Test Day Number]]&gt;0,ISNUMBER(tblData[Tests])),(tblData[Tests]-tblData[[#This Row],[NSW Test Per Capita]])^2,"")</f>
        <v/>
      </c>
      <c r="CQ94" s="39">
        <f ca="1">IF(AND(tblData[Day '# NSW]&gt;0,ISNUMBER(tblData[[#This Row],[Day '# NSW]])),NSWLogestB*NSWLogestM^tblData[[#This Row],[Day '# NSW]]/$CR$9,"")</f>
        <v>3183277.4865864976</v>
      </c>
      <c r="CR94" s="39" t="str">
        <f ca="1">IF(AND(ISNUMBER(tblData[NSW]),tblData[Date]&gt;StartDt2NSW),(tblData[NSW]/$CR$9-tblData[[#This Row],[NSW Cases LogEst]])^2,"")</f>
        <v/>
      </c>
      <c r="CS94" s="106"/>
      <c r="CT94" s="11"/>
      <c r="CW94" s="25"/>
      <c r="CX94"/>
      <c r="DL94" s="25"/>
      <c r="DR94"/>
      <c r="DS94"/>
      <c r="DT94"/>
      <c r="DU94"/>
      <c r="DW94" s="25"/>
      <c r="DX94" s="25"/>
      <c r="EB94" s="25"/>
      <c r="EC94" s="25"/>
      <c r="ED94" s="25"/>
      <c r="EE94" s="25"/>
      <c r="EK94"/>
      <c r="EL94"/>
      <c r="EM94"/>
      <c r="EN94"/>
      <c r="EO94"/>
      <c r="EP94"/>
      <c r="EQ94"/>
      <c r="ER94"/>
      <c r="ES94" s="69"/>
      <c r="EU94" s="25" t="s">
        <v>209</v>
      </c>
      <c r="EV94" s="69">
        <v>43912.588553240741</v>
      </c>
      <c r="EW94" s="26">
        <v>43852</v>
      </c>
      <c r="EX94" s="26">
        <v>43870</v>
      </c>
      <c r="EY94" s="25">
        <v>3</v>
      </c>
      <c r="EZ94" s="25">
        <v>0.33723338075349552</v>
      </c>
      <c r="FA94" s="24">
        <v>1.0000000000011339E-10</v>
      </c>
      <c r="FB94" s="21">
        <v>2.5463658145862197E-2</v>
      </c>
      <c r="FC94" s="82">
        <v>3372333807.5311313</v>
      </c>
      <c r="FD94" s="82">
        <v>322.06292198936342</v>
      </c>
      <c r="FE94" s="83">
        <v>13.243713013236043</v>
      </c>
      <c r="FF94" s="84">
        <v>1.0000000000011339E-7</v>
      </c>
      <c r="FG94" s="26">
        <v>43911</v>
      </c>
      <c r="FH94" s="25" t="s">
        <v>1100</v>
      </c>
      <c r="FI94" s="84"/>
      <c r="FJ94" s="84">
        <v>25489</v>
      </c>
      <c r="FK94" s="25" t="s">
        <v>1101</v>
      </c>
      <c r="FL94" s="26">
        <v>43911</v>
      </c>
      <c r="FM94" s="25">
        <v>42</v>
      </c>
      <c r="FN94" s="25" t="s">
        <v>1102</v>
      </c>
      <c r="FO94"/>
      <c r="FP94" s="25" t="s">
        <v>1103</v>
      </c>
      <c r="FQ94" s="25" t="s">
        <v>674</v>
      </c>
      <c r="FR94" s="25" t="s">
        <v>1104</v>
      </c>
      <c r="FS94" s="19">
        <v>774.20570743755002</v>
      </c>
      <c r="FT94" s="72">
        <v>43911</v>
      </c>
      <c r="FU94" s="25">
        <v>1</v>
      </c>
      <c r="FV94" s="142">
        <v>43910</v>
      </c>
      <c r="FW94" s="25">
        <v>2</v>
      </c>
      <c r="FY94" s="25"/>
      <c r="GE94" s="25"/>
      <c r="GF94" s="25"/>
      <c r="GG94" s="25"/>
      <c r="GH94" s="25"/>
      <c r="GI94" s="25"/>
      <c r="GJ94" s="25"/>
      <c r="GK94" s="25"/>
      <c r="GL94" s="25"/>
      <c r="GM94" s="25"/>
      <c r="GN94" s="25"/>
      <c r="GO94" s="25"/>
      <c r="GP94" s="25"/>
      <c r="GQ94" s="25"/>
      <c r="GR94" s="25"/>
      <c r="GS94" s="25"/>
      <c r="GT94" s="25"/>
      <c r="GU94" s="25"/>
      <c r="GV94" s="25"/>
      <c r="GW94" s="25"/>
      <c r="GX94" s="25"/>
      <c r="GY94" s="25"/>
      <c r="GZ94" s="25"/>
      <c r="HA94" s="25"/>
      <c r="HB94" s="25"/>
      <c r="HC94" s="25"/>
      <c r="HD94" s="25"/>
      <c r="HE94" s="25"/>
      <c r="HF94" s="25"/>
      <c r="HG94" s="25"/>
      <c r="HH94" s="25"/>
      <c r="HI94" s="25"/>
    </row>
    <row r="95" spans="2:217" x14ac:dyDescent="0.25">
      <c r="B95" s="26">
        <f t="shared" si="4"/>
        <v>44002</v>
      </c>
      <c r="D95" s="25"/>
      <c r="L95" s="12" t="str">
        <f>IF(ISNUMBER(tblData[[#This Row],[NSW]]),tblData[[#This Row],[New South Wales]]/$L$9,"")</f>
        <v/>
      </c>
      <c r="M95" s="25"/>
      <c r="N95" s="44" t="str">
        <f>IF(ISNUMBER(tblData[Italy]),tblData[Italy]/$N$9,"")</f>
        <v/>
      </c>
      <c r="O95" s="25"/>
      <c r="P95" s="106" t="str">
        <f>IF(ISNUMBER(tblData[US]),tblData[US]/$P$9,"")</f>
        <v/>
      </c>
      <c r="Q95" s="44"/>
      <c r="R95" s="19" t="str">
        <f>IF(ISNUMBER(tblData[SKorea]),tblData[SKorea]/$R$9,"")</f>
        <v/>
      </c>
      <c r="S95" s="44"/>
      <c r="T95" s="12" t="str">
        <f>IF(ISNUMBER(tblData[UK]),tblData[UK]/$T$9,"")</f>
        <v/>
      </c>
      <c r="U95" s="25"/>
      <c r="V95" s="20" t="str">
        <f>IF(ISNUMBER(tblData[China]),tblData[China]/$V$9,"")</f>
        <v/>
      </c>
      <c r="W95" s="20"/>
      <c r="X95" s="20" t="str">
        <f>IF(ISNUMBER(tblData[Singapore]),tblData[Singapore]/$X$9,"")</f>
        <v/>
      </c>
      <c r="Y95" s="20"/>
      <c r="Z95" s="20" t="str">
        <f>IF(AND(LEN(tblData[Generic])&gt;0,ISNUMBER(tblData[Generic])),tblData[Generic]/$Z$9,"")</f>
        <v/>
      </c>
      <c r="AA95" s="25">
        <f ca="1">IF(tblData[[#This Row],[Date]]&lt;StartDt2Italy,"",tblData[[#This Row],[Date]]-ItalyStart)</f>
        <v>142</v>
      </c>
      <c r="AB95" s="25">
        <f ca="1">IF(tblData[[#This Row],[Date]]&lt;=StartDt2US,"",tblData[[#This Row],[Date]]-USStart)</f>
        <v>150</v>
      </c>
      <c r="AC95" s="25">
        <f ca="1">IF(tblData[[#This Row],[Date]]&lt;StartDt2China,"",tblData[[#This Row],[Date]]-ChinaStart)</f>
        <v>150</v>
      </c>
      <c r="AD95" s="25">
        <f>IF(tblData[[#This Row],[Date]]&lt;=SKoreaStart,"",tblData[[#This Row],[Date]]-SKoreaStart)</f>
        <v>150</v>
      </c>
      <c r="AE95" s="25">
        <f ca="1">IF(tblData[[#This Row],[Date]]&lt;=StartDt2UK,"",tblData[[#This Row],[Date]]-UKStart)</f>
        <v>142</v>
      </c>
      <c r="AF95" s="25">
        <f>IF(tblData[[#This Row],[Date]]&lt;StartDt2Singapore,"",tblData[[#This Row],[Date]]-SingaporeStart)</f>
        <v>149</v>
      </c>
      <c r="AG95" s="25">
        <f ca="1">IF(tblData[[#This Row],[Date]]&lt;StartDt2Generic,"",tblData[[#This Row],[Date]]-GenericStart)</f>
        <v>150</v>
      </c>
      <c r="AH95">
        <f ca="1">IF(tblData[Date]&gt;StartDt2Au,tblData[Date]-AuStart,"")</f>
        <v>147</v>
      </c>
      <c r="AI95" s="25">
        <f>IF(tblData[New South Wales]&gt;=0,SUM(tblData[[#This Row],[Australian Capital Territory]:[Western Australia]]),"")</f>
        <v>0</v>
      </c>
      <c r="AJ95" s="12">
        <f>IF(ISNUMBER(tblData[Au]),tblData[Au]/$AE$9,"")</f>
        <v>0</v>
      </c>
      <c r="AK95" s="39">
        <f ca="1">IF(ISNUMBER(tblData[[#This Row],[Day'# Aust]]),betaAu/(deltaAu+betaPodeltaAu*EXP(-betaAu*tblData[[#This Row],[Day'# Aust]])),"")</f>
        <v>6179.6706881681293</v>
      </c>
      <c r="AL95" s="63">
        <f ca="1">IF(ISNUMBER(tblData[Day'# Aust]),tblData[Au LogiP(t)]/$AJ$9,"")</f>
        <v>2436.3943731935537</v>
      </c>
      <c r="AM95" s="11" t="str">
        <f ca="1">IF(AND(tblData[Date]&gt;StartDt2Au,ISNUMBER(tblData[NSW])),(tblData[[#This Row],[Au LogiP(t)]]-tblData[[#This Row],[Au]])^2,"")</f>
        <v/>
      </c>
      <c r="AN95" s="11">
        <f ca="1">IF(AND(ISNUMBER(tblData[Au]),tblData[Date]&gt;StartDt2Au),(tblData[Au]-AVERAGE(tblData[Au]))^2,"")</f>
        <v>196564.33811020709</v>
      </c>
      <c r="AO95" s="11">
        <f>tblData[[#This Row],[Date]]-Au100dt</f>
        <v>98</v>
      </c>
      <c r="AP95">
        <f ca="1">IF(tblData[Date]&gt;StartDt2NSW,tblData[Date]-StartDt2NSW,"")</f>
        <v>147</v>
      </c>
      <c r="AQ95" s="25" t="str">
        <f>IF(tblData[[#This Row],[New South Wales]]&gt;0,tblData[[#This Row],[New South Wales]],"")</f>
        <v/>
      </c>
      <c r="AR95" s="11">
        <f ca="1">IF(tblData[Date]&gt;StartDt2NSW,betaNSW/(deltaNSW+betaPodeltaNSW*EXP(-betaNSW*tblData[[#This Row],[Day '# NSW]])),"")</f>
        <v>3000.2599630829695</v>
      </c>
      <c r="AS95" s="12" t="str">
        <f ca="1">IF(AND(ISNUMBER(tblData[NSW]),tblData[Date]&gt;StartDt2NSW),(tblData[[#This Row],[NSW LogiP(t)]]-tblData[[#This Row],[NSW]])^2,"")</f>
        <v/>
      </c>
      <c r="AT95" s="39">
        <f ca="1">IF(AND(tblData[Date]&gt;StartDt2NSW,ISNUMBER(tblData[Day'# Aust])),tblData[NSW LogiP(t)]/$AR$9,"")</f>
        <v>3713.1930236175363</v>
      </c>
      <c r="AU95" s="11">
        <f>tblData[[#This Row],[Date]]-NSW100dt+1</f>
        <v>102</v>
      </c>
      <c r="AV95" s="11" t="str">
        <f ca="1">IF(AND(ISNUMBER(tblData[NSW]),tblData[Date]&gt;StartDt2NSW),(tblData[NSW]-AVERAGE(tblData[NSW]))^2,"")</f>
        <v/>
      </c>
      <c r="AW95" s="39">
        <f ca="1">IF(AND(tblData[Date]&gt;StartDt2Italy,ISNUMBER(tblData[Days'# Italy])),betaItaly/(deltaItaly+betaPodeltaItaly*EXP(-betaItaly*tblData[Days'# Italy])),"")</f>
        <v>97269.773661253494</v>
      </c>
      <c r="AX95" s="11" t="str">
        <f ca="1">IF(AND(tblData[Date]&gt;StartDt2Italy,ISNUMBER(tblData[Italy])),(tblData[[#This Row],[Italy LogiP(t)]]-tblData[[#This Row],[Italy]])^2,"")</f>
        <v/>
      </c>
      <c r="AY95" s="39">
        <f ca="1">IF(AND(tblData[Date]&gt;StartDt2Italy,ISNUMBER(tblData[Days'# Italy])),tblData[[#This Row],[Italy LogiP(t)]]/$AW$9,"")</f>
        <v>16081.635721460445</v>
      </c>
      <c r="AZ95" s="39" t="str">
        <f ca="1">IF(AND(ISNUMBER(tblData[Italy]),tblData[Date]&gt;StartDt2Italy),(tblData[Italy]-AVERAGE(tblData[Italy]))^2,"")</f>
        <v/>
      </c>
      <c r="BA95" s="11">
        <f>tblData[[#This Row],[Date]]-Italy100dt+1</f>
        <v>115</v>
      </c>
      <c r="BB95" s="11">
        <f ca="1">IF(AND(tblData[Date]&gt;StartDt2US,ISNUMBER(tblData[[#This Row],[Days'# US]])),betaUS/(deltaUS+betaPodeltaUS*EXP(-betaUS*tblData[Days'# US])),"")</f>
        <v>633176.40140221454</v>
      </c>
      <c r="BC95" s="11" t="str">
        <f ca="1">IF(AND(tblData[Date]&gt;StartDt2US,ISNUMBER(tblData[US])),(tblData[[#This Row],[US LogiP(t)]]-tblData[US])^2,"")</f>
        <v/>
      </c>
      <c r="BD95" s="137">
        <f ca="1">IF(AND(tblData[Date]&gt;=StartDt2US,ISNUMBER(tblData[[#This Row],[Days'# US]])),tblData[[#This Row],[US LogiP(t)]]/$BB$9,"")</f>
        <v>19232.170103980683</v>
      </c>
      <c r="BE95" s="137" t="str">
        <f ca="1">IF(AND(ISNUMBER(tblData[US]),tblData[Date]&gt;StartDt2US),(tblData[US]-AVERAGE(tblData[US]))^2,"")</f>
        <v/>
      </c>
      <c r="BF95" s="11">
        <f>tblData[[#This Row],[Date]]-US100dt+1</f>
        <v>99</v>
      </c>
      <c r="BG95" s="20">
        <f ca="1">IF(tblData[Date]&gt;StartDt2SKorea,betaSKorea/(deltaSKorea+betaPodeltaSKorea*EXP(-betaSKorea*(tblData[Date]-StartDt2SKorea))),"")</f>
        <v>9037.3342829217836</v>
      </c>
      <c r="BH95" s="20" t="str">
        <f ca="1">IF(AND(tblData[Date]&gt;StartDt2SKorea,ISNUMBER(tblData[SKorea])),(tblData[[#This Row],[SKorea LogiP(t)]]-tblData[[#This Row],[SKorea]])^2,"")</f>
        <v/>
      </c>
      <c r="BI95" s="20">
        <f ca="1">IF(tblData[Date]&gt;StartDt2SKorea,tblData[[#This Row],[SKorea LogiP(t)]]/$BG$9,"")</f>
        <v>1758.2362418135767</v>
      </c>
      <c r="BJ95" s="137" t="str">
        <f ca="1">IF(AND(ISNUMBER(tblData[SKorea]),tblData[Date]&gt;StartDt2SKorea),(tblData[SKorea]-AVERAGE(tblData[SKorea]))^2,"")</f>
        <v/>
      </c>
      <c r="BK95" s="11">
        <f>tblData[[#This Row],[Date]]-SKorea100dt+1</f>
        <v>120</v>
      </c>
      <c r="BL95" s="137">
        <f ca="1">IF(AND(tblData[Date]&gt;StartDt2UK,ISNUMBER(tblData[Days'# UK])),betaUK/(deltaUK+betaPodeltaUK*EXP(-betaUK*tblData[Days'# UK])),"")</f>
        <v>74551.838099720553</v>
      </c>
      <c r="BM95" s="71" t="str">
        <f ca="1">IF(AND(tblData[Date]&gt;StartDt2UK,ISNUMBER(tblData[UK])),(tblData[[#This Row],[UK LogiP(t)]]-tblData[[#This Row],[UK]])^2,"")</f>
        <v/>
      </c>
      <c r="BN95" s="71">
        <f ca="1">IF(ISNUMBER(tblData[Days'# UK]),tblData[[#This Row],[UK LogiP(t)]]/$BL$9,"")</f>
        <v>11220.926866303515</v>
      </c>
      <c r="BO95" s="137" t="str">
        <f ca="1">IF(AND(ISNUMBER(tblData[UK]),tblData[Date]&gt;StartDt2UK),(tblData[UK]-AVERAGE(tblData[UK]))^2,"")</f>
        <v/>
      </c>
      <c r="BP95" s="11">
        <f>tblData[[#This Row],[Date]]-UK100dt</f>
        <v>100</v>
      </c>
      <c r="BQ95" s="11">
        <f ca="1">IF(ISNUMBER(tblData[Days'# China]),betaChina/(deltaChina+betaPodeltaChina*EXP(-betaChina*tblData[Days'# China])),"")</f>
        <v>81223.95129711082</v>
      </c>
      <c r="BR95" s="11" t="str">
        <f>IF(ISNUMBER(tblData[China]),(tblData[[#This Row],[China LogiP(t)]]-tblData[[#This Row],[China]])^2,"")</f>
        <v/>
      </c>
      <c r="BS95" s="11">
        <f ca="1">tblData[[#This Row],[China LogiP(t)]]/$BQ$9</f>
        <v>564.32022211735364</v>
      </c>
      <c r="BT95" s="137" t="str">
        <f ca="1">IF(AND(ISNUMBER(tblData[China]),tblData[Date]&gt;StartDt2China),(tblData[China]-AVERAGE(tblData[China]))^2,"")</f>
        <v/>
      </c>
      <c r="BU95" s="11">
        <f>tblData[[#This Row],[Date]]-China100dt</f>
        <v>150</v>
      </c>
      <c r="BV95" s="106">
        <f>IF(ISNUMBER(tblData[Day'# Singapore]),betaSingapore/(deltaSingapore+betaPodeltaSingapore*EXP(-betaSingapore*tblData[Day'# Singapore])),"")</f>
        <v>114230.27296171275</v>
      </c>
      <c r="BW95" s="11" t="str">
        <f>IF(AND(ISNUMBER(tblData[Singapore]),tblData[Date]&gt;=StartDt2Singapore),(tblData[[#This Row],[Singapore LogiP(t)]]-tblData[[#This Row],[Singapore]])^2,"")</f>
        <v/>
      </c>
      <c r="BX95" s="106">
        <f>IF(ISNUMBER(tblData[Day'# Singapore]),tblData[Singapore LogiP(t)]/$BV$9,"")</f>
        <v>195265.42386617564</v>
      </c>
      <c r="BY95" s="106" t="str">
        <f>IF(AND(ISNUMBER(tblData[Singapore]),tblData[Date]&gt;StartDt2Singapore),(tblData[Singapore]-AVERAGE(tblData[Singapore]))^2,"")</f>
        <v/>
      </c>
      <c r="BZ95" s="11">
        <f>tblData[[#This Row],[Date]]-Singapore100dt+1</f>
        <v>131</v>
      </c>
      <c r="CA95" s="11">
        <f ca="1">IF(AND(tblData[Date]&gt;StartDt2Generic,ISNUMBER(tblData[Day'# Generic])),betaGeneric/(deltaGeneric+betaPodeltaGeneric*EXP(-betaGeneric*tblData[Day'# Generic])),"")</f>
        <v>3547.5194719034698</v>
      </c>
      <c r="CB95" s="106" t="str">
        <f ca="1">IF(AND(ISNUMBER(tblData[Generic]),tblData[Date]&gt;StartDt2Generic),(tblData[Generic LogiP(t)]-tblData[[#This Row],[Generic]])^2,"")</f>
        <v/>
      </c>
      <c r="CC95" s="11" t="str">
        <f ca="1">IF(AND(ISNUMBER(tblData[Generic]),tblData[Date]&gt;StartDt2Generic),tblData[Generic LogiP(t)]/$CA$9,"")</f>
        <v/>
      </c>
      <c r="CD95" s="106" t="str">
        <f ca="1">IF(AND(ISNUMBER(tblData[Generic]),tblData[Date]&gt;StartDt2Generic),(tblData[Generic]-AVERAGE(tblData[Generic]))^2,"")</f>
        <v/>
      </c>
      <c r="CE95" s="11">
        <f>tblData[[#This Row],[Date]]-Generic100dt+1</f>
        <v>92</v>
      </c>
      <c r="CF95" s="11"/>
      <c r="CG95" s="11"/>
      <c r="CH95" s="11" t="str">
        <f>IF(ISNUMBER(tblData[[#This Row],[Tests]]),tblData[[#This Row],[Tests]]-CF94,"")</f>
        <v/>
      </c>
      <c r="CI95" s="11" t="str">
        <f>IF(ISNUMBER(tblData[[#This Row],[NSW Under Investigation'']]),tblData[[#This Row],[NSW Under Investigation'']]-CG94,"")</f>
        <v/>
      </c>
      <c r="CJ95" s="11">
        <f>IF(tblData[[#This Row],[Date]]&gt;myData!TestsStart,tblData[[#This Row],[Date]]-myData!TestsStart,"")</f>
        <v>107</v>
      </c>
      <c r="CK95" s="11">
        <f>IF(AND(tblData[[#This Row],[NSW Test Day Number]]&gt;0,ISNUMBER(tblData[[#This Row],[NSW Test Day Number]])),betaTests/(deltaTests+betaPodeltaTests*EXP(-betaTests*tblData[[#This Row],[NSW Test Day Number]])),"")</f>
        <v>127232.3148246316</v>
      </c>
      <c r="CL95" s="11" t="str">
        <f>IF(tblData[Tests]&gt;0,(tblData[[#This Row],[Tests]]-tblData[[#This Row],[NSW Test Logi]])^2,"")</f>
        <v/>
      </c>
      <c r="CM95" s="106" t="str">
        <f>IF(AND(ISNUMBER(tblData[Tests]),tblData[Date]&gt;StartDt2Tests),(tblData[Tests]-AVERAGE(tblData[Tests]))^2,"")</f>
        <v/>
      </c>
      <c r="CN95" s="11" t="str">
        <f>IF(ISNUMBER(tblData[Tests]),tblData[Tests]/$CN$9/100,"")</f>
        <v/>
      </c>
      <c r="CO95" s="106">
        <f ca="1">IF(AND(tblData[[#This Row],[NSW Test Day Number]]&gt;0,ISNUMBER(tblData[[#This Row],[NSW Test Day Number]])),TestsLogestB*TestsLogestM^tblData[[#This Row],[NSW Test Day Number]],"")</f>
        <v>1351303517.049361</v>
      </c>
      <c r="CP95" s="11" t="str">
        <f>IF(AND(tblData[[#This Row],[NSW Test Day Number]]&gt;0,ISNUMBER(tblData[Tests])),(tblData[Tests]-tblData[[#This Row],[NSW Test Per Capita]])^2,"")</f>
        <v/>
      </c>
      <c r="CQ95" s="39">
        <f ca="1">IF(AND(tblData[Day '# NSW]&gt;0,ISNUMBER(tblData[[#This Row],[Day '# NSW]])),NSWLogestB*NSWLogestM^tblData[[#This Row],[Day '# NSW]]/$CR$9,"")</f>
        <v>6732458.4506630553</v>
      </c>
      <c r="CR95" s="39" t="str">
        <f ca="1">IF(AND(ISNUMBER(tblData[NSW]),tblData[Date]&gt;StartDt2NSW),(tblData[NSW]/$CR$9-tblData[[#This Row],[NSW Cases LogEst]])^2,"")</f>
        <v/>
      </c>
      <c r="CS95" s="106"/>
      <c r="CT95" s="11"/>
      <c r="CW95" s="25"/>
      <c r="CX95"/>
      <c r="DL95" s="25"/>
      <c r="DR95"/>
      <c r="DS95"/>
      <c r="DT95"/>
      <c r="DU95"/>
      <c r="DW95" s="25"/>
      <c r="DX95" s="25"/>
      <c r="EB95" s="25"/>
      <c r="EC95" s="25"/>
      <c r="ED95" s="25"/>
      <c r="EE95" s="25"/>
      <c r="EK95"/>
      <c r="EL95"/>
      <c r="EM95"/>
      <c r="EN95"/>
      <c r="EO95"/>
      <c r="EP95"/>
      <c r="EQ95"/>
      <c r="ER95"/>
      <c r="ES95" s="69"/>
      <c r="EU95" s="25" t="s">
        <v>209</v>
      </c>
      <c r="EV95" s="69">
        <v>43912.873854166668</v>
      </c>
      <c r="EW95" s="26">
        <v>43852</v>
      </c>
      <c r="EX95" s="26">
        <v>43870</v>
      </c>
      <c r="EY95" s="25">
        <v>3</v>
      </c>
      <c r="EZ95" s="25">
        <v>0.33723338069623404</v>
      </c>
      <c r="FA95" s="24">
        <v>9.9999999999795755E-11</v>
      </c>
      <c r="FB95" s="21">
        <v>2.5463658145686113E-2</v>
      </c>
      <c r="FC95" s="82">
        <v>3372333806.9692283</v>
      </c>
      <c r="FD95" s="82">
        <v>322.06292198158718</v>
      </c>
      <c r="FE95" s="83">
        <v>13.243713011078873</v>
      </c>
      <c r="FF95" s="84">
        <v>9.9999999999795755E-8</v>
      </c>
      <c r="FG95" s="26">
        <v>43911</v>
      </c>
      <c r="FH95" s="25" t="s">
        <v>1100</v>
      </c>
      <c r="FI95" s="84">
        <v>3372333806.9692283</v>
      </c>
      <c r="FJ95" s="84">
        <v>25489</v>
      </c>
      <c r="FK95" s="25" t="s">
        <v>1101</v>
      </c>
      <c r="FL95" s="26">
        <v>43911</v>
      </c>
      <c r="FM95" s="25">
        <v>42</v>
      </c>
      <c r="FN95" s="25" t="s">
        <v>1120</v>
      </c>
      <c r="FO95"/>
      <c r="FP95" t="s">
        <v>1103</v>
      </c>
      <c r="FR95" s="25" t="s">
        <v>1121</v>
      </c>
      <c r="FS95" s="19">
        <v>774.20570743755002</v>
      </c>
      <c r="FT95" s="72">
        <v>43911</v>
      </c>
      <c r="FU95" s="25">
        <v>1</v>
      </c>
      <c r="FV95" s="142">
        <v>43910</v>
      </c>
      <c r="FW95" s="25">
        <v>2</v>
      </c>
      <c r="FY95" s="25"/>
      <c r="GK95" s="25"/>
      <c r="GL95" s="25"/>
      <c r="GM95" s="25"/>
      <c r="GN95" s="25"/>
      <c r="GO95" s="25"/>
      <c r="GP95" s="25"/>
      <c r="GQ95" s="25"/>
      <c r="GR95" s="25"/>
      <c r="GS95" s="25"/>
      <c r="GT95" s="25"/>
      <c r="GU95" s="25"/>
      <c r="GV95" s="25"/>
      <c r="GW95" s="25"/>
      <c r="GX95" s="25"/>
      <c r="GY95" s="25"/>
      <c r="GZ95" s="25"/>
      <c r="HA95" s="25"/>
      <c r="HB95" s="25"/>
      <c r="HC95" s="25"/>
      <c r="HD95" s="25"/>
      <c r="HE95" s="25"/>
      <c r="HF95" s="25"/>
      <c r="HG95" s="25"/>
      <c r="HH95" s="25"/>
    </row>
    <row r="96" spans="2:217" x14ac:dyDescent="0.25">
      <c r="B96" s="26">
        <f t="shared" si="4"/>
        <v>44009</v>
      </c>
      <c r="D96" s="25"/>
      <c r="L96" s="12" t="str">
        <f>IF(ISNUMBER(tblData[[#This Row],[NSW]]),tblData[[#This Row],[New South Wales]]/$L$9,"")</f>
        <v/>
      </c>
      <c r="M96" s="25"/>
      <c r="N96" s="44" t="str">
        <f>IF(ISNUMBER(tblData[Italy]),tblData[Italy]/$N$9,"")</f>
        <v/>
      </c>
      <c r="O96" s="25"/>
      <c r="P96" s="106" t="str">
        <f>IF(ISNUMBER(tblData[US]),tblData[US]/$P$9,"")</f>
        <v/>
      </c>
      <c r="Q96" s="44"/>
      <c r="R96" s="19" t="str">
        <f>IF(ISNUMBER(tblData[SKorea]),tblData[SKorea]/$R$9,"")</f>
        <v/>
      </c>
      <c r="S96" s="44"/>
      <c r="T96" s="12" t="str">
        <f>IF(ISNUMBER(tblData[UK]),tblData[UK]/$T$9,"")</f>
        <v/>
      </c>
      <c r="U96" s="25"/>
      <c r="V96" s="20" t="str">
        <f>IF(ISNUMBER(tblData[China]),tblData[China]/$V$9,"")</f>
        <v/>
      </c>
      <c r="W96" s="20"/>
      <c r="X96" s="20" t="str">
        <f>IF(ISNUMBER(tblData[Singapore]),tblData[Singapore]/$X$9,"")</f>
        <v/>
      </c>
      <c r="Y96" s="20"/>
      <c r="Z96" s="20" t="str">
        <f>IF(AND(LEN(tblData[Generic])&gt;0,ISNUMBER(tblData[Generic])),tblData[Generic]/$Z$9,"")</f>
        <v/>
      </c>
      <c r="AA96" s="25">
        <f ca="1">IF(tblData[[#This Row],[Date]]&lt;StartDt2Italy,"",tblData[[#This Row],[Date]]-ItalyStart)</f>
        <v>149</v>
      </c>
      <c r="AB96" s="25">
        <f ca="1">IF(tblData[[#This Row],[Date]]&lt;=StartDt2US,"",tblData[[#This Row],[Date]]-USStart)</f>
        <v>157</v>
      </c>
      <c r="AC96" s="25">
        <f ca="1">IF(tblData[[#This Row],[Date]]&lt;StartDt2China,"",tblData[[#This Row],[Date]]-ChinaStart)</f>
        <v>157</v>
      </c>
      <c r="AD96" s="25">
        <f>IF(tblData[[#This Row],[Date]]&lt;=SKoreaStart,"",tblData[[#This Row],[Date]]-SKoreaStart)</f>
        <v>157</v>
      </c>
      <c r="AE96" s="25">
        <f ca="1">IF(tblData[[#This Row],[Date]]&lt;=StartDt2UK,"",tblData[[#This Row],[Date]]-UKStart)</f>
        <v>149</v>
      </c>
      <c r="AF96" s="25">
        <f>IF(tblData[[#This Row],[Date]]&lt;StartDt2Singapore,"",tblData[[#This Row],[Date]]-SingaporeStart)</f>
        <v>156</v>
      </c>
      <c r="AG96" s="25">
        <f ca="1">IF(tblData[[#This Row],[Date]]&lt;StartDt2Generic,"",tblData[[#This Row],[Date]]-GenericStart)</f>
        <v>157</v>
      </c>
      <c r="AH96">
        <f ca="1">IF(tblData[Date]&gt;StartDt2Au,tblData[Date]-AuStart,"")</f>
        <v>154</v>
      </c>
      <c r="AI96" s="25">
        <f>IF(tblData[New South Wales]&gt;=0,SUM(tblData[[#This Row],[Australian Capital Territory]:[Western Australia]]),"")</f>
        <v>0</v>
      </c>
      <c r="AJ96" s="12">
        <f>IF(ISNUMBER(tblData[Au]),tblData[Au]/$AE$9,"")</f>
        <v>0</v>
      </c>
      <c r="AK96" s="39">
        <f ca="1">IF(ISNUMBER(tblData[[#This Row],[Day'# Aust]]),betaAu/(deltaAu+betaPodeltaAu*EXP(-betaAu*tblData[[#This Row],[Day'# Aust]])),"")</f>
        <v>6179.6706903758159</v>
      </c>
      <c r="AL96" s="63">
        <f ca="1">IF(ISNUMBER(tblData[Day'# Aust]),tblData[Au LogiP(t)]/$AJ$9,"")</f>
        <v>2436.3943740639552</v>
      </c>
      <c r="AM96" s="11" t="str">
        <f ca="1">IF(AND(tblData[Date]&gt;StartDt2Au,ISNUMBER(tblData[NSW])),(tblData[[#This Row],[Au LogiP(t)]]-tblData[[#This Row],[Au]])^2,"")</f>
        <v/>
      </c>
      <c r="AN96" s="11">
        <f ca="1">IF(AND(ISNUMBER(tblData[Au]),tblData[Date]&gt;StartDt2Au),(tblData[Au]-AVERAGE(tblData[Au]))^2,"")</f>
        <v>196564.33811020709</v>
      </c>
      <c r="AO96" s="11">
        <f>tblData[[#This Row],[Date]]-Au100dt</f>
        <v>105</v>
      </c>
      <c r="AP96">
        <f ca="1">IF(tblData[Date]&gt;StartDt2NSW,tblData[Date]-StartDt2NSW,"")</f>
        <v>154</v>
      </c>
      <c r="AQ96" s="25" t="str">
        <f>IF(tblData[[#This Row],[New South Wales]]&gt;0,tblData[[#This Row],[New South Wales]],"")</f>
        <v/>
      </c>
      <c r="AR96" s="11">
        <f ca="1">IF(tblData[Date]&gt;StartDt2NSW,betaNSW/(deltaNSW+betaPodeltaNSW*EXP(-betaNSW*tblData[[#This Row],[Day '# NSW]])),"")</f>
        <v>3000.2599678884176</v>
      </c>
      <c r="AS96" s="12" t="str">
        <f ca="1">IF(AND(ISNUMBER(tblData[NSW]),tblData[Date]&gt;StartDt2NSW),(tblData[[#This Row],[NSW LogiP(t)]]-tblData[[#This Row],[NSW]])^2,"")</f>
        <v/>
      </c>
      <c r="AT96" s="39">
        <f ca="1">IF(AND(tblData[Date]&gt;StartDt2NSW,ISNUMBER(tblData[Day'# Aust])),tblData[NSW LogiP(t)]/$AR$9,"")</f>
        <v>3713.1930295648731</v>
      </c>
      <c r="AU96" s="11">
        <f>tblData[[#This Row],[Date]]-NSW100dt+1</f>
        <v>109</v>
      </c>
      <c r="AV96" s="11" t="str">
        <f ca="1">IF(AND(ISNUMBER(tblData[NSW]),tblData[Date]&gt;StartDt2NSW),(tblData[NSW]-AVERAGE(tblData[NSW]))^2,"")</f>
        <v/>
      </c>
      <c r="AW96" s="39">
        <f ca="1">IF(AND(tblData[Date]&gt;StartDt2Italy,ISNUMBER(tblData[Days'# Italy])),betaItaly/(deltaItaly+betaPodeltaItaly*EXP(-betaItaly*tblData[Days'# Italy])),"")</f>
        <v>97269.77366390785</v>
      </c>
      <c r="AX96" s="11" t="str">
        <f ca="1">IF(AND(tblData[Date]&gt;StartDt2Italy,ISNUMBER(tblData[Italy])),(tblData[[#This Row],[Italy LogiP(t)]]-tblData[[#This Row],[Italy]])^2,"")</f>
        <v/>
      </c>
      <c r="AY96" s="39">
        <f ca="1">IF(AND(tblData[Date]&gt;StartDt2Italy,ISNUMBER(tblData[Days'# Italy])),tblData[[#This Row],[Italy LogiP(t)]]/$AW$9,"")</f>
        <v>16081.635721899289</v>
      </c>
      <c r="AZ96" s="39" t="str">
        <f ca="1">IF(AND(ISNUMBER(tblData[Italy]),tblData[Date]&gt;StartDt2Italy),(tblData[Italy]-AVERAGE(tblData[Italy]))^2,"")</f>
        <v/>
      </c>
      <c r="BA96" s="11">
        <f>tblData[[#This Row],[Date]]-Italy100dt+1</f>
        <v>122</v>
      </c>
      <c r="BB96" s="11">
        <f ca="1">IF(AND(tblData[Date]&gt;StartDt2US,ISNUMBER(tblData[[#This Row],[Days'# US]])),betaUS/(deltaUS+betaPodeltaUS*EXP(-betaUS*tblData[Days'# US])),"")</f>
        <v>633176.40151520935</v>
      </c>
      <c r="BC96" s="11" t="str">
        <f ca="1">IF(AND(tblData[Date]&gt;StartDt2US,ISNUMBER(tblData[US])),(tblData[[#This Row],[US LogiP(t)]]-tblData[US])^2,"")</f>
        <v/>
      </c>
      <c r="BD96" s="137">
        <f ca="1">IF(AND(tblData[Date]&gt;=StartDt2US,ISNUMBER(tblData[[#This Row],[Days'# US]])),tblData[[#This Row],[US LogiP(t)]]/$BB$9,"")</f>
        <v>19232.1701074128</v>
      </c>
      <c r="BE96" s="137" t="str">
        <f ca="1">IF(AND(ISNUMBER(tblData[US]),tblData[Date]&gt;StartDt2US),(tblData[US]-AVERAGE(tblData[US]))^2,"")</f>
        <v/>
      </c>
      <c r="BF96" s="11">
        <f>tblData[[#This Row],[Date]]-US100dt+1</f>
        <v>106</v>
      </c>
      <c r="BG96" s="20">
        <f ca="1">IF(tblData[Date]&gt;StartDt2SKorea,betaSKorea/(deltaSKorea+betaPodeltaSKorea*EXP(-betaSKorea*(tblData[Date]-StartDt2SKorea))),"")</f>
        <v>9037.3342829247467</v>
      </c>
      <c r="BH96" s="20" t="str">
        <f ca="1">IF(AND(tblData[Date]&gt;StartDt2SKorea,ISNUMBER(tblData[SKorea])),(tblData[[#This Row],[SKorea LogiP(t)]]-tblData[[#This Row],[SKorea]])^2,"")</f>
        <v/>
      </c>
      <c r="BI96" s="20">
        <f ca="1">IF(tblData[Date]&gt;StartDt2SKorea,tblData[[#This Row],[SKorea LogiP(t)]]/$BG$9,"")</f>
        <v>1758.2362418141531</v>
      </c>
      <c r="BJ96" s="137" t="str">
        <f ca="1">IF(AND(ISNUMBER(tblData[SKorea]),tblData[Date]&gt;StartDt2SKorea),(tblData[SKorea]-AVERAGE(tblData[SKorea]))^2,"")</f>
        <v/>
      </c>
      <c r="BK96" s="11">
        <f>tblData[[#This Row],[Date]]-SKorea100dt+1</f>
        <v>127</v>
      </c>
      <c r="BL96" s="137">
        <f ca="1">IF(AND(tblData[Date]&gt;StartDt2UK,ISNUMBER(tblData[Days'# UK])),betaUK/(deltaUK+betaPodeltaUK*EXP(-betaUK*tblData[Days'# UK])),"")</f>
        <v>74551.841358443417</v>
      </c>
      <c r="BM96" s="71" t="str">
        <f ca="1">IF(AND(tblData[Date]&gt;StartDt2UK,ISNUMBER(tblData[UK])),(tblData[[#This Row],[UK LogiP(t)]]-tblData[[#This Row],[UK]])^2,"")</f>
        <v/>
      </c>
      <c r="BN96" s="71">
        <f ca="1">IF(ISNUMBER(tblData[Days'# UK]),tblData[[#This Row],[UK LogiP(t)]]/$BL$9,"")</f>
        <v>11220.927356779563</v>
      </c>
      <c r="BO96" s="137" t="str">
        <f ca="1">IF(AND(ISNUMBER(tblData[UK]),tblData[Date]&gt;StartDt2UK),(tblData[UK]-AVERAGE(tblData[UK]))^2,"")</f>
        <v/>
      </c>
      <c r="BP96" s="11">
        <f>tblData[[#This Row],[Date]]-UK100dt</f>
        <v>107</v>
      </c>
      <c r="BQ96" s="11">
        <f ca="1">IF(ISNUMBER(tblData[Days'# China]),betaChina/(deltaChina+betaPodeltaChina*EXP(-betaChina*tblData[Days'# China])),"")</f>
        <v>81223.951297124149</v>
      </c>
      <c r="BR96" s="11" t="str">
        <f>IF(ISNUMBER(tblData[China]),(tblData[[#This Row],[China LogiP(t)]]-tblData[[#This Row],[China]])^2,"")</f>
        <v/>
      </c>
      <c r="BS96" s="11">
        <f ca="1">tblData[[#This Row],[China LogiP(t)]]/$BQ$9</f>
        <v>564.32022211744629</v>
      </c>
      <c r="BT96" s="137" t="str">
        <f ca="1">IF(AND(ISNUMBER(tblData[China]),tblData[Date]&gt;StartDt2China),(tblData[China]-AVERAGE(tblData[China]))^2,"")</f>
        <v/>
      </c>
      <c r="BU96" s="11">
        <f>tblData[[#This Row],[Date]]-China100dt</f>
        <v>157</v>
      </c>
      <c r="BV96" s="106">
        <f>IF(ISNUMBER(tblData[Day'# Singapore]),betaSingapore/(deltaSingapore+betaPodeltaSingapore*EXP(-betaSingapore*tblData[Day'# Singapore])),"")</f>
        <v>124217.56291761849</v>
      </c>
      <c r="BW96" s="11" t="str">
        <f>IF(AND(ISNUMBER(tblData[Singapore]),tblData[Date]&gt;=StartDt2Singapore),(tblData[[#This Row],[Singapore LogiP(t)]]-tblData[[#This Row],[Singapore]])^2,"")</f>
        <v/>
      </c>
      <c r="BX96" s="106">
        <f>IF(ISNUMBER(tblData[Day'# Singapore]),tblData[Singapore LogiP(t)]/$BV$9,"")</f>
        <v>212337.71438909144</v>
      </c>
      <c r="BY96" s="106" t="str">
        <f>IF(AND(ISNUMBER(tblData[Singapore]),tblData[Date]&gt;StartDt2Singapore),(tblData[Singapore]-AVERAGE(tblData[Singapore]))^2,"")</f>
        <v/>
      </c>
      <c r="BZ96" s="11">
        <f>tblData[[#This Row],[Date]]-Singapore100dt+1</f>
        <v>138</v>
      </c>
      <c r="CA96" s="11">
        <f ca="1">IF(AND(tblData[Date]&gt;StartDt2Generic,ISNUMBER(tblData[Day'# Generic])),betaGeneric/(deltaGeneric+betaPodeltaGeneric*EXP(-betaGeneric*tblData[Day'# Generic])),"")</f>
        <v>3547.520878903445</v>
      </c>
      <c r="CB96" s="106" t="str">
        <f ca="1">IF(AND(ISNUMBER(tblData[Generic]),tblData[Date]&gt;StartDt2Generic),(tblData[Generic LogiP(t)]-tblData[[#This Row],[Generic]])^2,"")</f>
        <v/>
      </c>
      <c r="CC96" s="11" t="str">
        <f ca="1">IF(AND(ISNUMBER(tblData[Generic]),tblData[Date]&gt;StartDt2Generic),tblData[Generic LogiP(t)]/$CA$9,"")</f>
        <v/>
      </c>
      <c r="CD96" s="106" t="str">
        <f ca="1">IF(AND(ISNUMBER(tblData[Generic]),tblData[Date]&gt;StartDt2Generic),(tblData[Generic]-AVERAGE(tblData[Generic]))^2,"")</f>
        <v/>
      </c>
      <c r="CE96" s="11">
        <f>tblData[[#This Row],[Date]]-Generic100dt+1</f>
        <v>99</v>
      </c>
      <c r="CF96" s="11"/>
      <c r="CG96" s="11"/>
      <c r="CH96" s="11" t="str">
        <f>IF(ISNUMBER(tblData[[#This Row],[Tests]]),tblData[[#This Row],[Tests]]-CF95,"")</f>
        <v/>
      </c>
      <c r="CI96" s="11" t="str">
        <f>IF(ISNUMBER(tblData[[#This Row],[NSW Under Investigation'']]),tblData[[#This Row],[NSW Under Investigation'']]-CG95,"")</f>
        <v/>
      </c>
      <c r="CJ96" s="11">
        <f>IF(tblData[[#This Row],[Date]]&gt;myData!TestsStart,tblData[[#This Row],[Date]]-myData!TestsStart,"")</f>
        <v>114</v>
      </c>
      <c r="CK96" s="11">
        <f>IF(AND(tblData[[#This Row],[NSW Test Day Number]]&gt;0,ISNUMBER(tblData[[#This Row],[NSW Test Day Number]])),betaTests/(deltaTests+betaPodeltaTests*EXP(-betaTests*tblData[[#This Row],[NSW Test Day Number]])),"")</f>
        <v>127232.3316819707</v>
      </c>
      <c r="CL96" s="11" t="str">
        <f>IF(tblData[Tests]&gt;0,(tblData[[#This Row],[Tests]]-tblData[[#This Row],[NSW Test Logi]])^2,"")</f>
        <v/>
      </c>
      <c r="CM96" s="106" t="str">
        <f>IF(AND(ISNUMBER(tblData[Tests]),tblData[Date]&gt;StartDt2Tests),(tblData[Tests]-AVERAGE(tblData[Tests]))^2,"")</f>
        <v/>
      </c>
      <c r="CN96" s="11" t="str">
        <f>IF(ISNUMBER(tblData[Tests]),tblData[Tests]/$CN$9/100,"")</f>
        <v/>
      </c>
      <c r="CO96" s="106">
        <f ca="1">IF(AND(tblData[[#This Row],[NSW Test Day Number]]&gt;0,ISNUMBER(tblData[[#This Row],[NSW Test Day Number]])),TestsLogestB*TestsLogestM^tblData[[#This Row],[NSW Test Day Number]],"")</f>
        <v>3025591531.3120513</v>
      </c>
      <c r="CP96" s="11" t="str">
        <f>IF(AND(tblData[[#This Row],[NSW Test Day Number]]&gt;0,ISNUMBER(tblData[Tests])),(tblData[Tests]-tblData[[#This Row],[NSW Test Per Capita]])^2,"")</f>
        <v/>
      </c>
      <c r="CQ96" s="39">
        <f ca="1">IF(AND(tblData[Day '# NSW]&gt;0,ISNUMBER(tblData[[#This Row],[Day '# NSW]])),NSWLogestB*NSWLogestM^tblData[[#This Row],[Day '# NSW]]/$CR$9,"")</f>
        <v>14238782.820817957</v>
      </c>
      <c r="CR96" s="39" t="str">
        <f ca="1">IF(AND(ISNUMBER(tblData[NSW]),tblData[Date]&gt;StartDt2NSW),(tblData[NSW]/$CR$9-tblData[[#This Row],[NSW Cases LogEst]])^2,"")</f>
        <v/>
      </c>
      <c r="CS96" s="106"/>
      <c r="CT96" s="11"/>
      <c r="CW96" s="25"/>
      <c r="CX96"/>
      <c r="DL96" s="25"/>
      <c r="DR96"/>
      <c r="DS96"/>
      <c r="DT96"/>
      <c r="DU96"/>
      <c r="DW96" s="25"/>
      <c r="DX96" s="25"/>
      <c r="EB96" s="25"/>
      <c r="EC96" s="25"/>
      <c r="ED96" s="25"/>
      <c r="EE96" s="25"/>
      <c r="EK96"/>
      <c r="EL96"/>
      <c r="EM96"/>
      <c r="EN96"/>
      <c r="EO96"/>
      <c r="EP96"/>
      <c r="EQ96"/>
      <c r="ER96"/>
      <c r="ES96" s="69"/>
      <c r="ET96"/>
      <c r="EU96" s="25" t="s">
        <v>209</v>
      </c>
      <c r="EV96" s="69">
        <v>43913.581689814811</v>
      </c>
      <c r="EW96" s="26">
        <v>43852</v>
      </c>
      <c r="EX96" s="26">
        <v>43870</v>
      </c>
      <c r="EY96" s="25">
        <v>3</v>
      </c>
      <c r="EZ96" s="25">
        <v>0.33723338069623404</v>
      </c>
      <c r="FA96" s="81">
        <v>9.9999999999795755E-11</v>
      </c>
      <c r="FB96" s="21">
        <v>2.5463658145686113E-2</v>
      </c>
      <c r="FC96" s="82">
        <v>3372333806.9692283</v>
      </c>
      <c r="FD96" s="82">
        <v>322.06292198158718</v>
      </c>
      <c r="FE96" s="83">
        <v>13.243713011078873</v>
      </c>
      <c r="FF96" s="84">
        <v>9.9999999999795755E-8</v>
      </c>
      <c r="FG96" s="26">
        <v>43911</v>
      </c>
      <c r="FH96" s="25" t="s">
        <v>1100</v>
      </c>
      <c r="FI96" s="84">
        <v>3372333806.9692283</v>
      </c>
      <c r="FJ96" s="84">
        <v>25489</v>
      </c>
      <c r="FK96" s="25" t="s">
        <v>1101</v>
      </c>
      <c r="FL96" s="26">
        <v>43911</v>
      </c>
      <c r="FM96" s="25">
        <v>42</v>
      </c>
      <c r="FN96" s="25" t="s">
        <v>1120</v>
      </c>
      <c r="FO96"/>
      <c r="FP96" t="s">
        <v>1103</v>
      </c>
      <c r="FR96" s="25" t="s">
        <v>1121</v>
      </c>
      <c r="FS96" s="19">
        <v>774.20570743755002</v>
      </c>
      <c r="FT96" s="72">
        <v>43913</v>
      </c>
      <c r="FU96" s="25">
        <v>0</v>
      </c>
      <c r="FV96" s="142">
        <v>43911</v>
      </c>
      <c r="FW96">
        <v>1</v>
      </c>
      <c r="FY96" s="25"/>
    </row>
    <row r="97" spans="2:217" x14ac:dyDescent="0.25">
      <c r="B97" s="26">
        <f t="shared" si="4"/>
        <v>44016</v>
      </c>
      <c r="D97" s="25"/>
      <c r="L97" s="12" t="str">
        <f>IF(ISNUMBER(tblData[[#This Row],[NSW]]),tblData[[#This Row],[New South Wales]]/$L$9,"")</f>
        <v/>
      </c>
      <c r="M97" s="25"/>
      <c r="N97" s="44" t="str">
        <f>IF(ISNUMBER(tblData[Italy]),tblData[Italy]/$N$9,"")</f>
        <v/>
      </c>
      <c r="O97" s="25"/>
      <c r="P97" s="106" t="str">
        <f>IF(ISNUMBER(tblData[US]),tblData[US]/$P$9,"")</f>
        <v/>
      </c>
      <c r="Q97" s="44"/>
      <c r="R97" s="19" t="str">
        <f>IF(ISNUMBER(tblData[SKorea]),tblData[SKorea]/$R$9,"")</f>
        <v/>
      </c>
      <c r="S97" s="44"/>
      <c r="T97" s="12" t="str">
        <f>IF(ISNUMBER(tblData[UK]),tblData[UK]/$T$9,"")</f>
        <v/>
      </c>
      <c r="U97" s="25"/>
      <c r="V97" s="20" t="str">
        <f>IF(ISNUMBER(tblData[China]),tblData[China]/$V$9,"")</f>
        <v/>
      </c>
      <c r="W97" s="20"/>
      <c r="X97" s="20" t="str">
        <f>IF(ISNUMBER(tblData[Singapore]),tblData[Singapore]/$X$9,"")</f>
        <v/>
      </c>
      <c r="Y97" s="20"/>
      <c r="Z97" s="20" t="str">
        <f>IF(AND(LEN(tblData[Generic])&gt;0,ISNUMBER(tblData[Generic])),tblData[Generic]/$Z$9,"")</f>
        <v/>
      </c>
      <c r="AA97" s="25">
        <f ca="1">IF(tblData[[#This Row],[Date]]&lt;StartDt2Italy,"",tblData[[#This Row],[Date]]-ItalyStart)</f>
        <v>156</v>
      </c>
      <c r="AB97" s="25">
        <f ca="1">IF(tblData[[#This Row],[Date]]&lt;=StartDt2US,"",tblData[[#This Row],[Date]]-USStart)</f>
        <v>164</v>
      </c>
      <c r="AC97" s="25">
        <f ca="1">IF(tblData[[#This Row],[Date]]&lt;StartDt2China,"",tblData[[#This Row],[Date]]-ChinaStart)</f>
        <v>164</v>
      </c>
      <c r="AD97" s="25">
        <f>IF(tblData[[#This Row],[Date]]&lt;=SKoreaStart,"",tblData[[#This Row],[Date]]-SKoreaStart)</f>
        <v>164</v>
      </c>
      <c r="AE97" s="25">
        <f ca="1">IF(tblData[[#This Row],[Date]]&lt;=StartDt2UK,"",tblData[[#This Row],[Date]]-UKStart)</f>
        <v>156</v>
      </c>
      <c r="AF97" s="25">
        <f>IF(tblData[[#This Row],[Date]]&lt;StartDt2Singapore,"",tblData[[#This Row],[Date]]-SingaporeStart)</f>
        <v>163</v>
      </c>
      <c r="AG97" s="25">
        <f ca="1">IF(tblData[[#This Row],[Date]]&lt;StartDt2Generic,"",tblData[[#This Row],[Date]]-GenericStart)</f>
        <v>164</v>
      </c>
      <c r="AH97">
        <f ca="1">IF(tblData[Date]&gt;StartDt2Au,tblData[Date]-AuStart,"")</f>
        <v>161</v>
      </c>
      <c r="AI97" s="25">
        <f>IF(tblData[New South Wales]&gt;=0,SUM(tblData[[#This Row],[Australian Capital Territory]:[Western Australia]]),"")</f>
        <v>0</v>
      </c>
      <c r="AJ97" s="12">
        <f>IF(ISNUMBER(tblData[Au]),tblData[Au]/$AE$9,"")</f>
        <v>0</v>
      </c>
      <c r="AK97" s="39">
        <f ca="1">IF(ISNUMBER(tblData[[#This Row],[Day'# Aust]]),betaAu/(deltaAu+betaPodeltaAu*EXP(-betaAu*tblData[[#This Row],[Day'# Aust]])),"")</f>
        <v>6179.670690751268</v>
      </c>
      <c r="AL97" s="63">
        <f ca="1">IF(ISNUMBER(tblData[Day'# Aust]),tblData[Au LogiP(t)]/$AJ$9,"")</f>
        <v>2436.3943742119809</v>
      </c>
      <c r="AM97" s="11" t="str">
        <f ca="1">IF(AND(tblData[Date]&gt;StartDt2Au,ISNUMBER(tblData[NSW])),(tblData[[#This Row],[Au LogiP(t)]]-tblData[[#This Row],[Au]])^2,"")</f>
        <v/>
      </c>
      <c r="AN97" s="11">
        <f ca="1">IF(AND(ISNUMBER(tblData[Au]),tblData[Date]&gt;StartDt2Au),(tblData[Au]-AVERAGE(tblData[Au]))^2,"")</f>
        <v>196564.33811020709</v>
      </c>
      <c r="AO97" s="11">
        <f>tblData[[#This Row],[Date]]-Au100dt</f>
        <v>112</v>
      </c>
      <c r="AP97">
        <f ca="1">IF(tblData[Date]&gt;StartDt2NSW,tblData[Date]-StartDt2NSW,"")</f>
        <v>161</v>
      </c>
      <c r="AQ97" s="25" t="str">
        <f>IF(tblData[[#This Row],[New South Wales]]&gt;0,tblData[[#This Row],[New South Wales]],"")</f>
        <v/>
      </c>
      <c r="AR97" s="11">
        <f ca="1">IF(tblData[Date]&gt;StartDt2NSW,betaNSW/(deltaNSW+betaPodeltaNSW*EXP(-betaNSW*tblData[[#This Row],[Day '# NSW]])),"")</f>
        <v>3000.2599687979268</v>
      </c>
      <c r="AS97" s="12" t="str">
        <f ca="1">IF(AND(ISNUMBER(tblData[NSW]),tblData[Date]&gt;StartDt2NSW),(tblData[[#This Row],[NSW LogiP(t)]]-tblData[[#This Row],[NSW]])^2,"")</f>
        <v/>
      </c>
      <c r="AT97" s="39">
        <f ca="1">IF(AND(tblData[Date]&gt;StartDt2NSW,ISNUMBER(tblData[Day'# Aust])),tblData[NSW LogiP(t)]/$AR$9,"")</f>
        <v>3713.1930306905033</v>
      </c>
      <c r="AU97" s="11">
        <f>tblData[[#This Row],[Date]]-NSW100dt+1</f>
        <v>116</v>
      </c>
      <c r="AV97" s="11" t="str">
        <f ca="1">IF(AND(ISNUMBER(tblData[NSW]),tblData[Date]&gt;StartDt2NSW),(tblData[NSW]-AVERAGE(tblData[NSW]))^2,"")</f>
        <v/>
      </c>
      <c r="AW97" s="39">
        <f ca="1">IF(AND(tblData[Date]&gt;StartDt2Italy,ISNUMBER(tblData[Days'# Italy])),betaItaly/(deltaItaly+betaPodeltaItaly*EXP(-betaItaly*tblData[Days'# Italy])),"")</f>
        <v>97269.773664348177</v>
      </c>
      <c r="AX97" s="11" t="str">
        <f ca="1">IF(AND(tblData[Date]&gt;StartDt2Italy,ISNUMBER(tblData[Italy])),(tblData[[#This Row],[Italy LogiP(t)]]-tblData[[#This Row],[Italy]])^2,"")</f>
        <v/>
      </c>
      <c r="AY97" s="39">
        <f ca="1">IF(AND(tblData[Date]&gt;StartDt2Italy,ISNUMBER(tblData[Days'# Italy])),tblData[[#This Row],[Italy LogiP(t)]]/$AW$9,"")</f>
        <v>16081.635721972089</v>
      </c>
      <c r="AZ97" s="39" t="str">
        <f ca="1">IF(AND(ISNUMBER(tblData[Italy]),tblData[Date]&gt;StartDt2Italy),(tblData[Italy]-AVERAGE(tblData[Italy]))^2,"")</f>
        <v/>
      </c>
      <c r="BA97" s="11">
        <f>tblData[[#This Row],[Date]]-Italy100dt+1</f>
        <v>129</v>
      </c>
      <c r="BB97" s="11">
        <f ca="1">IF(AND(tblData[Date]&gt;StartDt2US,ISNUMBER(tblData[[#This Row],[Days'# US]])),betaUS/(deltaUS+betaPodeltaUS*EXP(-betaUS*tblData[Days'# US])),"")</f>
        <v>633176.4015307111</v>
      </c>
      <c r="BC97" s="11" t="str">
        <f ca="1">IF(AND(tblData[Date]&gt;StartDt2US,ISNUMBER(tblData[US])),(tblData[[#This Row],[US LogiP(t)]]-tblData[US])^2,"")</f>
        <v/>
      </c>
      <c r="BD97" s="137">
        <f ca="1">IF(AND(tblData[Date]&gt;=StartDt2US,ISNUMBER(tblData[[#This Row],[Days'# US]])),tblData[[#This Row],[US LogiP(t)]]/$BB$9,"")</f>
        <v>19232.170107883652</v>
      </c>
      <c r="BE97" s="137" t="str">
        <f ca="1">IF(AND(ISNUMBER(tblData[US]),tblData[Date]&gt;StartDt2US),(tblData[US]-AVERAGE(tblData[US]))^2,"")</f>
        <v/>
      </c>
      <c r="BF97" s="11">
        <f>tblData[[#This Row],[Date]]-US100dt+1</f>
        <v>113</v>
      </c>
      <c r="BG97" s="20">
        <f ca="1">IF(tblData[Date]&gt;StartDt2SKorea,betaSKorea/(deltaSKorea+betaPodeltaSKorea*EXP(-betaSKorea*(tblData[Date]-StartDt2SKorea))),"")</f>
        <v>9037.3342829252233</v>
      </c>
      <c r="BH97" s="20" t="str">
        <f ca="1">IF(AND(tblData[Date]&gt;StartDt2SKorea,ISNUMBER(tblData[SKorea])),(tblData[[#This Row],[SKorea LogiP(t)]]-tblData[[#This Row],[SKorea]])^2,"")</f>
        <v/>
      </c>
      <c r="BI97" s="20">
        <f ca="1">IF(tblData[Date]&gt;StartDt2SKorea,tblData[[#This Row],[SKorea LogiP(t)]]/$BG$9,"")</f>
        <v>1758.2362418142459</v>
      </c>
      <c r="BJ97" s="137" t="str">
        <f ca="1">IF(AND(ISNUMBER(tblData[SKorea]),tblData[Date]&gt;StartDt2SKorea),(tblData[SKorea]-AVERAGE(tblData[SKorea]))^2,"")</f>
        <v/>
      </c>
      <c r="BK97" s="11">
        <f>tblData[[#This Row],[Date]]-SKorea100dt+1</f>
        <v>134</v>
      </c>
      <c r="BL97" s="137">
        <f ca="1">IF(AND(tblData[Date]&gt;StartDt2UK,ISNUMBER(tblData[Days'# UK])),betaUK/(deltaUK+betaPodeltaUK*EXP(-betaUK*tblData[Days'# UK])),"")</f>
        <v>74551.842088673788</v>
      </c>
      <c r="BM97" s="71" t="str">
        <f ca="1">IF(AND(tblData[Date]&gt;StartDt2UK,ISNUMBER(tblData[UK])),(tblData[[#This Row],[UK LogiP(t)]]-tblData[[#This Row],[UK]])^2,"")</f>
        <v/>
      </c>
      <c r="BN97" s="71">
        <f ca="1">IF(ISNUMBER(tblData[Days'# UK]),tblData[[#This Row],[UK LogiP(t)]]/$BL$9,"")</f>
        <v>11220.927466687806</v>
      </c>
      <c r="BO97" s="137" t="str">
        <f ca="1">IF(AND(ISNUMBER(tblData[UK]),tblData[Date]&gt;StartDt2UK),(tblData[UK]-AVERAGE(tblData[UK]))^2,"")</f>
        <v/>
      </c>
      <c r="BP97" s="11">
        <f>tblData[[#This Row],[Date]]-UK100dt</f>
        <v>114</v>
      </c>
      <c r="BQ97" s="11">
        <f ca="1">IF(ISNUMBER(tblData[Days'# China]),betaChina/(deltaChina+betaPodeltaChina*EXP(-betaChina*tblData[Days'# China])),"")</f>
        <v>81223.951297126987</v>
      </c>
      <c r="BR97" s="11" t="str">
        <f>IF(ISNUMBER(tblData[China]),(tblData[[#This Row],[China LogiP(t)]]-tblData[[#This Row],[China]])^2,"")</f>
        <v/>
      </c>
      <c r="BS97" s="11">
        <f ca="1">tblData[[#This Row],[China LogiP(t)]]/$BQ$9</f>
        <v>564.32022211746596</v>
      </c>
      <c r="BT97" s="137" t="str">
        <f ca="1">IF(AND(ISNUMBER(tblData[China]),tblData[Date]&gt;StartDt2China),(tblData[China]-AVERAGE(tblData[China]))^2,"")</f>
        <v/>
      </c>
      <c r="BU97" s="11">
        <f>tblData[[#This Row],[Date]]-China100dt</f>
        <v>164</v>
      </c>
      <c r="BV97" s="106">
        <f>IF(ISNUMBER(tblData[Day'# Singapore]),betaSingapore/(deltaSingapore+betaPodeltaSingapore*EXP(-betaSingapore*tblData[Day'# Singapore])),"")</f>
        <v>130767.07371450502</v>
      </c>
      <c r="BW97" s="11" t="str">
        <f>IF(AND(ISNUMBER(tblData[Singapore]),tblData[Date]&gt;=StartDt2Singapore),(tblData[[#This Row],[Singapore LogiP(t)]]-tblData[[#This Row],[Singapore]])^2,"")</f>
        <v/>
      </c>
      <c r="BX97" s="106">
        <f>IF(ISNUMBER(tblData[Day'# Singapore]),tblData[Singapore LogiP(t)]/$BV$9,"")</f>
        <v>223533.45934103423</v>
      </c>
      <c r="BY97" s="106" t="str">
        <f>IF(AND(ISNUMBER(tblData[Singapore]),tblData[Date]&gt;StartDt2Singapore),(tblData[Singapore]-AVERAGE(tblData[Singapore]))^2,"")</f>
        <v/>
      </c>
      <c r="BZ97" s="11">
        <f>tblData[[#This Row],[Date]]-Singapore100dt+1</f>
        <v>145</v>
      </c>
      <c r="CA97" s="11">
        <f ca="1">IF(AND(tblData[Date]&gt;StartDt2Generic,ISNUMBER(tblData[Day'# Generic])),betaGeneric/(deltaGeneric+betaPodeltaGeneric*EXP(-betaGeneric*tblData[Day'# Generic])),"")</f>
        <v>3547.5212335324236</v>
      </c>
      <c r="CB97" s="106" t="str">
        <f ca="1">IF(AND(ISNUMBER(tblData[Generic]),tblData[Date]&gt;StartDt2Generic),(tblData[Generic LogiP(t)]-tblData[[#This Row],[Generic]])^2,"")</f>
        <v/>
      </c>
      <c r="CC97" s="11" t="str">
        <f ca="1">IF(AND(ISNUMBER(tblData[Generic]),tblData[Date]&gt;StartDt2Generic),tblData[Generic LogiP(t)]/$CA$9,"")</f>
        <v/>
      </c>
      <c r="CD97" s="106" t="str">
        <f ca="1">IF(AND(ISNUMBER(tblData[Generic]),tblData[Date]&gt;StartDt2Generic),(tblData[Generic]-AVERAGE(tblData[Generic]))^2,"")</f>
        <v/>
      </c>
      <c r="CE97" s="11">
        <f>tblData[[#This Row],[Date]]-Generic100dt+1</f>
        <v>106</v>
      </c>
      <c r="CF97" s="11"/>
      <c r="CG97" s="11"/>
      <c r="CH97" s="11" t="str">
        <f>IF(ISNUMBER(tblData[[#This Row],[Tests]]),tblData[[#This Row],[Tests]]-CF96,"")</f>
        <v/>
      </c>
      <c r="CI97" s="11" t="str">
        <f>IF(ISNUMBER(tblData[[#This Row],[NSW Under Investigation'']]),tblData[[#This Row],[NSW Under Investigation'']]-CG96,"")</f>
        <v/>
      </c>
      <c r="CJ97" s="11">
        <f>IF(tblData[[#This Row],[Date]]&gt;myData!TestsStart,tblData[[#This Row],[Date]]-myData!TestsStart,"")</f>
        <v>121</v>
      </c>
      <c r="CK97" s="11">
        <f>IF(AND(tblData[[#This Row],[NSW Test Day Number]]&gt;0,ISNUMBER(tblData[[#This Row],[NSW Test Day Number]])),betaTests/(deltaTests+betaPodeltaTests*EXP(-betaTests*tblData[[#This Row],[NSW Test Day Number]])),"")</f>
        <v>127232.3365947439</v>
      </c>
      <c r="CL97" s="11" t="str">
        <f>IF(tblData[Tests]&gt;0,(tblData[[#This Row],[Tests]]-tblData[[#This Row],[NSW Test Logi]])^2,"")</f>
        <v/>
      </c>
      <c r="CM97" s="106" t="str">
        <f>IF(AND(ISNUMBER(tblData[Tests]),tblData[Date]&gt;StartDt2Tests),(tblData[Tests]-AVERAGE(tblData[Tests]))^2,"")</f>
        <v/>
      </c>
      <c r="CN97" s="11" t="str">
        <f>IF(ISNUMBER(tblData[Tests]),tblData[Tests]/$CN$9/100,"")</f>
        <v/>
      </c>
      <c r="CO97" s="106">
        <f ca="1">IF(AND(tblData[[#This Row],[NSW Test Day Number]]&gt;0,ISNUMBER(tblData[[#This Row],[NSW Test Day Number]])),TestsLogestB*TestsLogestM^tblData[[#This Row],[NSW Test Day Number]],"")</f>
        <v>6774350838.911355</v>
      </c>
      <c r="CP97" s="11" t="str">
        <f>IF(AND(tblData[[#This Row],[NSW Test Day Number]]&gt;0,ISNUMBER(tblData[Tests])),(tblData[Tests]-tblData[[#This Row],[NSW Test Per Capita]])^2,"")</f>
        <v/>
      </c>
      <c r="CQ97" s="39">
        <f ca="1">IF(AND(tblData[Day '# NSW]&gt;0,ISNUMBER(tblData[[#This Row],[Day '# NSW]])),NSWLogestB*NSWLogestM^tblData[[#This Row],[Day '# NSW]]/$CR$9,"")</f>
        <v>30114249.89907708</v>
      </c>
      <c r="CR97" s="39" t="str">
        <f ca="1">IF(AND(ISNUMBER(tblData[NSW]),tblData[Date]&gt;StartDt2NSW),(tblData[NSW]/$CR$9-tblData[[#This Row],[NSW Cases LogEst]])^2,"")</f>
        <v/>
      </c>
      <c r="CS97" s="106"/>
      <c r="CT97" s="11"/>
      <c r="CW97" s="25"/>
      <c r="CX97"/>
      <c r="DL97" s="25"/>
      <c r="DR97"/>
      <c r="DS97"/>
      <c r="DT97"/>
      <c r="DU97"/>
      <c r="DW97" s="25"/>
      <c r="DX97" s="25"/>
      <c r="EB97" s="25"/>
      <c r="EC97" s="25"/>
      <c r="ED97" s="25"/>
      <c r="EE97" s="25"/>
      <c r="EK97"/>
      <c r="EL97"/>
      <c r="EM97"/>
      <c r="EN97"/>
      <c r="EO97"/>
      <c r="EP97"/>
      <c r="EQ97"/>
      <c r="ER97"/>
      <c r="ES97" s="69"/>
      <c r="ET97"/>
      <c r="EU97" s="25" t="s">
        <v>209</v>
      </c>
      <c r="EV97" s="69">
        <v>43912.787546296298</v>
      </c>
      <c r="EW97" s="26">
        <v>43852</v>
      </c>
      <c r="EX97" s="26">
        <v>43870</v>
      </c>
      <c r="EY97" s="25">
        <v>3</v>
      </c>
      <c r="EZ97" s="25">
        <v>0.33723338054496799</v>
      </c>
      <c r="FA97" s="24">
        <v>2.0602986212095161E-6</v>
      </c>
      <c r="FB97" s="21">
        <v>2.5463658144854667E-2</v>
      </c>
      <c r="FC97" s="82">
        <v>163681.79693630635</v>
      </c>
      <c r="FD97" s="82">
        <v>828.39707151439563</v>
      </c>
      <c r="FE97" s="83">
        <v>13.24371094537222</v>
      </c>
      <c r="FF97" s="84">
        <v>2.060298621209516E-3</v>
      </c>
      <c r="FG97" s="26">
        <v>43912</v>
      </c>
      <c r="FH97" s="25" t="s">
        <v>1122</v>
      </c>
      <c r="FI97" s="84">
        <v>163681.79693630635</v>
      </c>
      <c r="FJ97" s="84">
        <v>26747</v>
      </c>
      <c r="FK97" s="25" t="s">
        <v>1123</v>
      </c>
      <c r="FL97" s="26">
        <v>43911</v>
      </c>
      <c r="FM97" s="25">
        <v>43</v>
      </c>
      <c r="FN97" s="25" t="s">
        <v>1124</v>
      </c>
      <c r="FO97"/>
      <c r="FP97" s="25" t="s">
        <v>1125</v>
      </c>
      <c r="FQ97"/>
      <c r="FR97" s="25" t="s">
        <v>1126</v>
      </c>
      <c r="FS97" s="19">
        <v>812.41633868853819</v>
      </c>
      <c r="FT97" s="72">
        <v>43911</v>
      </c>
      <c r="FU97" s="25">
        <v>1</v>
      </c>
      <c r="FV97" s="142">
        <v>43910</v>
      </c>
      <c r="FW97">
        <v>2</v>
      </c>
      <c r="FY97" s="25"/>
    </row>
    <row r="98" spans="2:217" x14ac:dyDescent="0.25">
      <c r="B98" s="26">
        <f t="shared" si="4"/>
        <v>44023</v>
      </c>
      <c r="D98" s="25"/>
      <c r="L98" s="12" t="str">
        <f>IF(ISNUMBER(tblData[[#This Row],[NSW]]),tblData[[#This Row],[New South Wales]]/$L$9,"")</f>
        <v/>
      </c>
      <c r="M98" s="25"/>
      <c r="N98" s="44" t="str">
        <f>IF(ISNUMBER(tblData[Italy]),tblData[Italy]/$N$9,"")</f>
        <v/>
      </c>
      <c r="O98" s="25"/>
      <c r="P98" s="106" t="str">
        <f>IF(ISNUMBER(tblData[US]),tblData[US]/$P$9,"")</f>
        <v/>
      </c>
      <c r="Q98" s="44"/>
      <c r="R98" s="19" t="str">
        <f>IF(ISNUMBER(tblData[SKorea]),tblData[SKorea]/$R$9,"")</f>
        <v/>
      </c>
      <c r="S98" s="44"/>
      <c r="T98" s="12" t="str">
        <f>IF(ISNUMBER(tblData[UK]),tblData[UK]/$T$9,"")</f>
        <v/>
      </c>
      <c r="U98" s="25"/>
      <c r="V98" s="20" t="str">
        <f>IF(ISNUMBER(tblData[China]),tblData[China]/$V$9,"")</f>
        <v/>
      </c>
      <c r="W98" s="20"/>
      <c r="X98" s="20" t="str">
        <f>IF(ISNUMBER(tblData[Singapore]),tblData[Singapore]/$X$9,"")</f>
        <v/>
      </c>
      <c r="Y98" s="20"/>
      <c r="Z98" s="20" t="str">
        <f>IF(AND(LEN(tblData[Generic])&gt;0,ISNUMBER(tblData[Generic])),tblData[Generic]/$Z$9,"")</f>
        <v/>
      </c>
      <c r="AA98" s="25">
        <f ca="1">IF(tblData[[#This Row],[Date]]&lt;StartDt2Italy,"",tblData[[#This Row],[Date]]-ItalyStart)</f>
        <v>163</v>
      </c>
      <c r="AB98" s="25">
        <f ca="1">IF(tblData[[#This Row],[Date]]&lt;=StartDt2US,"",tblData[[#This Row],[Date]]-USStart)</f>
        <v>171</v>
      </c>
      <c r="AC98" s="25">
        <f ca="1">IF(tblData[[#This Row],[Date]]&lt;StartDt2China,"",tblData[[#This Row],[Date]]-ChinaStart)</f>
        <v>171</v>
      </c>
      <c r="AD98" s="25">
        <f>IF(tblData[[#This Row],[Date]]&lt;=SKoreaStart,"",tblData[[#This Row],[Date]]-SKoreaStart)</f>
        <v>171</v>
      </c>
      <c r="AE98" s="25">
        <f ca="1">IF(tblData[[#This Row],[Date]]&lt;=StartDt2UK,"",tblData[[#This Row],[Date]]-UKStart)</f>
        <v>163</v>
      </c>
      <c r="AF98" s="25">
        <f>IF(tblData[[#This Row],[Date]]&lt;StartDt2Singapore,"",tblData[[#This Row],[Date]]-SingaporeStart)</f>
        <v>170</v>
      </c>
      <c r="AG98" s="25">
        <f ca="1">IF(tblData[[#This Row],[Date]]&lt;StartDt2Generic,"",tblData[[#This Row],[Date]]-GenericStart)</f>
        <v>171</v>
      </c>
      <c r="AH98">
        <f ca="1">IF(tblData[Date]&gt;StartDt2Au,tblData[Date]-AuStart,"")</f>
        <v>168</v>
      </c>
      <c r="AI98" s="25">
        <f>IF(tblData[New South Wales]&gt;=0,SUM(tblData[[#This Row],[Australian Capital Territory]:[Western Australia]]),"")</f>
        <v>0</v>
      </c>
      <c r="AJ98" s="12">
        <f>IF(ISNUMBER(tblData[Au]),tblData[Au]/$AE$9,"")</f>
        <v>0</v>
      </c>
      <c r="AK98" s="39">
        <f ca="1">IF(ISNUMBER(tblData[[#This Row],[Day'# Aust]]),betaAu/(deltaAu+betaPodeltaAu*EXP(-betaAu*tblData[[#This Row],[Day'# Aust]])),"")</f>
        <v>6179.67069081512</v>
      </c>
      <c r="AL98" s="63">
        <f ca="1">IF(ISNUMBER(tblData[Day'# Aust]),tblData[Au LogiP(t)]/$AJ$9,"")</f>
        <v>2436.3943742371548</v>
      </c>
      <c r="AM98" s="11" t="str">
        <f ca="1">IF(AND(tblData[Date]&gt;StartDt2Au,ISNUMBER(tblData[NSW])),(tblData[[#This Row],[Au LogiP(t)]]-tblData[[#This Row],[Au]])^2,"")</f>
        <v/>
      </c>
      <c r="AN98" s="11">
        <f ca="1">IF(AND(ISNUMBER(tblData[Au]),tblData[Date]&gt;StartDt2Au),(tblData[Au]-AVERAGE(tblData[Au]))^2,"")</f>
        <v>196564.33811020709</v>
      </c>
      <c r="AO98" s="11">
        <f>tblData[[#This Row],[Date]]-Au100dt</f>
        <v>119</v>
      </c>
      <c r="AP98">
        <f ca="1">IF(tblData[Date]&gt;StartDt2NSW,tblData[Date]-StartDt2NSW,"")</f>
        <v>168</v>
      </c>
      <c r="AQ98" s="25" t="str">
        <f>IF(tblData[[#This Row],[New South Wales]]&gt;0,tblData[[#This Row],[New South Wales]],"")</f>
        <v/>
      </c>
      <c r="AR98" s="11">
        <f ca="1">IF(tblData[Date]&gt;StartDt2NSW,betaNSW/(deltaNSW+betaPodeltaNSW*EXP(-betaNSW*tblData[[#This Row],[Day '# NSW]])),"")</f>
        <v>3000.259968970066</v>
      </c>
      <c r="AS98" s="12" t="str">
        <f ca="1">IF(AND(ISNUMBER(tblData[NSW]),tblData[Date]&gt;StartDt2NSW),(tblData[[#This Row],[NSW LogiP(t)]]-tblData[[#This Row],[NSW]])^2,"")</f>
        <v/>
      </c>
      <c r="AT98" s="39">
        <f ca="1">IF(AND(tblData[Date]&gt;StartDt2NSW,ISNUMBER(tblData[Day'# Aust])),tblData[NSW LogiP(t)]/$AR$9,"")</f>
        <v>3713.193030903547</v>
      </c>
      <c r="AU98" s="11">
        <f>tblData[[#This Row],[Date]]-NSW100dt+1</f>
        <v>123</v>
      </c>
      <c r="AV98" s="11" t="str">
        <f ca="1">IF(AND(ISNUMBER(tblData[NSW]),tblData[Date]&gt;StartDt2NSW),(tblData[NSW]-AVERAGE(tblData[NSW]))^2,"")</f>
        <v/>
      </c>
      <c r="AW98" s="39">
        <f ca="1">IF(AND(tblData[Date]&gt;StartDt2Italy,ISNUMBER(tblData[Days'# Italy])),betaItaly/(deltaItaly+betaPodeltaItaly*EXP(-betaItaly*tblData[Days'# Italy])),"")</f>
        <v>97269.773664421242</v>
      </c>
      <c r="AX98" s="11" t="str">
        <f ca="1">IF(AND(tblData[Date]&gt;StartDt2Italy,ISNUMBER(tblData[Italy])),(tblData[[#This Row],[Italy LogiP(t)]]-tblData[[#This Row],[Italy]])^2,"")</f>
        <v/>
      </c>
      <c r="AY98" s="39">
        <f ca="1">IF(AND(tblData[Date]&gt;StartDt2Italy,ISNUMBER(tblData[Days'# Italy])),tblData[[#This Row],[Italy LogiP(t)]]/$AW$9,"")</f>
        <v>16081.635721984168</v>
      </c>
      <c r="AZ98" s="39" t="str">
        <f ca="1">IF(AND(ISNUMBER(tblData[Italy]),tblData[Date]&gt;StartDt2Italy),(tblData[Italy]-AVERAGE(tblData[Italy]))^2,"")</f>
        <v/>
      </c>
      <c r="BA98" s="11">
        <f>tblData[[#This Row],[Date]]-Italy100dt+1</f>
        <v>136</v>
      </c>
      <c r="BB98" s="11">
        <f ca="1">IF(AND(tblData[Date]&gt;StartDt2US,ISNUMBER(tblData[[#This Row],[Days'# US]])),betaUS/(deltaUS+betaPodeltaUS*EXP(-betaUS*tblData[Days'# US])),"")</f>
        <v>633176.40153283789</v>
      </c>
      <c r="BC98" s="11" t="str">
        <f ca="1">IF(AND(tblData[Date]&gt;StartDt2US,ISNUMBER(tblData[US])),(tblData[[#This Row],[US LogiP(t)]]-tblData[US])^2,"")</f>
        <v/>
      </c>
      <c r="BD98" s="137">
        <f ca="1">IF(AND(tblData[Date]&gt;=StartDt2US,ISNUMBER(tblData[[#This Row],[Days'# US]])),tblData[[#This Row],[US LogiP(t)]]/$BB$9,"")</f>
        <v>19232.170107948252</v>
      </c>
      <c r="BE98" s="137" t="str">
        <f ca="1">IF(AND(ISNUMBER(tblData[US]),tblData[Date]&gt;StartDt2US),(tblData[US]-AVERAGE(tblData[US]))^2,"")</f>
        <v/>
      </c>
      <c r="BF98" s="11">
        <f>tblData[[#This Row],[Date]]-US100dt+1</f>
        <v>120</v>
      </c>
      <c r="BG98" s="20">
        <f ca="1">IF(tblData[Date]&gt;StartDt2SKorea,betaSKorea/(deltaSKorea+betaPodeltaSKorea*EXP(-betaSKorea*(tblData[Date]-StartDt2SKorea))),"")</f>
        <v>9037.3342829252979</v>
      </c>
      <c r="BH98" s="20" t="str">
        <f ca="1">IF(AND(tblData[Date]&gt;StartDt2SKorea,ISNUMBER(tblData[SKorea])),(tblData[[#This Row],[SKorea LogiP(t)]]-tblData[[#This Row],[SKorea]])^2,"")</f>
        <v/>
      </c>
      <c r="BI98" s="20">
        <f ca="1">IF(tblData[Date]&gt;StartDt2SKorea,tblData[[#This Row],[SKorea LogiP(t)]]/$BG$9,"")</f>
        <v>1758.2362418142604</v>
      </c>
      <c r="BJ98" s="137" t="str">
        <f ca="1">IF(AND(ISNUMBER(tblData[SKorea]),tblData[Date]&gt;StartDt2SKorea),(tblData[SKorea]-AVERAGE(tblData[SKorea]))^2,"")</f>
        <v/>
      </c>
      <c r="BK98" s="11">
        <f>tblData[[#This Row],[Date]]-SKorea100dt+1</f>
        <v>141</v>
      </c>
      <c r="BL98" s="137">
        <f ca="1">IF(AND(tblData[Date]&gt;StartDt2UK,ISNUMBER(tblData[Days'# UK])),betaUK/(deltaUK+betaPodeltaUK*EXP(-betaUK*tblData[Days'# UK])),"")</f>
        <v>74551.842252307339</v>
      </c>
      <c r="BM98" s="71" t="str">
        <f ca="1">IF(AND(tblData[Date]&gt;StartDt2UK,ISNUMBER(tblData[UK])),(tblData[[#This Row],[UK LogiP(t)]]-tblData[[#This Row],[UK]])^2,"")</f>
        <v/>
      </c>
      <c r="BN98" s="71">
        <f ca="1">IF(ISNUMBER(tblData[Days'# UK]),tblData[[#This Row],[UK LogiP(t)]]/$BL$9,"")</f>
        <v>11220.927491316577</v>
      </c>
      <c r="BO98" s="137" t="str">
        <f ca="1">IF(AND(ISNUMBER(tblData[UK]),tblData[Date]&gt;StartDt2UK),(tblData[UK]-AVERAGE(tblData[UK]))^2,"")</f>
        <v/>
      </c>
      <c r="BP98" s="11">
        <f>tblData[[#This Row],[Date]]-UK100dt</f>
        <v>121</v>
      </c>
      <c r="BQ98" s="11">
        <f ca="1">IF(ISNUMBER(tblData[Days'# China]),betaChina/(deltaChina+betaPodeltaChina*EXP(-betaChina*tblData[Days'# China])),"")</f>
        <v>81223.951297127598</v>
      </c>
      <c r="BR98" s="11" t="str">
        <f>IF(ISNUMBER(tblData[China]),(tblData[[#This Row],[China LogiP(t)]]-tblData[[#This Row],[China]])^2,"")</f>
        <v/>
      </c>
      <c r="BS98" s="11">
        <f ca="1">tblData[[#This Row],[China LogiP(t)]]/$BQ$9</f>
        <v>564.32022211747028</v>
      </c>
      <c r="BT98" s="137" t="str">
        <f ca="1">IF(AND(ISNUMBER(tblData[China]),tblData[Date]&gt;StartDt2China),(tblData[China]-AVERAGE(tblData[China]))^2,"")</f>
        <v/>
      </c>
      <c r="BU98" s="11">
        <f>tblData[[#This Row],[Date]]-China100dt</f>
        <v>171</v>
      </c>
      <c r="BV98" s="106">
        <f>IF(ISNUMBER(tblData[Day'# Singapore]),betaSingapore/(deltaSingapore+betaPodeltaSingapore*EXP(-betaSingapore*tblData[Day'# Singapore])),"")</f>
        <v>134839.82656486757</v>
      </c>
      <c r="BW98" s="11" t="str">
        <f>IF(AND(ISNUMBER(tblData[Singapore]),tblData[Date]&gt;=StartDt2Singapore),(tblData[[#This Row],[Singapore LogiP(t)]]-tblData[[#This Row],[Singapore]])^2,"")</f>
        <v/>
      </c>
      <c r="BX98" s="106">
        <f>IF(ISNUMBER(tblData[Day'# Singapore]),tblData[Singapore LogiP(t)]/$BV$9,"")</f>
        <v>230495.43002541468</v>
      </c>
      <c r="BY98" s="106" t="str">
        <f>IF(AND(ISNUMBER(tblData[Singapore]),tblData[Date]&gt;StartDt2Singapore),(tblData[Singapore]-AVERAGE(tblData[Singapore]))^2,"")</f>
        <v/>
      </c>
      <c r="BZ98" s="11">
        <f>tblData[[#This Row],[Date]]-Singapore100dt+1</f>
        <v>152</v>
      </c>
      <c r="CA98" s="11">
        <f ca="1">IF(AND(tblData[Date]&gt;StartDt2Generic,ISNUMBER(tblData[Day'# Generic])),betaGeneric/(deltaGeneric+betaPodeltaGeneric*EXP(-betaGeneric*tblData[Day'# Generic])),"")</f>
        <v>3547.5213229152719</v>
      </c>
      <c r="CB98" s="106" t="str">
        <f ca="1">IF(AND(ISNUMBER(tblData[Generic]),tblData[Date]&gt;StartDt2Generic),(tblData[Generic LogiP(t)]-tblData[[#This Row],[Generic]])^2,"")</f>
        <v/>
      </c>
      <c r="CC98" s="11" t="str">
        <f ca="1">IF(AND(ISNUMBER(tblData[Generic]),tblData[Date]&gt;StartDt2Generic),tblData[Generic LogiP(t)]/$CA$9,"")</f>
        <v/>
      </c>
      <c r="CD98" s="106" t="str">
        <f ca="1">IF(AND(ISNUMBER(tblData[Generic]),tblData[Date]&gt;StartDt2Generic),(tblData[Generic]-AVERAGE(tblData[Generic]))^2,"")</f>
        <v/>
      </c>
      <c r="CE98" s="11">
        <f>tblData[[#This Row],[Date]]-Generic100dt+1</f>
        <v>113</v>
      </c>
      <c r="CF98" s="11"/>
      <c r="CG98" s="11"/>
      <c r="CH98" s="11" t="str">
        <f>IF(ISNUMBER(tblData[[#This Row],[Tests]]),tblData[[#This Row],[Tests]]-CF97,"")</f>
        <v/>
      </c>
      <c r="CI98" s="11" t="str">
        <f>IF(ISNUMBER(tblData[[#This Row],[NSW Under Investigation'']]),tblData[[#This Row],[NSW Under Investigation'']]-CG97,"")</f>
        <v/>
      </c>
      <c r="CJ98" s="11">
        <f>IF(tblData[[#This Row],[Date]]&gt;myData!TestsStart,tblData[[#This Row],[Date]]-myData!TestsStart,"")</f>
        <v>128</v>
      </c>
      <c r="CK98" s="11">
        <f>IF(AND(tblData[[#This Row],[NSW Test Day Number]]&gt;0,ISNUMBER(tblData[[#This Row],[NSW Test Day Number]])),betaTests/(deltaTests+betaPodeltaTests*EXP(-betaTests*tblData[[#This Row],[NSW Test Day Number]])),"")</f>
        <v>127232.33802648455</v>
      </c>
      <c r="CL98" s="11" t="str">
        <f>IF(tblData[Tests]&gt;0,(tblData[[#This Row],[Tests]]-tblData[[#This Row],[NSW Test Logi]])^2,"")</f>
        <v/>
      </c>
      <c r="CM98" s="106" t="str">
        <f>IF(AND(ISNUMBER(tblData[Tests]),tblData[Date]&gt;StartDt2Tests),(tblData[Tests]-AVERAGE(tblData[Tests]))^2,"")</f>
        <v/>
      </c>
      <c r="CN98" s="11" t="str">
        <f>IF(ISNUMBER(tblData[Tests]),tblData[Tests]/$CN$9/100,"")</f>
        <v/>
      </c>
      <c r="CO98" s="106">
        <f ca="1">IF(AND(tblData[[#This Row],[NSW Test Day Number]]&gt;0,ISNUMBER(tblData[[#This Row],[NSW Test Day Number]])),TestsLogestB*TestsLogestM^tblData[[#This Row],[NSW Test Day Number]],"")</f>
        <v>15167886614.475664</v>
      </c>
      <c r="CP98" s="11" t="str">
        <f>IF(AND(tblData[[#This Row],[NSW Test Day Number]]&gt;0,ISNUMBER(tblData[Tests])),(tblData[Tests]-tblData[[#This Row],[NSW Test Per Capita]])^2,"")</f>
        <v/>
      </c>
      <c r="CQ98" s="39">
        <f ca="1">IF(AND(tblData[Day '# NSW]&gt;0,ISNUMBER(tblData[[#This Row],[Day '# NSW]])),NSWLogestB*NSWLogestM^tblData[[#This Row],[Day '# NSW]]/$CR$9,"")</f>
        <v>63689997.831708506</v>
      </c>
      <c r="CR98" s="39" t="str">
        <f ca="1">IF(AND(ISNUMBER(tblData[NSW]),tblData[Date]&gt;StartDt2NSW),(tblData[NSW]/$CR$9-tblData[[#This Row],[NSW Cases LogEst]])^2,"")</f>
        <v/>
      </c>
      <c r="CS98" s="106"/>
      <c r="CT98" s="11"/>
      <c r="CW98" s="25"/>
      <c r="CX98"/>
      <c r="DL98" s="25"/>
      <c r="DR98"/>
      <c r="DS98"/>
      <c r="DT98"/>
      <c r="DU98"/>
      <c r="DW98" s="25"/>
      <c r="DX98" s="25"/>
      <c r="EB98" s="25"/>
      <c r="EC98" s="25"/>
      <c r="ED98" s="25"/>
      <c r="EE98" s="25"/>
      <c r="EK98"/>
      <c r="EL98"/>
      <c r="EM98"/>
      <c r="EN98"/>
      <c r="EO98"/>
      <c r="EP98"/>
      <c r="EQ98"/>
      <c r="ER98"/>
      <c r="ES98" s="69"/>
      <c r="ET98"/>
      <c r="EU98" s="25" t="s">
        <v>209</v>
      </c>
      <c r="EV98" s="69">
        <v>43913.686736111114</v>
      </c>
      <c r="EW98" s="26">
        <v>43852</v>
      </c>
      <c r="EX98" s="26">
        <v>43870</v>
      </c>
      <c r="EY98" s="25">
        <v>3</v>
      </c>
      <c r="EZ98" s="25">
        <v>0.33723338048188056</v>
      </c>
      <c r="FA98" s="81">
        <v>5.5706351680568401E-7</v>
      </c>
      <c r="FB98" s="21">
        <v>2.5463658144544234E-2</v>
      </c>
      <c r="FC98" s="82">
        <v>605376.89205648517</v>
      </c>
      <c r="FD98" s="82">
        <v>389.60916165331662</v>
      </c>
      <c r="FE98" s="83">
        <v>13.243712446291234</v>
      </c>
      <c r="FF98" s="84">
        <v>5.5706351680568397E-4</v>
      </c>
      <c r="FG98" s="26">
        <v>43912</v>
      </c>
      <c r="FH98" s="25" t="s">
        <v>1302</v>
      </c>
      <c r="FI98" s="84">
        <v>605376.89205648517</v>
      </c>
      <c r="FJ98" s="84">
        <v>33272</v>
      </c>
      <c r="FK98" s="25" t="s">
        <v>1303</v>
      </c>
      <c r="FL98" s="26">
        <v>43912</v>
      </c>
      <c r="FM98" s="25">
        <v>43</v>
      </c>
      <c r="FN98" s="25" t="s">
        <v>1304</v>
      </c>
      <c r="FO98"/>
      <c r="FP98" s="25" t="s">
        <v>1305</v>
      </c>
      <c r="FQ98"/>
      <c r="FR98" s="25" t="s">
        <v>1306</v>
      </c>
      <c r="FS98" s="19">
        <v>1010.6074109561836</v>
      </c>
      <c r="FT98" s="72">
        <v>43912</v>
      </c>
      <c r="FU98" s="25">
        <v>1</v>
      </c>
      <c r="FV98" s="142">
        <v>43911</v>
      </c>
      <c r="FW98" s="25">
        <v>2</v>
      </c>
      <c r="FX98" t="s">
        <v>1301</v>
      </c>
      <c r="FY98" s="25"/>
    </row>
    <row r="99" spans="2:217" x14ac:dyDescent="0.25">
      <c r="B99" s="26">
        <f t="shared" si="4"/>
        <v>44030</v>
      </c>
      <c r="D99" s="25"/>
      <c r="L99" s="12" t="str">
        <f>IF(ISNUMBER(tblData[[#This Row],[NSW]]),tblData[[#This Row],[New South Wales]]/$L$9,"")</f>
        <v/>
      </c>
      <c r="M99" s="25"/>
      <c r="N99" s="44" t="str">
        <f>IF(ISNUMBER(tblData[Italy]),tblData[Italy]/$N$9,"")</f>
        <v/>
      </c>
      <c r="O99" s="25"/>
      <c r="P99" s="106" t="str">
        <f>IF(ISNUMBER(tblData[US]),tblData[US]/$P$9,"")</f>
        <v/>
      </c>
      <c r="Q99" s="44"/>
      <c r="R99" s="19" t="str">
        <f>IF(ISNUMBER(tblData[SKorea]),tblData[SKorea]/$R$9,"")</f>
        <v/>
      </c>
      <c r="S99" s="44"/>
      <c r="T99" s="12" t="str">
        <f>IF(ISNUMBER(tblData[UK]),tblData[UK]/$T$9,"")</f>
        <v/>
      </c>
      <c r="U99" s="25"/>
      <c r="V99" s="20" t="str">
        <f>IF(ISNUMBER(tblData[China]),tblData[China]/$V$9,"")</f>
        <v/>
      </c>
      <c r="W99" s="20"/>
      <c r="X99" s="20" t="str">
        <f>IF(ISNUMBER(tblData[Singapore]),tblData[Singapore]/$X$9,"")</f>
        <v/>
      </c>
      <c r="Y99" s="20"/>
      <c r="Z99" s="20" t="str">
        <f>IF(AND(LEN(tblData[Generic])&gt;0,ISNUMBER(tblData[Generic])),tblData[Generic]/$Z$9,"")</f>
        <v/>
      </c>
      <c r="AA99" s="25">
        <f ca="1">IF(tblData[[#This Row],[Date]]&lt;StartDt2Italy,"",tblData[[#This Row],[Date]]-ItalyStart)</f>
        <v>170</v>
      </c>
      <c r="AB99" s="25">
        <f ca="1">IF(tblData[[#This Row],[Date]]&lt;=StartDt2US,"",tblData[[#This Row],[Date]]-USStart)</f>
        <v>178</v>
      </c>
      <c r="AC99" s="25">
        <f ca="1">IF(tblData[[#This Row],[Date]]&lt;StartDt2China,"",tblData[[#This Row],[Date]]-ChinaStart)</f>
        <v>178</v>
      </c>
      <c r="AD99" s="25">
        <f>IF(tblData[[#This Row],[Date]]&lt;=SKoreaStart,"",tblData[[#This Row],[Date]]-SKoreaStart)</f>
        <v>178</v>
      </c>
      <c r="AE99" s="25">
        <f ca="1">IF(tblData[[#This Row],[Date]]&lt;=StartDt2UK,"",tblData[[#This Row],[Date]]-UKStart)</f>
        <v>170</v>
      </c>
      <c r="AF99" s="25">
        <f>IF(tblData[[#This Row],[Date]]&lt;StartDt2Singapore,"",tblData[[#This Row],[Date]]-SingaporeStart)</f>
        <v>177</v>
      </c>
      <c r="AG99" s="25">
        <f ca="1">IF(tblData[[#This Row],[Date]]&lt;StartDt2Generic,"",tblData[[#This Row],[Date]]-GenericStart)</f>
        <v>178</v>
      </c>
      <c r="AH99">
        <f ca="1">IF(tblData[Date]&gt;StartDt2Au,tblData[Date]-AuStart,"")</f>
        <v>175</v>
      </c>
      <c r="AI99" s="25">
        <f>IF(tblData[New South Wales]&gt;=0,SUM(tblData[[#This Row],[Australian Capital Territory]:[Western Australia]]),"")</f>
        <v>0</v>
      </c>
      <c r="AJ99" s="12">
        <f>IF(ISNUMBER(tblData[Au]),tblData[Au]/$AE$9,"")</f>
        <v>0</v>
      </c>
      <c r="AK99" s="39">
        <f ca="1">IF(ISNUMBER(tblData[[#This Row],[Day'# Aust]]),betaAu/(deltaAu+betaPodeltaAu*EXP(-betaAu*tblData[[#This Row],[Day'# Aust]])),"")</f>
        <v>6179.6706908259785</v>
      </c>
      <c r="AL99" s="63">
        <f ca="1">IF(ISNUMBER(tblData[Day'# Aust]),tblData[Au LogiP(t)]/$AJ$9,"")</f>
        <v>2436.3943742414363</v>
      </c>
      <c r="AM99" s="11" t="str">
        <f ca="1">IF(AND(tblData[Date]&gt;StartDt2Au,ISNUMBER(tblData[NSW])),(tblData[[#This Row],[Au LogiP(t)]]-tblData[[#This Row],[Au]])^2,"")</f>
        <v/>
      </c>
      <c r="AN99" s="11">
        <f ca="1">IF(AND(ISNUMBER(tblData[Au]),tblData[Date]&gt;StartDt2Au),(tblData[Au]-AVERAGE(tblData[Au]))^2,"")</f>
        <v>196564.33811020709</v>
      </c>
      <c r="AO99" s="11">
        <f>tblData[[#This Row],[Date]]-Au100dt</f>
        <v>126</v>
      </c>
      <c r="AP99">
        <f ca="1">IF(tblData[Date]&gt;StartDt2NSW,tblData[Date]-StartDt2NSW,"")</f>
        <v>175</v>
      </c>
      <c r="AQ99" s="25" t="str">
        <f>IF(tblData[[#This Row],[New South Wales]]&gt;0,tblData[[#This Row],[New South Wales]],"")</f>
        <v/>
      </c>
      <c r="AR99" s="11">
        <f ca="1">IF(tblData[Date]&gt;StartDt2NSW,betaNSW/(deltaNSW+betaPodeltaNSW*EXP(-betaNSW*tblData[[#This Row],[Day '# NSW]])),"")</f>
        <v>3000.2599690026464</v>
      </c>
      <c r="AS99" s="12" t="str">
        <f ca="1">IF(AND(ISNUMBER(tblData[NSW]),tblData[Date]&gt;StartDt2NSW),(tblData[[#This Row],[NSW LogiP(t)]]-tblData[[#This Row],[NSW]])^2,"")</f>
        <v/>
      </c>
      <c r="AT99" s="39">
        <f ca="1">IF(AND(tblData[Date]&gt;StartDt2NSW,ISNUMBER(tblData[Day'# Aust])),tblData[NSW LogiP(t)]/$AR$9,"")</f>
        <v>3713.193030943869</v>
      </c>
      <c r="AU99" s="11">
        <f>tblData[[#This Row],[Date]]-NSW100dt+1</f>
        <v>130</v>
      </c>
      <c r="AV99" s="11" t="str">
        <f ca="1">IF(AND(ISNUMBER(tblData[NSW]),tblData[Date]&gt;StartDt2NSW),(tblData[NSW]-AVERAGE(tblData[NSW]))^2,"")</f>
        <v/>
      </c>
      <c r="AW99" s="39">
        <f ca="1">IF(AND(tblData[Date]&gt;StartDt2Italy,ISNUMBER(tblData[Days'# Italy])),betaItaly/(deltaItaly+betaPodeltaItaly*EXP(-betaItaly*tblData[Days'# Italy])),"")</f>
        <v>97269.773664433349</v>
      </c>
      <c r="AX99" s="11" t="str">
        <f ca="1">IF(AND(tblData[Date]&gt;StartDt2Italy,ISNUMBER(tblData[Italy])),(tblData[[#This Row],[Italy LogiP(t)]]-tblData[[#This Row],[Italy]])^2,"")</f>
        <v/>
      </c>
      <c r="AY99" s="39">
        <f ca="1">IF(AND(tblData[Date]&gt;StartDt2Italy,ISNUMBER(tblData[Days'# Italy])),tblData[[#This Row],[Italy LogiP(t)]]/$AW$9,"")</f>
        <v>16081.635721986171</v>
      </c>
      <c r="AZ99" s="39" t="str">
        <f ca="1">IF(AND(ISNUMBER(tblData[Italy]),tblData[Date]&gt;StartDt2Italy),(tblData[Italy]-AVERAGE(tblData[Italy]))^2,"")</f>
        <v/>
      </c>
      <c r="BA99" s="11">
        <f>tblData[[#This Row],[Date]]-Italy100dt+1</f>
        <v>143</v>
      </c>
      <c r="BB99" s="11">
        <f ca="1">IF(AND(tblData[Date]&gt;StartDt2US,ISNUMBER(tblData[[#This Row],[Days'# US]])),betaUS/(deltaUS+betaPodeltaUS*EXP(-betaUS*tblData[Days'# US])),"")</f>
        <v>633176.40153312963</v>
      </c>
      <c r="BC99" s="11" t="str">
        <f ca="1">IF(AND(tblData[Date]&gt;StartDt2US,ISNUMBER(tblData[US])),(tblData[[#This Row],[US LogiP(t)]]-tblData[US])^2,"")</f>
        <v/>
      </c>
      <c r="BD99" s="137">
        <f ca="1">IF(AND(tblData[Date]&gt;=StartDt2US,ISNUMBER(tblData[[#This Row],[Days'# US]])),tblData[[#This Row],[US LogiP(t)]]/$BB$9,"")</f>
        <v>19232.170107957114</v>
      </c>
      <c r="BE99" s="137" t="str">
        <f ca="1">IF(AND(ISNUMBER(tblData[US]),tblData[Date]&gt;StartDt2US),(tblData[US]-AVERAGE(tblData[US]))^2,"")</f>
        <v/>
      </c>
      <c r="BF99" s="11">
        <f>tblData[[#This Row],[Date]]-US100dt+1</f>
        <v>127</v>
      </c>
      <c r="BG99" s="20">
        <f ca="1">IF(tblData[Date]&gt;StartDt2SKorea,betaSKorea/(deltaSKorea+betaPodeltaSKorea*EXP(-betaSKorea*(tblData[Date]-StartDt2SKorea))),"")</f>
        <v>9037.3342829253106</v>
      </c>
      <c r="BH99" s="20" t="str">
        <f ca="1">IF(AND(tblData[Date]&gt;StartDt2SKorea,ISNUMBER(tblData[SKorea])),(tblData[[#This Row],[SKorea LogiP(t)]]-tblData[[#This Row],[SKorea]])^2,"")</f>
        <v/>
      </c>
      <c r="BI99" s="20">
        <f ca="1">IF(tblData[Date]&gt;StartDt2SKorea,tblData[[#This Row],[SKorea LogiP(t)]]/$BG$9,"")</f>
        <v>1758.2362418142629</v>
      </c>
      <c r="BJ99" s="137" t="str">
        <f ca="1">IF(AND(ISNUMBER(tblData[SKorea]),tblData[Date]&gt;StartDt2SKorea),(tblData[SKorea]-AVERAGE(tblData[SKorea]))^2,"")</f>
        <v/>
      </c>
      <c r="BK99" s="11">
        <f>tblData[[#This Row],[Date]]-SKorea100dt+1</f>
        <v>148</v>
      </c>
      <c r="BL99" s="137">
        <f ca="1">IF(AND(tblData[Date]&gt;StartDt2UK,ISNUMBER(tblData[Days'# UK])),betaUK/(deltaUK+betaPodeltaUK*EXP(-betaUK*tblData[Days'# UK])),"")</f>
        <v>74551.842288975124</v>
      </c>
      <c r="BM99" s="71" t="str">
        <f ca="1">IF(AND(tblData[Date]&gt;StartDt2UK,ISNUMBER(tblData[UK])),(tblData[[#This Row],[UK LogiP(t)]]-tblData[[#This Row],[UK]])^2,"")</f>
        <v/>
      </c>
      <c r="BN99" s="71">
        <f ca="1">IF(ISNUMBER(tblData[Days'# UK]),tblData[[#This Row],[UK LogiP(t)]]/$BL$9,"")</f>
        <v>11220.927496835509</v>
      </c>
      <c r="BO99" s="137" t="str">
        <f ca="1">IF(AND(ISNUMBER(tblData[UK]),tblData[Date]&gt;StartDt2UK),(tblData[UK]-AVERAGE(tblData[UK]))^2,"")</f>
        <v/>
      </c>
      <c r="BP99" s="11">
        <f>tblData[[#This Row],[Date]]-UK100dt</f>
        <v>128</v>
      </c>
      <c r="BQ99" s="11">
        <f ca="1">IF(ISNUMBER(tblData[Days'# China]),betaChina/(deltaChina+betaPodeltaChina*EXP(-betaChina*tblData[Days'# China])),"")</f>
        <v>81223.951297127729</v>
      </c>
      <c r="BR99" s="11" t="str">
        <f>IF(ISNUMBER(tblData[China]),(tblData[[#This Row],[China LogiP(t)]]-tblData[[#This Row],[China]])^2,"")</f>
        <v/>
      </c>
      <c r="BS99" s="11">
        <f ca="1">tblData[[#This Row],[China LogiP(t)]]/$BQ$9</f>
        <v>564.32022211747119</v>
      </c>
      <c r="BT99" s="137" t="str">
        <f ca="1">IF(AND(ISNUMBER(tblData[China]),tblData[Date]&gt;StartDt2China),(tblData[China]-AVERAGE(tblData[China]))^2,"")</f>
        <v/>
      </c>
      <c r="BU99" s="11">
        <f>tblData[[#This Row],[Date]]-China100dt</f>
        <v>178</v>
      </c>
      <c r="BV99" s="106">
        <f>IF(ISNUMBER(tblData[Day'# Singapore]),betaSingapore/(deltaSingapore+betaPodeltaSingapore*EXP(-betaSingapore*tblData[Day'# Singapore])),"")</f>
        <v>137289.28633774453</v>
      </c>
      <c r="BW99" s="11" t="str">
        <f>IF(AND(ISNUMBER(tblData[Singapore]),tblData[Date]&gt;=StartDt2Singapore),(tblData[[#This Row],[Singapore LogiP(t)]]-tblData[[#This Row],[Singapore]])^2,"")</f>
        <v/>
      </c>
      <c r="BX99" s="106">
        <f>IF(ISNUMBER(tblData[Day'# Singapore]),tblData[Singapore LogiP(t)]/$BV$9,"")</f>
        <v>234682.54074828126</v>
      </c>
      <c r="BY99" s="106" t="str">
        <f>IF(AND(ISNUMBER(tblData[Singapore]),tblData[Date]&gt;StartDt2Singapore),(tblData[Singapore]-AVERAGE(tblData[Singapore]))^2,"")</f>
        <v/>
      </c>
      <c r="BZ99" s="11">
        <f>tblData[[#This Row],[Date]]-Singapore100dt+1</f>
        <v>159</v>
      </c>
      <c r="CA99" s="11">
        <f ca="1">IF(AND(tblData[Date]&gt;StartDt2Generic,ISNUMBER(tblData[Day'# Generic])),betaGeneric/(deltaGeneric+betaPodeltaGeneric*EXP(-betaGeneric*tblData[Day'# Generic])),"")</f>
        <v>3547.5213454438672</v>
      </c>
      <c r="CB99" s="106" t="str">
        <f ca="1">IF(AND(ISNUMBER(tblData[Generic]),tblData[Date]&gt;StartDt2Generic),(tblData[Generic LogiP(t)]-tblData[[#This Row],[Generic]])^2,"")</f>
        <v/>
      </c>
      <c r="CC99" s="11" t="str">
        <f ca="1">IF(AND(ISNUMBER(tblData[Generic]),tblData[Date]&gt;StartDt2Generic),tblData[Generic LogiP(t)]/$CA$9,"")</f>
        <v/>
      </c>
      <c r="CD99" s="106" t="str">
        <f ca="1">IF(AND(ISNUMBER(tblData[Generic]),tblData[Date]&gt;StartDt2Generic),(tblData[Generic]-AVERAGE(tblData[Generic]))^2,"")</f>
        <v/>
      </c>
      <c r="CE99" s="11">
        <f>tblData[[#This Row],[Date]]-Generic100dt+1</f>
        <v>120</v>
      </c>
      <c r="CF99" s="11"/>
      <c r="CG99" s="11"/>
      <c r="CH99" s="11" t="str">
        <f>IF(ISNUMBER(tblData[[#This Row],[Tests]]),tblData[[#This Row],[Tests]]-CF98,"")</f>
        <v/>
      </c>
      <c r="CI99" s="11" t="str">
        <f>IF(ISNUMBER(tblData[[#This Row],[NSW Under Investigation'']]),tblData[[#This Row],[NSW Under Investigation'']]-CG98,"")</f>
        <v/>
      </c>
      <c r="CJ99" s="11">
        <f>IF(tblData[[#This Row],[Date]]&gt;myData!TestsStart,tblData[[#This Row],[Date]]-myData!TestsStart,"")</f>
        <v>135</v>
      </c>
      <c r="CK99" s="11">
        <f>IF(AND(tblData[[#This Row],[NSW Test Day Number]]&gt;0,ISNUMBER(tblData[[#This Row],[NSW Test Day Number]])),betaTests/(deltaTests+betaPodeltaTests*EXP(-betaTests*tblData[[#This Row],[NSW Test Day Number]])),"")</f>
        <v>127232.33844373997</v>
      </c>
      <c r="CL99" s="11" t="str">
        <f>IF(tblData[Tests]&gt;0,(tblData[[#This Row],[Tests]]-tblData[[#This Row],[NSW Test Logi]])^2,"")</f>
        <v/>
      </c>
      <c r="CM99" s="106" t="str">
        <f>IF(AND(ISNUMBER(tblData[Tests]),tblData[Date]&gt;StartDt2Tests),(tblData[Tests]-AVERAGE(tblData[Tests]))^2,"")</f>
        <v/>
      </c>
      <c r="CN99" s="11" t="str">
        <f>IF(ISNUMBER(tblData[Tests]),tblData[Tests]/$CN$9/100,"")</f>
        <v/>
      </c>
      <c r="CO99" s="106">
        <f ca="1">IF(AND(tblData[[#This Row],[NSW Test Day Number]]&gt;0,ISNUMBER(tblData[[#This Row],[NSW Test Day Number]])),TestsLogestB*TestsLogestM^tblData[[#This Row],[NSW Test Day Number]],"")</f>
        <v>33961155809.663036</v>
      </c>
      <c r="CP99" s="11" t="str">
        <f>IF(AND(tblData[[#This Row],[NSW Test Day Number]]&gt;0,ISNUMBER(tblData[Tests])),(tblData[Tests]-tblData[[#This Row],[NSW Test Per Capita]])^2,"")</f>
        <v/>
      </c>
      <c r="CQ99" s="39">
        <f ca="1">IF(AND(tblData[Day '# NSW]&gt;0,ISNUMBER(tblData[[#This Row],[Day '# NSW]])),NSWLogestB*NSWLogestM^tblData[[#This Row],[Day '# NSW]]/$CR$9,"")</f>
        <v>134700875.41271791</v>
      </c>
      <c r="CR99" s="39" t="str">
        <f ca="1">IF(AND(ISNUMBER(tblData[NSW]),tblData[Date]&gt;StartDt2NSW),(tblData[NSW]/$CR$9-tblData[[#This Row],[NSW Cases LogEst]])^2,"")</f>
        <v/>
      </c>
      <c r="CS99" s="106"/>
      <c r="CT99" s="11"/>
      <c r="CW99" s="25"/>
      <c r="CX99"/>
      <c r="DL99" s="25"/>
      <c r="DR99"/>
      <c r="DS99"/>
      <c r="DT99"/>
      <c r="DU99"/>
      <c r="DW99" s="25"/>
      <c r="DX99" s="25"/>
      <c r="EB99" s="25"/>
      <c r="EC99" s="25"/>
      <c r="ED99" s="25"/>
      <c r="EE99" s="25"/>
      <c r="EK99"/>
      <c r="EL99"/>
      <c r="EM99"/>
      <c r="EN99"/>
      <c r="EO99"/>
      <c r="EP99"/>
      <c r="EQ99"/>
      <c r="ER99"/>
      <c r="ES99" s="69"/>
      <c r="ET99"/>
      <c r="EU99" s="25" t="s">
        <v>209</v>
      </c>
      <c r="EV99" s="69">
        <v>43914.307881944442</v>
      </c>
      <c r="EW99" s="26">
        <v>43852</v>
      </c>
      <c r="EX99" s="26">
        <v>43870</v>
      </c>
      <c r="EY99" s="25">
        <v>3</v>
      </c>
      <c r="EZ99" s="25">
        <v>0.33723338032075978</v>
      </c>
      <c r="FA99" s="25">
        <v>5.5704542546099318E-7</v>
      </c>
      <c r="FB99" s="21">
        <v>2.5463658143704725E-2</v>
      </c>
      <c r="FC99" s="82">
        <v>605396.5527886278</v>
      </c>
      <c r="FD99" s="82">
        <v>389.60916095152731</v>
      </c>
      <c r="FE99" s="83">
        <v>13.243712440418475</v>
      </c>
      <c r="FF99" s="84">
        <v>5.570454254609932E-4</v>
      </c>
      <c r="FG99" s="26">
        <v>43912</v>
      </c>
      <c r="FH99" s="25" t="s">
        <v>1302</v>
      </c>
      <c r="FI99" s="84">
        <v>605396.5527886278</v>
      </c>
      <c r="FJ99" s="84">
        <v>33272</v>
      </c>
      <c r="FK99" s="25" t="s">
        <v>1303</v>
      </c>
      <c r="FL99" s="26">
        <v>43912</v>
      </c>
      <c r="FM99" s="25">
        <v>43</v>
      </c>
      <c r="FN99" s="25" t="s">
        <v>1304</v>
      </c>
      <c r="FO99"/>
      <c r="FP99" t="s">
        <v>1305</v>
      </c>
      <c r="FR99" s="25" t="s">
        <v>1306</v>
      </c>
      <c r="FS99" s="19">
        <v>1010.6074109561836</v>
      </c>
      <c r="FT99" s="72">
        <v>43912</v>
      </c>
      <c r="FU99" s="25">
        <v>1</v>
      </c>
      <c r="FV99" s="142">
        <v>43911</v>
      </c>
      <c r="FW99" s="25">
        <v>2</v>
      </c>
      <c r="FX99" t="s">
        <v>1321</v>
      </c>
      <c r="FY99" s="25"/>
      <c r="FZ99" s="25"/>
      <c r="GA99" s="25"/>
      <c r="GB99" s="25"/>
      <c r="GC99" s="25"/>
      <c r="GD99" s="25"/>
    </row>
    <row r="100" spans="2:217" x14ac:dyDescent="0.25">
      <c r="B100" s="26">
        <f t="shared" si="4"/>
        <v>44037</v>
      </c>
      <c r="D100" s="25"/>
      <c r="L100" s="12" t="str">
        <f>IF(ISNUMBER(tblData[[#This Row],[NSW]]),tblData[[#This Row],[New South Wales]]/$L$9,"")</f>
        <v/>
      </c>
      <c r="M100" s="25"/>
      <c r="N100" s="44" t="str">
        <f>IF(ISNUMBER(tblData[Italy]),tblData[Italy]/$N$9,"")</f>
        <v/>
      </c>
      <c r="O100" s="25"/>
      <c r="P100" s="106" t="str">
        <f>IF(ISNUMBER(tblData[US]),tblData[US]/$P$9,"")</f>
        <v/>
      </c>
      <c r="Q100" s="44"/>
      <c r="R100" s="19" t="str">
        <f>IF(ISNUMBER(tblData[SKorea]),tblData[SKorea]/$R$9,"")</f>
        <v/>
      </c>
      <c r="S100" s="44"/>
      <c r="T100" s="12" t="str">
        <f>IF(ISNUMBER(tblData[UK]),tblData[UK]/$T$9,"")</f>
        <v/>
      </c>
      <c r="U100" s="25"/>
      <c r="V100" s="20" t="str">
        <f>IF(ISNUMBER(tblData[China]),tblData[China]/$V$9,"")</f>
        <v/>
      </c>
      <c r="W100" s="20"/>
      <c r="X100" s="20" t="str">
        <f>IF(ISNUMBER(tblData[Singapore]),tblData[Singapore]/$X$9,"")</f>
        <v/>
      </c>
      <c r="Y100" s="20"/>
      <c r="Z100" s="20" t="str">
        <f>IF(AND(LEN(tblData[Generic])&gt;0,ISNUMBER(tblData[Generic])),tblData[Generic]/$Z$9,"")</f>
        <v/>
      </c>
      <c r="AA100" s="25">
        <f ca="1">IF(tblData[[#This Row],[Date]]&lt;StartDt2Italy,"",tblData[[#This Row],[Date]]-ItalyStart)</f>
        <v>177</v>
      </c>
      <c r="AB100" s="25">
        <f ca="1">IF(tblData[[#This Row],[Date]]&lt;=StartDt2US,"",tblData[[#This Row],[Date]]-USStart)</f>
        <v>185</v>
      </c>
      <c r="AC100" s="25">
        <f ca="1">IF(tblData[[#This Row],[Date]]&lt;StartDt2China,"",tblData[[#This Row],[Date]]-ChinaStart)</f>
        <v>185</v>
      </c>
      <c r="AD100" s="25">
        <f>IF(tblData[[#This Row],[Date]]&lt;=SKoreaStart,"",tblData[[#This Row],[Date]]-SKoreaStart)</f>
        <v>185</v>
      </c>
      <c r="AE100" s="25">
        <f ca="1">IF(tblData[[#This Row],[Date]]&lt;=StartDt2UK,"",tblData[[#This Row],[Date]]-UKStart)</f>
        <v>177</v>
      </c>
      <c r="AF100" s="25">
        <f>IF(tblData[[#This Row],[Date]]&lt;StartDt2Singapore,"",tblData[[#This Row],[Date]]-SingaporeStart)</f>
        <v>184</v>
      </c>
      <c r="AG100" s="25">
        <f ca="1">IF(tblData[[#This Row],[Date]]&lt;StartDt2Generic,"",tblData[[#This Row],[Date]]-GenericStart)</f>
        <v>185</v>
      </c>
      <c r="AH100">
        <f ca="1">IF(tblData[Date]&gt;StartDt2Au,tblData[Date]-AuStart,"")</f>
        <v>182</v>
      </c>
      <c r="AI100" s="25">
        <f>IF(tblData[New South Wales]&gt;=0,SUM(tblData[[#This Row],[Australian Capital Territory]:[Western Australia]]),"")</f>
        <v>0</v>
      </c>
      <c r="AJ100" s="12">
        <f>IF(ISNUMBER(tblData[Au]),tblData[Au]/$AE$9,"")</f>
        <v>0</v>
      </c>
      <c r="AK100" s="39">
        <f ca="1">IF(ISNUMBER(tblData[[#This Row],[Day'# Aust]]),betaAu/(deltaAu+betaPodeltaAu*EXP(-betaAu*tblData[[#This Row],[Day'# Aust]])),"")</f>
        <v>6179.6706908278256</v>
      </c>
      <c r="AL100" s="63">
        <f ca="1">IF(ISNUMBER(tblData[Day'# Aust]),tblData[Au LogiP(t)]/$AJ$9,"")</f>
        <v>2436.3943742421643</v>
      </c>
      <c r="AM100" s="11" t="str">
        <f ca="1">IF(AND(tblData[Date]&gt;StartDt2Au,ISNUMBER(tblData[NSW])),(tblData[[#This Row],[Au LogiP(t)]]-tblData[[#This Row],[Au]])^2,"")</f>
        <v/>
      </c>
      <c r="AN100" s="11">
        <f ca="1">IF(AND(ISNUMBER(tblData[Au]),tblData[Date]&gt;StartDt2Au),(tblData[Au]-AVERAGE(tblData[Au]))^2,"")</f>
        <v>196564.33811020709</v>
      </c>
      <c r="AO100" s="11">
        <f>tblData[[#This Row],[Date]]-Au100dt</f>
        <v>133</v>
      </c>
      <c r="AP100">
        <f ca="1">IF(tblData[Date]&gt;StartDt2NSW,tblData[Date]-StartDt2NSW,"")</f>
        <v>182</v>
      </c>
      <c r="AQ100" s="25" t="str">
        <f>IF(tblData[[#This Row],[New South Wales]]&gt;0,tblData[[#This Row],[New South Wales]],"")</f>
        <v/>
      </c>
      <c r="AR100" s="11">
        <f ca="1">IF(tblData[Date]&gt;StartDt2NSW,betaNSW/(deltaNSW+betaPodeltaNSW*EXP(-betaNSW*tblData[[#This Row],[Day '# NSW]])),"")</f>
        <v>3000.2599690088127</v>
      </c>
      <c r="AS100" s="12" t="str">
        <f ca="1">IF(AND(ISNUMBER(tblData[NSW]),tblData[Date]&gt;StartDt2NSW),(tblData[[#This Row],[NSW LogiP(t)]]-tblData[[#This Row],[NSW]])^2,"")</f>
        <v/>
      </c>
      <c r="AT100" s="39">
        <f ca="1">IF(AND(tblData[Date]&gt;StartDt2NSW,ISNUMBER(tblData[Day'# Aust])),tblData[NSW LogiP(t)]/$AR$9,"")</f>
        <v>3713.1930309515005</v>
      </c>
      <c r="AU100" s="11">
        <f>tblData[[#This Row],[Date]]-NSW100dt+1</f>
        <v>137</v>
      </c>
      <c r="AV100" s="11" t="str">
        <f ca="1">IF(AND(ISNUMBER(tblData[NSW]),tblData[Date]&gt;StartDt2NSW),(tblData[NSW]-AVERAGE(tblData[NSW]))^2,"")</f>
        <v/>
      </c>
      <c r="AW100" s="39">
        <f ca="1">IF(AND(tblData[Date]&gt;StartDt2Italy,ISNUMBER(tblData[Days'# Italy])),betaItaly/(deltaItaly+betaPodeltaItaly*EXP(-betaItaly*tblData[Days'# Italy])),"")</f>
        <v>97269.773664435357</v>
      </c>
      <c r="AX100" s="11" t="str">
        <f ca="1">IF(AND(tblData[Date]&gt;StartDt2Italy,ISNUMBER(tblData[Italy])),(tblData[[#This Row],[Italy LogiP(t)]]-tblData[[#This Row],[Italy]])^2,"")</f>
        <v/>
      </c>
      <c r="AY100" s="39">
        <f ca="1">IF(AND(tblData[Date]&gt;StartDt2Italy,ISNUMBER(tblData[Days'# Italy])),tblData[[#This Row],[Italy LogiP(t)]]/$AW$9,"")</f>
        <v>16081.635721986502</v>
      </c>
      <c r="AZ100" s="39" t="str">
        <f ca="1">IF(AND(ISNUMBER(tblData[Italy]),tblData[Date]&gt;StartDt2Italy),(tblData[Italy]-AVERAGE(tblData[Italy]))^2,"")</f>
        <v/>
      </c>
      <c r="BA100" s="11">
        <f>tblData[[#This Row],[Date]]-Italy100dt+1</f>
        <v>150</v>
      </c>
      <c r="BB100" s="11">
        <f ca="1">IF(AND(tblData[Date]&gt;StartDt2US,ISNUMBER(tblData[[#This Row],[Days'# US]])),betaUS/(deltaUS+betaPodeltaUS*EXP(-betaUS*tblData[Days'# US])),"")</f>
        <v>633176.40153316967</v>
      </c>
      <c r="BC100" s="11" t="str">
        <f ca="1">IF(AND(tblData[Date]&gt;StartDt2US,ISNUMBER(tblData[US])),(tblData[[#This Row],[US LogiP(t)]]-tblData[US])^2,"")</f>
        <v/>
      </c>
      <c r="BD100" s="137">
        <f ca="1">IF(AND(tblData[Date]&gt;=StartDt2US,ISNUMBER(tblData[[#This Row],[Days'# US]])),tblData[[#This Row],[US LogiP(t)]]/$BB$9,"")</f>
        <v>19232.170107958329</v>
      </c>
      <c r="BE100" s="137" t="str">
        <f ca="1">IF(AND(ISNUMBER(tblData[US]),tblData[Date]&gt;StartDt2US),(tblData[US]-AVERAGE(tblData[US]))^2,"")</f>
        <v/>
      </c>
      <c r="BF100" s="11">
        <f>tblData[[#This Row],[Date]]-US100dt+1</f>
        <v>134</v>
      </c>
      <c r="BG100" s="20">
        <f ca="1">IF(tblData[Date]&gt;StartDt2SKorea,betaSKorea/(deltaSKorea+betaPodeltaSKorea*EXP(-betaSKorea*(tblData[Date]-StartDt2SKorea))),"")</f>
        <v>9037.3342829253143</v>
      </c>
      <c r="BH100" s="20" t="str">
        <f ca="1">IF(AND(tblData[Date]&gt;StartDt2SKorea,ISNUMBER(tblData[SKorea])),(tblData[[#This Row],[SKorea LogiP(t)]]-tblData[[#This Row],[SKorea]])^2,"")</f>
        <v/>
      </c>
      <c r="BI100" s="20">
        <f ca="1">IF(tblData[Date]&gt;StartDt2SKorea,tblData[[#This Row],[SKorea LogiP(t)]]/$BG$9,"")</f>
        <v>1758.2362418142636</v>
      </c>
      <c r="BJ100" s="137" t="str">
        <f ca="1">IF(AND(ISNUMBER(tblData[SKorea]),tblData[Date]&gt;StartDt2SKorea),(tblData[SKorea]-AVERAGE(tblData[SKorea]))^2,"")</f>
        <v/>
      </c>
      <c r="BK100" s="11">
        <f>tblData[[#This Row],[Date]]-SKorea100dt+1</f>
        <v>155</v>
      </c>
      <c r="BL100" s="137">
        <f ca="1">IF(AND(tblData[Date]&gt;StartDt2UK,ISNUMBER(tblData[Days'# UK])),betaUK/(deltaUK+betaPodeltaUK*EXP(-betaUK*tblData[Days'# UK])),"")</f>
        <v>74551.842297191819</v>
      </c>
      <c r="BM100" s="71" t="str">
        <f ca="1">IF(AND(tblData[Date]&gt;StartDt2UK,ISNUMBER(tblData[UK])),(tblData[[#This Row],[UK LogiP(t)]]-tblData[[#This Row],[UK]])^2,"")</f>
        <v/>
      </c>
      <c r="BN100" s="71">
        <f ca="1">IF(ISNUMBER(tblData[Days'# UK]),tblData[[#This Row],[UK LogiP(t)]]/$BL$9,"")</f>
        <v>11220.927498072218</v>
      </c>
      <c r="BO100" s="137" t="str">
        <f ca="1">IF(AND(ISNUMBER(tblData[UK]),tblData[Date]&gt;StartDt2UK),(tblData[UK]-AVERAGE(tblData[UK]))^2,"")</f>
        <v/>
      </c>
      <c r="BP100" s="11">
        <f>tblData[[#This Row],[Date]]-UK100dt</f>
        <v>135</v>
      </c>
      <c r="BQ100" s="11">
        <f ca="1">IF(ISNUMBER(tblData[Days'# China]),betaChina/(deltaChina+betaPodeltaChina*EXP(-betaChina*tblData[Days'# China])),"")</f>
        <v>81223.951297127744</v>
      </c>
      <c r="BR100" s="11" t="str">
        <f>IF(ISNUMBER(tblData[China]),(tblData[[#This Row],[China LogiP(t)]]-tblData[[#This Row],[China]])^2,"")</f>
        <v/>
      </c>
      <c r="BS100" s="11">
        <f ca="1">tblData[[#This Row],[China LogiP(t)]]/$BQ$9</f>
        <v>564.3202221174713</v>
      </c>
      <c r="BT100" s="137" t="str">
        <f ca="1">IF(AND(ISNUMBER(tblData[China]),tblData[Date]&gt;StartDt2China),(tblData[China]-AVERAGE(tblData[China]))^2,"")</f>
        <v/>
      </c>
      <c r="BU100" s="11">
        <f>tblData[[#This Row],[Date]]-China100dt</f>
        <v>185</v>
      </c>
      <c r="BV100" s="106">
        <f>IF(ISNUMBER(tblData[Day'# Singapore]),betaSingapore/(deltaSingapore+betaPodeltaSingapore*EXP(-betaSingapore*tblData[Day'# Singapore])),"")</f>
        <v>138732.98270205891</v>
      </c>
      <c r="BW100" s="11" t="str">
        <f>IF(AND(ISNUMBER(tblData[Singapore]),tblData[Date]&gt;=StartDt2Singapore),(tblData[[#This Row],[Singapore LogiP(t)]]-tblData[[#This Row],[Singapore]])^2,"")</f>
        <v/>
      </c>
      <c r="BX100" s="106">
        <f>IF(ISNUMBER(tblData[Day'# Singapore]),tblData[Singapore LogiP(t)]/$BV$9,"")</f>
        <v>237150.3977812973</v>
      </c>
      <c r="BY100" s="106" t="str">
        <f>IF(AND(ISNUMBER(tblData[Singapore]),tblData[Date]&gt;StartDt2Singapore),(tblData[Singapore]-AVERAGE(tblData[Singapore]))^2,"")</f>
        <v/>
      </c>
      <c r="BZ100" s="11">
        <f>tblData[[#This Row],[Date]]-Singapore100dt+1</f>
        <v>166</v>
      </c>
      <c r="CA100" s="11">
        <f ca="1">IF(AND(tblData[Date]&gt;StartDt2Generic,ISNUMBER(tblData[Day'# Generic])),betaGeneric/(deltaGeneric+betaPodeltaGeneric*EXP(-betaGeneric*tblData[Day'# Generic])),"")</f>
        <v>3547.5213511221114</v>
      </c>
      <c r="CB100" s="106" t="str">
        <f ca="1">IF(AND(ISNUMBER(tblData[Generic]),tblData[Date]&gt;StartDt2Generic),(tblData[Generic LogiP(t)]-tblData[[#This Row],[Generic]])^2,"")</f>
        <v/>
      </c>
      <c r="CC100" s="11" t="str">
        <f ca="1">IF(AND(ISNUMBER(tblData[Generic]),tblData[Date]&gt;StartDt2Generic),tblData[Generic LogiP(t)]/$CA$9,"")</f>
        <v/>
      </c>
      <c r="CD100" s="106" t="str">
        <f ca="1">IF(AND(ISNUMBER(tblData[Generic]),tblData[Date]&gt;StartDt2Generic),(tblData[Generic]-AVERAGE(tblData[Generic]))^2,"")</f>
        <v/>
      </c>
      <c r="CE100" s="11">
        <f>tblData[[#This Row],[Date]]-Generic100dt+1</f>
        <v>127</v>
      </c>
      <c r="CF100" s="11"/>
      <c r="CG100" s="11"/>
      <c r="CH100" s="11" t="str">
        <f>IF(ISNUMBER(tblData[[#This Row],[Tests]]),tblData[[#This Row],[Tests]]-CF99,"")</f>
        <v/>
      </c>
      <c r="CI100" s="11" t="str">
        <f>IF(ISNUMBER(tblData[[#This Row],[NSW Under Investigation'']]),tblData[[#This Row],[NSW Under Investigation'']]-CG99,"")</f>
        <v/>
      </c>
      <c r="CJ100" s="11">
        <f>IF(tblData[[#This Row],[Date]]&gt;myData!TestsStart,tblData[[#This Row],[Date]]-myData!TestsStart,"")</f>
        <v>142</v>
      </c>
      <c r="CK100" s="11">
        <f>IF(AND(tblData[[#This Row],[NSW Test Day Number]]&gt;0,ISNUMBER(tblData[[#This Row],[NSW Test Day Number]])),betaTests/(deltaTests+betaPodeltaTests*EXP(-betaTests*tblData[[#This Row],[NSW Test Day Number]])),"")</f>
        <v>127232.33856534165</v>
      </c>
      <c r="CL100" s="11" t="str">
        <f>IF(tblData[Tests]&gt;0,(tblData[[#This Row],[Tests]]-tblData[[#This Row],[NSW Test Logi]])^2,"")</f>
        <v/>
      </c>
      <c r="CM100" s="106" t="str">
        <f>IF(AND(ISNUMBER(tblData[Tests]),tblData[Date]&gt;StartDt2Tests),(tblData[Tests]-AVERAGE(tblData[Tests]))^2,"")</f>
        <v/>
      </c>
      <c r="CN100" s="11" t="str">
        <f>IF(ISNUMBER(tblData[Tests]),tblData[Tests]/$CN$9/100,"")</f>
        <v/>
      </c>
      <c r="CO100" s="106">
        <f ca="1">IF(AND(tblData[[#This Row],[NSW Test Day Number]]&gt;0,ISNUMBER(tblData[[#This Row],[NSW Test Day Number]])),TestsLogestB*TestsLogestM^tblData[[#This Row],[NSW Test Day Number]],"")</f>
        <v>76039604807.40181</v>
      </c>
      <c r="CP100" s="11" t="str">
        <f>IF(AND(tblData[[#This Row],[NSW Test Day Number]]&gt;0,ISNUMBER(tblData[Tests])),(tblData[Tests]-tblData[[#This Row],[NSW Test Per Capita]])^2,"")</f>
        <v/>
      </c>
      <c r="CQ100" s="39">
        <f ca="1">IF(AND(tblData[Day '# NSW]&gt;0,ISNUMBER(tblData[[#This Row],[Day '# NSW]])),NSWLogestB*NSWLogestM^tblData[[#This Row],[Day '# NSW]]/$CR$9,"")</f>
        <v>284885012.63410747</v>
      </c>
      <c r="CR100" s="39" t="str">
        <f ca="1">IF(AND(ISNUMBER(tblData[NSW]),tblData[Date]&gt;StartDt2NSW),(tblData[NSW]/$CR$9-tblData[[#This Row],[NSW Cases LogEst]])^2,"")</f>
        <v/>
      </c>
      <c r="CS100" s="106"/>
      <c r="CT100" s="11"/>
      <c r="CW100" s="25"/>
      <c r="CX100"/>
      <c r="DL100" s="25"/>
      <c r="DR100"/>
      <c r="DS100"/>
      <c r="DT100"/>
      <c r="DU100"/>
      <c r="DW100" s="25"/>
      <c r="DX100" s="25"/>
      <c r="EB100" s="25"/>
      <c r="EC100" s="25"/>
      <c r="ED100" s="25"/>
      <c r="EE100" s="25"/>
      <c r="EK100"/>
      <c r="EL100"/>
      <c r="EM100"/>
      <c r="EN100"/>
      <c r="EO100"/>
      <c r="EP100"/>
      <c r="EQ100"/>
      <c r="ER100"/>
      <c r="ES100" s="69"/>
      <c r="ET100"/>
      <c r="EU100" s="26" t="s">
        <v>209</v>
      </c>
      <c r="EV100" s="69">
        <v>43914.462731481479</v>
      </c>
      <c r="EW100" s="26">
        <v>43852</v>
      </c>
      <c r="EX100" s="26">
        <v>43870</v>
      </c>
      <c r="EY100" s="25">
        <v>3</v>
      </c>
      <c r="EZ100">
        <v>0.33723338032076405</v>
      </c>
      <c r="FA100" s="25">
        <v>5.5671059648604149E-7</v>
      </c>
      <c r="FB100" s="21">
        <v>2.546365814370475E-2</v>
      </c>
      <c r="FC100" s="82">
        <v>605760.66352855845</v>
      </c>
      <c r="FD100" s="82">
        <v>389.60910580191603</v>
      </c>
      <c r="FE100" s="83">
        <v>13.243712440753461</v>
      </c>
      <c r="FF100" s="84">
        <v>5.5671059648604152E-4</v>
      </c>
      <c r="FG100" s="26">
        <v>43912</v>
      </c>
      <c r="FH100" s="25" t="s">
        <v>1358</v>
      </c>
      <c r="FI100" s="84">
        <v>605760.66352855845</v>
      </c>
      <c r="FJ100" s="84">
        <v>33272</v>
      </c>
      <c r="FK100" s="84" t="s">
        <v>1303</v>
      </c>
      <c r="FL100" s="26">
        <v>43912</v>
      </c>
      <c r="FM100" s="25">
        <v>43</v>
      </c>
      <c r="FN100" t="s">
        <v>1359</v>
      </c>
      <c r="FO100" s="25"/>
      <c r="FP100" t="s">
        <v>1305</v>
      </c>
      <c r="FQ100"/>
      <c r="FR100" s="25" t="s">
        <v>1360</v>
      </c>
      <c r="FS100" s="19">
        <v>1010.6074109561836</v>
      </c>
      <c r="FT100" s="72">
        <v>43914</v>
      </c>
      <c r="FU100" s="25">
        <v>0</v>
      </c>
      <c r="FV100" s="142">
        <v>43911</v>
      </c>
      <c r="FW100">
        <v>2</v>
      </c>
      <c r="FX100" t="s">
        <v>1357</v>
      </c>
      <c r="FY100" s="25"/>
      <c r="FZ100" s="25"/>
      <c r="GA100" s="25"/>
      <c r="GB100" s="25"/>
      <c r="GC100" s="25"/>
      <c r="GD100" s="25"/>
    </row>
    <row r="101" spans="2:217" x14ac:dyDescent="0.25">
      <c r="B101" s="26">
        <f t="shared" si="4"/>
        <v>44044</v>
      </c>
      <c r="D101" s="25"/>
      <c r="L101" s="12" t="str">
        <f>IF(ISNUMBER(tblData[[#This Row],[NSW]]),tblData[[#This Row],[New South Wales]]/$L$9,"")</f>
        <v/>
      </c>
      <c r="M101" s="25"/>
      <c r="N101" s="44" t="str">
        <f>IF(ISNUMBER(tblData[Italy]),tblData[Italy]/$N$9,"")</f>
        <v/>
      </c>
      <c r="O101" s="25"/>
      <c r="P101" s="106" t="str">
        <f>IF(ISNUMBER(tblData[US]),tblData[US]/$P$9,"")</f>
        <v/>
      </c>
      <c r="Q101" s="44"/>
      <c r="R101" s="19" t="str">
        <f>IF(ISNUMBER(tblData[SKorea]),tblData[SKorea]/$R$9,"")</f>
        <v/>
      </c>
      <c r="S101" s="44"/>
      <c r="T101" s="12" t="str">
        <f>IF(ISNUMBER(tblData[UK]),tblData[UK]/$T$9,"")</f>
        <v/>
      </c>
      <c r="U101" s="25"/>
      <c r="V101" s="20" t="str">
        <f>IF(ISNUMBER(tblData[China]),tblData[China]/$V$9,"")</f>
        <v/>
      </c>
      <c r="W101" s="20"/>
      <c r="X101" s="20" t="str">
        <f>IF(ISNUMBER(tblData[Singapore]),tblData[Singapore]/$X$9,"")</f>
        <v/>
      </c>
      <c r="Y101" s="20"/>
      <c r="Z101" s="20" t="str">
        <f>IF(AND(LEN(tblData[Generic])&gt;0,ISNUMBER(tblData[Generic])),tblData[Generic]/$Z$9,"")</f>
        <v/>
      </c>
      <c r="AA101" s="25">
        <f ca="1">IF(tblData[[#This Row],[Date]]&lt;StartDt2Italy,"",tblData[[#This Row],[Date]]-ItalyStart)</f>
        <v>184</v>
      </c>
      <c r="AB101" s="25">
        <f ca="1">IF(tblData[[#This Row],[Date]]&lt;=StartDt2US,"",tblData[[#This Row],[Date]]-USStart)</f>
        <v>192</v>
      </c>
      <c r="AC101" s="25">
        <f ca="1">IF(tblData[[#This Row],[Date]]&lt;StartDt2China,"",tblData[[#This Row],[Date]]-ChinaStart)</f>
        <v>192</v>
      </c>
      <c r="AD101" s="25">
        <f>IF(tblData[[#This Row],[Date]]&lt;=SKoreaStart,"",tblData[[#This Row],[Date]]-SKoreaStart)</f>
        <v>192</v>
      </c>
      <c r="AE101" s="25">
        <f ca="1">IF(tblData[[#This Row],[Date]]&lt;=StartDt2UK,"",tblData[[#This Row],[Date]]-UKStart)</f>
        <v>184</v>
      </c>
      <c r="AF101" s="25">
        <f>IF(tblData[[#This Row],[Date]]&lt;StartDt2Singapore,"",tblData[[#This Row],[Date]]-SingaporeStart)</f>
        <v>191</v>
      </c>
      <c r="AG101" s="25">
        <f ca="1">IF(tblData[[#This Row],[Date]]&lt;StartDt2Generic,"",tblData[[#This Row],[Date]]-GenericStart)</f>
        <v>192</v>
      </c>
      <c r="AH101">
        <f ca="1">IF(tblData[Date]&gt;StartDt2Au,tblData[Date]-AuStart,"")</f>
        <v>189</v>
      </c>
      <c r="AI101" s="25">
        <f>IF(tblData[New South Wales]&gt;=0,SUM(tblData[[#This Row],[Australian Capital Territory]:[Western Australia]]),"")</f>
        <v>0</v>
      </c>
      <c r="AJ101" s="12">
        <f>IF(ISNUMBER(tblData[Au]),tblData[Au]/$AE$9,"")</f>
        <v>0</v>
      </c>
      <c r="AK101" s="39">
        <f ca="1">IF(ISNUMBER(tblData[[#This Row],[Day'# Aust]]),betaAu/(deltaAu+betaPodeltaAu*EXP(-betaAu*tblData[[#This Row],[Day'# Aust]])),"")</f>
        <v>6179.6706908281394</v>
      </c>
      <c r="AL101" s="63">
        <f ca="1">IF(ISNUMBER(tblData[Day'# Aust]),tblData[Au LogiP(t)]/$AJ$9,"")</f>
        <v>2436.394374242288</v>
      </c>
      <c r="AM101" s="11" t="str">
        <f ca="1">IF(AND(tblData[Date]&gt;StartDt2Au,ISNUMBER(tblData[NSW])),(tblData[[#This Row],[Au LogiP(t)]]-tblData[[#This Row],[Au]])^2,"")</f>
        <v/>
      </c>
      <c r="AN101" s="11">
        <f ca="1">IF(AND(ISNUMBER(tblData[Au]),tblData[Date]&gt;StartDt2Au),(tblData[Au]-AVERAGE(tblData[Au]))^2,"")</f>
        <v>196564.33811020709</v>
      </c>
      <c r="AO101" s="11">
        <f>tblData[[#This Row],[Date]]-Au100dt</f>
        <v>140</v>
      </c>
      <c r="AP101">
        <f ca="1">IF(tblData[Date]&gt;StartDt2NSW,tblData[Date]-StartDt2NSW,"")</f>
        <v>189</v>
      </c>
      <c r="AQ101" s="25" t="str">
        <f>IF(tblData[[#This Row],[New South Wales]]&gt;0,tblData[[#This Row],[New South Wales]],"")</f>
        <v/>
      </c>
      <c r="AR101" s="11">
        <f ca="1">IF(tblData[Date]&gt;StartDt2NSW,betaNSW/(deltaNSW+betaPodeltaNSW*EXP(-betaNSW*tblData[[#This Row],[Day '# NSW]])),"")</f>
        <v>3000.2599690099796</v>
      </c>
      <c r="AS101" s="12" t="str">
        <f ca="1">IF(AND(ISNUMBER(tblData[NSW]),tblData[Date]&gt;StartDt2NSW),(tblData[[#This Row],[NSW LogiP(t)]]-tblData[[#This Row],[NSW]])^2,"")</f>
        <v/>
      </c>
      <c r="AT101" s="39">
        <f ca="1">IF(AND(tblData[Date]&gt;StartDt2NSW,ISNUMBER(tblData[Day'# Aust])),tblData[NSW LogiP(t)]/$AR$9,"")</f>
        <v>3713.1930309529448</v>
      </c>
      <c r="AU101" s="11">
        <f>tblData[[#This Row],[Date]]-NSW100dt+1</f>
        <v>144</v>
      </c>
      <c r="AV101" s="11" t="str">
        <f ca="1">IF(AND(ISNUMBER(tblData[NSW]),tblData[Date]&gt;StartDt2NSW),(tblData[NSW]-AVERAGE(tblData[NSW]))^2,"")</f>
        <v/>
      </c>
      <c r="AW101" s="39">
        <f ca="1">IF(AND(tblData[Date]&gt;StartDt2Italy,ISNUMBER(tblData[Days'# Italy])),betaItaly/(deltaItaly+betaPodeltaItaly*EXP(-betaItaly*tblData[Days'# Italy])),"")</f>
        <v>97269.773664435692</v>
      </c>
      <c r="AX101" s="11" t="str">
        <f ca="1">IF(AND(tblData[Date]&gt;StartDt2Italy,ISNUMBER(tblData[Italy])),(tblData[[#This Row],[Italy LogiP(t)]]-tblData[[#This Row],[Italy]])^2,"")</f>
        <v/>
      </c>
      <c r="AY101" s="39">
        <f ca="1">IF(AND(tblData[Date]&gt;StartDt2Italy,ISNUMBER(tblData[Days'# Italy])),tblData[[#This Row],[Italy LogiP(t)]]/$AW$9,"")</f>
        <v>16081.635721986559</v>
      </c>
      <c r="AZ101" s="39" t="str">
        <f ca="1">IF(AND(ISNUMBER(tblData[Italy]),tblData[Date]&gt;StartDt2Italy),(tblData[Italy]-AVERAGE(tblData[Italy]))^2,"")</f>
        <v/>
      </c>
      <c r="BA101" s="11">
        <f>tblData[[#This Row],[Date]]-Italy100dt+1</f>
        <v>157</v>
      </c>
      <c r="BB101" s="11">
        <f ca="1">IF(AND(tblData[Date]&gt;StartDt2US,ISNUMBER(tblData[[#This Row],[Days'# US]])),betaUS/(deltaUS+betaPodeltaUS*EXP(-betaUS*tblData[Days'# US])),"")</f>
        <v>633176.40153317514</v>
      </c>
      <c r="BC101" s="11" t="str">
        <f ca="1">IF(AND(tblData[Date]&gt;StartDt2US,ISNUMBER(tblData[US])),(tblData[[#This Row],[US LogiP(t)]]-tblData[US])^2,"")</f>
        <v/>
      </c>
      <c r="BD101" s="137">
        <f ca="1">IF(AND(tblData[Date]&gt;=StartDt2US,ISNUMBER(tblData[[#This Row],[Days'# US]])),tblData[[#This Row],[US LogiP(t)]]/$BB$9,"")</f>
        <v>19232.170107958496</v>
      </c>
      <c r="BE101" s="137" t="str">
        <f ca="1">IF(AND(ISNUMBER(tblData[US]),tblData[Date]&gt;StartDt2US),(tblData[US]-AVERAGE(tblData[US]))^2,"")</f>
        <v/>
      </c>
      <c r="BF101" s="11">
        <f>tblData[[#This Row],[Date]]-US100dt+1</f>
        <v>141</v>
      </c>
      <c r="BG101" s="20">
        <f ca="1">IF(tblData[Date]&gt;StartDt2SKorea,betaSKorea/(deltaSKorea+betaPodeltaSKorea*EXP(-betaSKorea*(tblData[Date]-StartDt2SKorea))),"")</f>
        <v>9037.3342829253143</v>
      </c>
      <c r="BH101" s="20" t="str">
        <f ca="1">IF(AND(tblData[Date]&gt;StartDt2SKorea,ISNUMBER(tblData[SKorea])),(tblData[[#This Row],[SKorea LogiP(t)]]-tblData[[#This Row],[SKorea]])^2,"")</f>
        <v/>
      </c>
      <c r="BI101" s="20">
        <f ca="1">IF(tblData[Date]&gt;StartDt2SKorea,tblData[[#This Row],[SKorea LogiP(t)]]/$BG$9,"")</f>
        <v>1758.2362418142636</v>
      </c>
      <c r="BJ101" s="137" t="str">
        <f ca="1">IF(AND(ISNUMBER(tblData[SKorea]),tblData[Date]&gt;StartDt2SKorea),(tblData[SKorea]-AVERAGE(tblData[SKorea]))^2,"")</f>
        <v/>
      </c>
      <c r="BK101" s="11">
        <f>tblData[[#This Row],[Date]]-SKorea100dt+1</f>
        <v>162</v>
      </c>
      <c r="BL101" s="137">
        <f ca="1">IF(AND(tblData[Date]&gt;StartDt2UK,ISNUMBER(tblData[Days'# UK])),betaUK/(deltaUK+betaPodeltaUK*EXP(-betaUK*tblData[Days'# UK])),"")</f>
        <v>74551.842299033058</v>
      </c>
      <c r="BM101" s="71" t="str">
        <f ca="1">IF(AND(tblData[Date]&gt;StartDt2UK,ISNUMBER(tblData[UK])),(tblData[[#This Row],[UK LogiP(t)]]-tblData[[#This Row],[UK]])^2,"")</f>
        <v/>
      </c>
      <c r="BN101" s="71">
        <f ca="1">IF(ISNUMBER(tblData[Days'# UK]),tblData[[#This Row],[UK LogiP(t)]]/$BL$9,"")</f>
        <v>11220.927498349347</v>
      </c>
      <c r="BO101" s="137" t="str">
        <f ca="1">IF(AND(ISNUMBER(tblData[UK]),tblData[Date]&gt;StartDt2UK),(tblData[UK]-AVERAGE(tblData[UK]))^2,"")</f>
        <v/>
      </c>
      <c r="BP101" s="11">
        <f>tblData[[#This Row],[Date]]-UK100dt</f>
        <v>142</v>
      </c>
      <c r="BQ101" s="11">
        <f ca="1">IF(ISNUMBER(tblData[Days'# China]),betaChina/(deltaChina+betaPodeltaChina*EXP(-betaChina*tblData[Days'# China])),"")</f>
        <v>81223.951297127758</v>
      </c>
      <c r="BR101" s="11" t="str">
        <f>IF(ISNUMBER(tblData[China]),(tblData[[#This Row],[China LogiP(t)]]-tblData[[#This Row],[China]])^2,"")</f>
        <v/>
      </c>
      <c r="BS101" s="11">
        <f ca="1">tblData[[#This Row],[China LogiP(t)]]/$BQ$9</f>
        <v>564.32022211747142</v>
      </c>
      <c r="BT101" s="137" t="str">
        <f ca="1">IF(AND(ISNUMBER(tblData[China]),tblData[Date]&gt;StartDt2China),(tblData[China]-AVERAGE(tblData[China]))^2,"")</f>
        <v/>
      </c>
      <c r="BU101" s="11">
        <f>tblData[[#This Row],[Date]]-China100dt</f>
        <v>192</v>
      </c>
      <c r="BV101" s="106">
        <f>IF(ISNUMBER(tblData[Day'# Singapore]),betaSingapore/(deltaSingapore+betaPodeltaSingapore*EXP(-betaSingapore*tblData[Day'# Singapore])),"")</f>
        <v>139573.77174436109</v>
      </c>
      <c r="BW101" s="11" t="str">
        <f>IF(AND(ISNUMBER(tblData[Singapore]),tblData[Date]&gt;=StartDt2Singapore),(tblData[[#This Row],[Singapore LogiP(t)]]-tblData[[#This Row],[Singapore]])^2,"")</f>
        <v/>
      </c>
      <c r="BX101" s="106">
        <f>IF(ISNUMBER(tblData[Day'# Singapore]),tblData[Singapore LogiP(t)]/$BV$9,"")</f>
        <v>238587.64400745486</v>
      </c>
      <c r="BY101" s="106" t="str">
        <f>IF(AND(ISNUMBER(tblData[Singapore]),tblData[Date]&gt;StartDt2Singapore),(tblData[Singapore]-AVERAGE(tblData[Singapore]))^2,"")</f>
        <v/>
      </c>
      <c r="BZ101" s="11">
        <f>tblData[[#This Row],[Date]]-Singapore100dt+1</f>
        <v>173</v>
      </c>
      <c r="CA101" s="11">
        <f ca="1">IF(AND(tblData[Date]&gt;StartDt2Generic,ISNUMBER(tblData[Day'# Generic])),betaGeneric/(deltaGeneric+betaPodeltaGeneric*EXP(-betaGeneric*tblData[Day'# Generic])),"")</f>
        <v>3547.5213525532904</v>
      </c>
      <c r="CB101" s="106" t="str">
        <f ca="1">IF(AND(ISNUMBER(tblData[Generic]),tblData[Date]&gt;StartDt2Generic),(tblData[Generic LogiP(t)]-tblData[[#This Row],[Generic]])^2,"")</f>
        <v/>
      </c>
      <c r="CC101" s="11" t="str">
        <f ca="1">IF(AND(ISNUMBER(tblData[Generic]),tblData[Date]&gt;StartDt2Generic),tblData[Generic LogiP(t)]/$CA$9,"")</f>
        <v/>
      </c>
      <c r="CD101" s="106" t="str">
        <f ca="1">IF(AND(ISNUMBER(tblData[Generic]),tblData[Date]&gt;StartDt2Generic),(tblData[Generic]-AVERAGE(tblData[Generic]))^2,"")</f>
        <v/>
      </c>
      <c r="CE101" s="11">
        <f>tblData[[#This Row],[Date]]-Generic100dt+1</f>
        <v>134</v>
      </c>
      <c r="CF101" s="11"/>
      <c r="CG101" s="11"/>
      <c r="CH101" s="11" t="str">
        <f>IF(ISNUMBER(tblData[[#This Row],[Tests]]),tblData[[#This Row],[Tests]]-CF100,"")</f>
        <v/>
      </c>
      <c r="CI101" s="11" t="str">
        <f>IF(ISNUMBER(tblData[[#This Row],[NSW Under Investigation'']]),tblData[[#This Row],[NSW Under Investigation'']]-CG100,"")</f>
        <v/>
      </c>
      <c r="CJ101" s="11">
        <f>IF(tblData[[#This Row],[Date]]&gt;myData!TestsStart,tblData[[#This Row],[Date]]-myData!TestsStart,"")</f>
        <v>149</v>
      </c>
      <c r="CK101" s="11">
        <f>IF(AND(tblData[[#This Row],[NSW Test Day Number]]&gt;0,ISNUMBER(tblData[[#This Row],[NSW Test Day Number]])),betaTests/(deltaTests+betaPodeltaTests*EXP(-betaTests*tblData[[#This Row],[NSW Test Day Number]])),"")</f>
        <v>127232.33860078031</v>
      </c>
      <c r="CL101" s="11" t="str">
        <f>IF(tblData[Tests]&gt;0,(tblData[[#This Row],[Tests]]-tblData[[#This Row],[NSW Test Logi]])^2,"")</f>
        <v/>
      </c>
      <c r="CM101" s="106" t="str">
        <f>IF(AND(ISNUMBER(tblData[Tests]),tblData[Date]&gt;StartDt2Tests),(tblData[Tests]-AVERAGE(tblData[Tests]))^2,"")</f>
        <v/>
      </c>
      <c r="CN101" s="11" t="str">
        <f>IF(ISNUMBER(tblData[Tests]),tblData[Tests]/$CN$9/100,"")</f>
        <v/>
      </c>
      <c r="CO101" s="106">
        <f ca="1">IF(AND(tblData[[#This Row],[NSW Test Day Number]]&gt;0,ISNUMBER(tblData[[#This Row],[NSW Test Day Number]])),TestsLogestB*TestsLogestM^tblData[[#This Row],[NSW Test Day Number]],"")</f>
        <v>170253966963.65302</v>
      </c>
      <c r="CP101" s="11" t="str">
        <f>IF(AND(tblData[[#This Row],[NSW Test Day Number]]&gt;0,ISNUMBER(tblData[Tests])),(tblData[Tests]-tblData[[#This Row],[NSW Test Per Capita]])^2,"")</f>
        <v/>
      </c>
      <c r="CQ101" s="39">
        <f ca="1">IF(AND(tblData[Day '# NSW]&gt;0,ISNUMBER(tblData[[#This Row],[Day '# NSW]])),NSWLogestB*NSWLogestM^tblData[[#This Row],[Day '# NSW]]/$CR$9,"")</f>
        <v>602516280.42406034</v>
      </c>
      <c r="CR101" s="39" t="str">
        <f ca="1">IF(AND(ISNUMBER(tblData[NSW]),tblData[Date]&gt;StartDt2NSW),(tblData[NSW]/$CR$9-tblData[[#This Row],[NSW Cases LogEst]])^2,"")</f>
        <v/>
      </c>
      <c r="CS101" s="106"/>
      <c r="CT101" s="11"/>
      <c r="CW101" s="25"/>
      <c r="CX101"/>
      <c r="DL101" s="25"/>
      <c r="DR101"/>
      <c r="DS101"/>
      <c r="DT101"/>
      <c r="DU101"/>
      <c r="DW101" s="25"/>
      <c r="DX101" s="25"/>
      <c r="EB101" s="25"/>
      <c r="EC101" s="25"/>
      <c r="ED101" s="25"/>
      <c r="EE101" s="25"/>
      <c r="EK101"/>
      <c r="EL101"/>
      <c r="EM101"/>
      <c r="EN101"/>
      <c r="EO101"/>
      <c r="EP101"/>
      <c r="EQ101"/>
      <c r="ER101"/>
      <c r="ES101" s="69"/>
      <c r="ET101"/>
      <c r="EU101" s="25" t="s">
        <v>209</v>
      </c>
      <c r="EV101" s="69">
        <v>43913.916192129633</v>
      </c>
      <c r="EW101" s="26">
        <v>43852</v>
      </c>
      <c r="EX101" s="26">
        <v>43870</v>
      </c>
      <c r="EY101" s="25">
        <v>3</v>
      </c>
      <c r="EZ101" s="25">
        <v>0.33723338041194412</v>
      </c>
      <c r="FA101" s="25">
        <v>2.0829424230556546E-6</v>
      </c>
      <c r="FB101" s="21">
        <v>2.5463658144183617E-2</v>
      </c>
      <c r="FC101" s="82">
        <v>161902.4014678362</v>
      </c>
      <c r="FD101" s="82">
        <v>1033.5727100803306</v>
      </c>
      <c r="FE101" s="83">
        <v>13.243710917853365</v>
      </c>
      <c r="FF101" s="84">
        <v>2.0829424230556547E-3</v>
      </c>
      <c r="FG101" s="26">
        <v>43913</v>
      </c>
      <c r="FH101" s="25" t="s">
        <v>1322</v>
      </c>
      <c r="FI101" s="84">
        <v>161902.4014678362</v>
      </c>
      <c r="FJ101" s="84">
        <v>35224</v>
      </c>
      <c r="FK101" s="25" t="s">
        <v>1323</v>
      </c>
      <c r="FL101" s="26">
        <v>43912</v>
      </c>
      <c r="FM101" s="25">
        <v>44</v>
      </c>
      <c r="FN101" s="25" t="s">
        <v>1324</v>
      </c>
      <c r="FO101"/>
      <c r="FP101" s="25" t="s">
        <v>1325</v>
      </c>
      <c r="FR101" s="25" t="s">
        <v>1326</v>
      </c>
      <c r="FS101" s="19">
        <v>1069.8976750276693</v>
      </c>
      <c r="FT101" s="72">
        <v>43912</v>
      </c>
      <c r="FU101" s="25">
        <v>1</v>
      </c>
      <c r="FV101" s="142">
        <v>43911</v>
      </c>
      <c r="FW101">
        <v>2</v>
      </c>
      <c r="FX101" t="s">
        <v>1321</v>
      </c>
      <c r="FY101" s="25"/>
      <c r="FZ101" s="25"/>
      <c r="GA101" s="25"/>
      <c r="GB101" s="25"/>
      <c r="GC101" s="25"/>
      <c r="GD101" s="25"/>
      <c r="GE101" s="25"/>
      <c r="GF101" s="25"/>
      <c r="GG101" s="25"/>
      <c r="GH101" s="25"/>
      <c r="GI101" s="25"/>
      <c r="GJ101" s="25"/>
    </row>
    <row r="102" spans="2:217" x14ac:dyDescent="0.25">
      <c r="B102" s="26">
        <f t="shared" si="4"/>
        <v>44051</v>
      </c>
      <c r="D102" s="25"/>
      <c r="L102" s="12" t="str">
        <f>IF(ISNUMBER(tblData[[#This Row],[NSW]]),tblData[[#This Row],[New South Wales]]/$L$9,"")</f>
        <v/>
      </c>
      <c r="M102" s="25"/>
      <c r="N102" s="44" t="str">
        <f>IF(ISNUMBER(tblData[Italy]),tblData[Italy]/$N$9,"")</f>
        <v/>
      </c>
      <c r="O102" s="25"/>
      <c r="P102" s="106" t="str">
        <f>IF(ISNUMBER(tblData[US]),tblData[US]/$P$9,"")</f>
        <v/>
      </c>
      <c r="Q102" s="44"/>
      <c r="R102" s="19" t="str">
        <f>IF(ISNUMBER(tblData[SKorea]),tblData[SKorea]/$R$9,"")</f>
        <v/>
      </c>
      <c r="S102" s="44"/>
      <c r="T102" s="12" t="str">
        <f>IF(ISNUMBER(tblData[UK]),tblData[UK]/$T$9,"")</f>
        <v/>
      </c>
      <c r="U102" s="25"/>
      <c r="V102" s="20" t="str">
        <f>IF(ISNUMBER(tblData[China]),tblData[China]/$V$9,"")</f>
        <v/>
      </c>
      <c r="W102" s="20"/>
      <c r="X102" s="20" t="str">
        <f>IF(ISNUMBER(tblData[Singapore]),tblData[Singapore]/$X$9,"")</f>
        <v/>
      </c>
      <c r="Y102" s="20"/>
      <c r="Z102" s="20" t="str">
        <f>IF(AND(LEN(tblData[Generic])&gt;0,ISNUMBER(tblData[Generic])),tblData[Generic]/$Z$9,"")</f>
        <v/>
      </c>
      <c r="AA102" s="25">
        <f ca="1">IF(tblData[[#This Row],[Date]]&lt;StartDt2Italy,"",tblData[[#This Row],[Date]]-ItalyStart)</f>
        <v>191</v>
      </c>
      <c r="AB102" s="25">
        <f ca="1">IF(tblData[[#This Row],[Date]]&lt;=StartDt2US,"",tblData[[#This Row],[Date]]-USStart)</f>
        <v>199</v>
      </c>
      <c r="AC102" s="25">
        <f ca="1">IF(tblData[[#This Row],[Date]]&lt;StartDt2China,"",tblData[[#This Row],[Date]]-ChinaStart)</f>
        <v>199</v>
      </c>
      <c r="AD102" s="25">
        <f>IF(tblData[[#This Row],[Date]]&lt;=SKoreaStart,"",tblData[[#This Row],[Date]]-SKoreaStart)</f>
        <v>199</v>
      </c>
      <c r="AE102" s="25">
        <f ca="1">IF(tblData[[#This Row],[Date]]&lt;=StartDt2UK,"",tblData[[#This Row],[Date]]-UKStart)</f>
        <v>191</v>
      </c>
      <c r="AF102" s="25">
        <f>IF(tblData[[#This Row],[Date]]&lt;StartDt2Singapore,"",tblData[[#This Row],[Date]]-SingaporeStart)</f>
        <v>198</v>
      </c>
      <c r="AG102" s="25">
        <f ca="1">IF(tblData[[#This Row],[Date]]&lt;StartDt2Generic,"",tblData[[#This Row],[Date]]-GenericStart)</f>
        <v>199</v>
      </c>
      <c r="AH102">
        <f ca="1">IF(tblData[Date]&gt;StartDt2Au,tblData[Date]-AuStart,"")</f>
        <v>196</v>
      </c>
      <c r="AI102" s="25">
        <f>IF(tblData[New South Wales]&gt;=0,SUM(tblData[[#This Row],[Australian Capital Territory]:[Western Australia]]),"")</f>
        <v>0</v>
      </c>
      <c r="AJ102" s="12">
        <f>IF(ISNUMBER(tblData[Au]),tblData[Au]/$AE$9,"")</f>
        <v>0</v>
      </c>
      <c r="AK102" s="39">
        <f ca="1">IF(ISNUMBER(tblData[[#This Row],[Day'# Aust]]),betaAu/(deltaAu+betaPodeltaAu*EXP(-betaAu*tblData[[#This Row],[Day'# Aust]])),"")</f>
        <v>6179.6706908281922</v>
      </c>
      <c r="AL102" s="63">
        <f ca="1">IF(ISNUMBER(tblData[Day'# Aust]),tblData[Au LogiP(t)]/$AJ$9,"")</f>
        <v>2436.3943742423089</v>
      </c>
      <c r="AM102" s="11" t="str">
        <f ca="1">IF(AND(tblData[Date]&gt;StartDt2Au,ISNUMBER(tblData[NSW])),(tblData[[#This Row],[Au LogiP(t)]]-tblData[[#This Row],[Au]])^2,"")</f>
        <v/>
      </c>
      <c r="AN102" s="11">
        <f ca="1">IF(AND(ISNUMBER(tblData[Au]),tblData[Date]&gt;StartDt2Au),(tblData[Au]-AVERAGE(tblData[Au]))^2,"")</f>
        <v>196564.33811020709</v>
      </c>
      <c r="AO102" s="11">
        <f>tblData[[#This Row],[Date]]-Au100dt</f>
        <v>147</v>
      </c>
      <c r="AP102">
        <f ca="1">IF(tblData[Date]&gt;StartDt2NSW,tblData[Date]-StartDt2NSW,"")</f>
        <v>196</v>
      </c>
      <c r="AQ102" s="25" t="str">
        <f>IF(tblData[[#This Row],[New South Wales]]&gt;0,tblData[[#This Row],[New South Wales]],"")</f>
        <v/>
      </c>
      <c r="AR102" s="11">
        <f ca="1">IF(tblData[Date]&gt;StartDt2NSW,betaNSW/(deltaNSW+betaPodeltaNSW*EXP(-betaNSW*tblData[[#This Row],[Day '# NSW]])),"")</f>
        <v>3000.2599690102002</v>
      </c>
      <c r="AS102" s="12" t="str">
        <f ca="1">IF(AND(ISNUMBER(tblData[NSW]),tblData[Date]&gt;StartDt2NSW),(tblData[[#This Row],[NSW LogiP(t)]]-tblData[[#This Row],[NSW]])^2,"")</f>
        <v/>
      </c>
      <c r="AT102" s="39">
        <f ca="1">IF(AND(tblData[Date]&gt;StartDt2NSW,ISNUMBER(tblData[Day'# Aust])),tblData[NSW LogiP(t)]/$AR$9,"")</f>
        <v>3713.1930309532177</v>
      </c>
      <c r="AU102" s="11">
        <f>tblData[[#This Row],[Date]]-NSW100dt+1</f>
        <v>151</v>
      </c>
      <c r="AV102" s="11" t="str">
        <f ca="1">IF(AND(ISNUMBER(tblData[NSW]),tblData[Date]&gt;StartDt2NSW),(tblData[NSW]-AVERAGE(tblData[NSW]))^2,"")</f>
        <v/>
      </c>
      <c r="AW102" s="39">
        <f ca="1">IF(AND(tblData[Date]&gt;StartDt2Italy,ISNUMBER(tblData[Days'# Italy])),betaItaly/(deltaItaly+betaPodeltaItaly*EXP(-betaItaly*tblData[Days'# Italy])),"")</f>
        <v>97269.773664435736</v>
      </c>
      <c r="AX102" s="11" t="str">
        <f ca="1">IF(AND(tblData[Date]&gt;StartDt2Italy,ISNUMBER(tblData[Italy])),(tblData[[#This Row],[Italy LogiP(t)]]-tblData[[#This Row],[Italy]])^2,"")</f>
        <v/>
      </c>
      <c r="AY102" s="39">
        <f ca="1">IF(AND(tblData[Date]&gt;StartDt2Italy,ISNUMBER(tblData[Days'# Italy])),tblData[[#This Row],[Italy LogiP(t)]]/$AW$9,"")</f>
        <v>16081.635721986566</v>
      </c>
      <c r="AZ102" s="39" t="str">
        <f ca="1">IF(AND(ISNUMBER(tblData[Italy]),tblData[Date]&gt;StartDt2Italy),(tblData[Italy]-AVERAGE(tblData[Italy]))^2,"")</f>
        <v/>
      </c>
      <c r="BA102" s="11">
        <f>tblData[[#This Row],[Date]]-Italy100dt+1</f>
        <v>164</v>
      </c>
      <c r="BB102" s="11">
        <f ca="1">IF(AND(tblData[Date]&gt;StartDt2US,ISNUMBER(tblData[[#This Row],[Days'# US]])),betaUS/(deltaUS+betaPodeltaUS*EXP(-betaUS*tblData[Days'# US])),"")</f>
        <v>633176.40153317584</v>
      </c>
      <c r="BC102" s="11" t="str">
        <f ca="1">IF(AND(tblData[Date]&gt;StartDt2US,ISNUMBER(tblData[US])),(tblData[[#This Row],[US LogiP(t)]]-tblData[US])^2,"")</f>
        <v/>
      </c>
      <c r="BD102" s="137">
        <f ca="1">IF(AND(tblData[Date]&gt;=StartDt2US,ISNUMBER(tblData[[#This Row],[Days'# US]])),tblData[[#This Row],[US LogiP(t)]]/$BB$9,"")</f>
        <v>19232.170107958518</v>
      </c>
      <c r="BE102" s="137" t="str">
        <f ca="1">IF(AND(ISNUMBER(tblData[US]),tblData[Date]&gt;StartDt2US),(tblData[US]-AVERAGE(tblData[US]))^2,"")</f>
        <v/>
      </c>
      <c r="BF102" s="11">
        <f>tblData[[#This Row],[Date]]-US100dt+1</f>
        <v>148</v>
      </c>
      <c r="BG102" s="20">
        <f ca="1">IF(tblData[Date]&gt;StartDt2SKorea,betaSKorea/(deltaSKorea+betaPodeltaSKorea*EXP(-betaSKorea*(tblData[Date]-StartDt2SKorea))),"")</f>
        <v>9037.3342829253143</v>
      </c>
      <c r="BH102" s="20" t="str">
        <f ca="1">IF(AND(tblData[Date]&gt;StartDt2SKorea,ISNUMBER(tblData[SKorea])),(tblData[[#This Row],[SKorea LogiP(t)]]-tblData[[#This Row],[SKorea]])^2,"")</f>
        <v/>
      </c>
      <c r="BI102" s="20">
        <f ca="1">IF(tblData[Date]&gt;StartDt2SKorea,tblData[[#This Row],[SKorea LogiP(t)]]/$BG$9,"")</f>
        <v>1758.2362418142636</v>
      </c>
      <c r="BJ102" s="137" t="str">
        <f ca="1">IF(AND(ISNUMBER(tblData[SKorea]),tblData[Date]&gt;StartDt2SKorea),(tblData[SKorea]-AVERAGE(tblData[SKorea]))^2,"")</f>
        <v/>
      </c>
      <c r="BK102" s="11">
        <f>tblData[[#This Row],[Date]]-SKorea100dt+1</f>
        <v>169</v>
      </c>
      <c r="BL102" s="137">
        <f ca="1">IF(AND(tblData[Date]&gt;StartDt2UK,ISNUMBER(tblData[Days'# UK])),betaUK/(deltaUK+betaPodeltaUK*EXP(-betaUK*tblData[Days'# UK])),"")</f>
        <v>74551.842299445649</v>
      </c>
      <c r="BM102" s="71" t="str">
        <f ca="1">IF(AND(tblData[Date]&gt;StartDt2UK,ISNUMBER(tblData[UK])),(tblData[[#This Row],[UK LogiP(t)]]-tblData[[#This Row],[UK]])^2,"")</f>
        <v/>
      </c>
      <c r="BN102" s="71">
        <f ca="1">IF(ISNUMBER(tblData[Days'# UK]),tblData[[#This Row],[UK LogiP(t)]]/$BL$9,"")</f>
        <v>11220.927498411445</v>
      </c>
      <c r="BO102" s="137" t="str">
        <f ca="1">IF(AND(ISNUMBER(tblData[UK]),tblData[Date]&gt;StartDt2UK),(tblData[UK]-AVERAGE(tblData[UK]))^2,"")</f>
        <v/>
      </c>
      <c r="BP102" s="11">
        <f>tblData[[#This Row],[Date]]-UK100dt</f>
        <v>149</v>
      </c>
      <c r="BQ102" s="11">
        <f ca="1">IF(ISNUMBER(tblData[Days'# China]),betaChina/(deltaChina+betaPodeltaChina*EXP(-betaChina*tblData[Days'# China])),"")</f>
        <v>81223.951297127758</v>
      </c>
      <c r="BR102" s="11" t="str">
        <f>IF(ISNUMBER(tblData[China]),(tblData[[#This Row],[China LogiP(t)]]-tblData[[#This Row],[China]])^2,"")</f>
        <v/>
      </c>
      <c r="BS102" s="11">
        <f ca="1">tblData[[#This Row],[China LogiP(t)]]/$BQ$9</f>
        <v>564.32022211747142</v>
      </c>
      <c r="BT102" s="137" t="str">
        <f ca="1">IF(AND(ISNUMBER(tblData[China]),tblData[Date]&gt;StartDt2China),(tblData[China]-AVERAGE(tblData[China]))^2,"")</f>
        <v/>
      </c>
      <c r="BU102" s="11">
        <f>tblData[[#This Row],[Date]]-China100dt</f>
        <v>199</v>
      </c>
      <c r="BV102" s="106">
        <f>IF(ISNUMBER(tblData[Day'# Singapore]),betaSingapore/(deltaSingapore+betaPodeltaSingapore*EXP(-betaSingapore*tblData[Day'# Singapore])),"")</f>
        <v>140060.0283818263</v>
      </c>
      <c r="BW102" s="11" t="str">
        <f>IF(AND(ISNUMBER(tblData[Singapore]),tblData[Date]&gt;=StartDt2Singapore),(tblData[[#This Row],[Singapore LogiP(t)]]-tblData[[#This Row],[Singapore]])^2,"")</f>
        <v/>
      </c>
      <c r="BX102" s="106">
        <f>IF(ISNUMBER(tblData[Day'# Singapore]),tblData[Singapore LogiP(t)]/$BV$9,"")</f>
        <v>239418.85193474582</v>
      </c>
      <c r="BY102" s="106" t="str">
        <f>IF(AND(ISNUMBER(tblData[Singapore]),tblData[Date]&gt;StartDt2Singapore),(tblData[Singapore]-AVERAGE(tblData[Singapore]))^2,"")</f>
        <v/>
      </c>
      <c r="BZ102" s="11">
        <f>tblData[[#This Row],[Date]]-Singapore100dt+1</f>
        <v>180</v>
      </c>
      <c r="CA102" s="11">
        <f ca="1">IF(AND(tblData[Date]&gt;StartDt2Generic,ISNUMBER(tblData[Day'# Generic])),betaGeneric/(deltaGeneric+betaPodeltaGeneric*EXP(-betaGeneric*tblData[Day'# Generic])),"")</f>
        <v>3547.5213529140133</v>
      </c>
      <c r="CB102" s="106" t="str">
        <f ca="1">IF(AND(ISNUMBER(tblData[Generic]),tblData[Date]&gt;StartDt2Generic),(tblData[Generic LogiP(t)]-tblData[[#This Row],[Generic]])^2,"")</f>
        <v/>
      </c>
      <c r="CC102" s="11" t="str">
        <f ca="1">IF(AND(ISNUMBER(tblData[Generic]),tblData[Date]&gt;StartDt2Generic),tblData[Generic LogiP(t)]/$CA$9,"")</f>
        <v/>
      </c>
      <c r="CD102" s="106" t="str">
        <f ca="1">IF(AND(ISNUMBER(tblData[Generic]),tblData[Date]&gt;StartDt2Generic),(tblData[Generic]-AVERAGE(tblData[Generic]))^2,"")</f>
        <v/>
      </c>
      <c r="CE102" s="11">
        <f>tblData[[#This Row],[Date]]-Generic100dt+1</f>
        <v>141</v>
      </c>
      <c r="CF102" s="11"/>
      <c r="CG102" s="11"/>
      <c r="CH102" s="11" t="str">
        <f>IF(ISNUMBER(tblData[[#This Row],[Tests]]),tblData[[#This Row],[Tests]]-CF101,"")</f>
        <v/>
      </c>
      <c r="CI102" s="11" t="str">
        <f>IF(ISNUMBER(tblData[[#This Row],[NSW Under Investigation'']]),tblData[[#This Row],[NSW Under Investigation'']]-CG101,"")</f>
        <v/>
      </c>
      <c r="CJ102" s="11">
        <f>IF(tblData[[#This Row],[Date]]&gt;myData!TestsStart,tblData[[#This Row],[Date]]-myData!TestsStart,"")</f>
        <v>156</v>
      </c>
      <c r="CK102" s="11">
        <f>IF(AND(tblData[[#This Row],[NSW Test Day Number]]&gt;0,ISNUMBER(tblData[[#This Row],[NSW Test Day Number]])),betaTests/(deltaTests+betaPodeltaTests*EXP(-betaTests*tblData[[#This Row],[NSW Test Day Number]])),"")</f>
        <v>127232.33861110828</v>
      </c>
      <c r="CL102" s="11" t="str">
        <f>IF(tblData[Tests]&gt;0,(tblData[[#This Row],[Tests]]-tblData[[#This Row],[NSW Test Logi]])^2,"")</f>
        <v/>
      </c>
      <c r="CM102" s="106" t="str">
        <f>IF(AND(ISNUMBER(tblData[Tests]),tblData[Date]&gt;StartDt2Tests),(tblData[Tests]-AVERAGE(tblData[Tests]))^2,"")</f>
        <v/>
      </c>
      <c r="CN102" s="11" t="str">
        <f>IF(ISNUMBER(tblData[Tests]),tblData[Tests]/$CN$9/100,"")</f>
        <v/>
      </c>
      <c r="CO102" s="106">
        <f ca="1">IF(AND(tblData[[#This Row],[NSW Test Day Number]]&gt;0,ISNUMBER(tblData[[#This Row],[NSW Test Day Number]])),TestsLogestB*TestsLogestM^tblData[[#This Row],[NSW Test Day Number]],"")</f>
        <v>381201524393.49701</v>
      </c>
      <c r="CP102" s="11" t="str">
        <f>IF(AND(tblData[[#This Row],[NSW Test Day Number]]&gt;0,ISNUMBER(tblData[Tests])),(tblData[Tests]-tblData[[#This Row],[NSW Test Per Capita]])^2,"")</f>
        <v/>
      </c>
      <c r="CQ102" s="39">
        <f ca="1">IF(AND(tblData[Day '# NSW]&gt;0,ISNUMBER(tblData[[#This Row],[Day '# NSW]])),NSWLogestB*NSWLogestM^tblData[[#This Row],[Day '# NSW]]/$CR$9,"")</f>
        <v>1274289106.3992114</v>
      </c>
      <c r="CR102" s="39" t="str">
        <f ca="1">IF(AND(ISNUMBER(tblData[NSW]),tblData[Date]&gt;StartDt2NSW),(tblData[NSW]/$CR$9-tblData[[#This Row],[NSW Cases LogEst]])^2,"")</f>
        <v/>
      </c>
      <c r="CS102" s="106"/>
      <c r="CT102" s="11"/>
      <c r="CW102" s="25"/>
      <c r="CX102"/>
      <c r="DL102" s="25"/>
      <c r="DR102"/>
      <c r="DS102"/>
      <c r="DT102"/>
      <c r="DU102"/>
      <c r="DW102" s="25"/>
      <c r="DX102" s="25"/>
      <c r="EB102" s="25"/>
      <c r="EC102" s="25"/>
      <c r="ED102" s="25"/>
      <c r="EE102" s="25"/>
      <c r="EK102"/>
      <c r="EL102"/>
      <c r="EM102"/>
      <c r="EN102"/>
      <c r="EO102"/>
      <c r="EP102"/>
      <c r="EQ102"/>
      <c r="ER102"/>
      <c r="ES102" s="69"/>
      <c r="ET102"/>
      <c r="EU102" s="26" t="s">
        <v>209</v>
      </c>
      <c r="EV102" s="69">
        <v>43915.92359953704</v>
      </c>
      <c r="EW102" s="26">
        <v>43852</v>
      </c>
      <c r="EX102" s="26">
        <v>43870</v>
      </c>
      <c r="EY102" s="25">
        <v>3</v>
      </c>
      <c r="EZ102" s="25">
        <v>0.27733988858891551</v>
      </c>
      <c r="FA102" s="25">
        <v>1.4801916494471641E-6</v>
      </c>
      <c r="FB102" s="21">
        <v>2.2710910481900958E-3</v>
      </c>
      <c r="FC102" s="82">
        <v>187367.55385189413</v>
      </c>
      <c r="FD102" s="82">
        <v>1271.9851373331508</v>
      </c>
      <c r="FE102" s="83">
        <v>122.11746660191646</v>
      </c>
      <c r="FF102" s="84">
        <v>1.4801916494471641E-3</v>
      </c>
      <c r="FG102" s="26">
        <v>43915</v>
      </c>
      <c r="FH102" s="25" t="s">
        <v>1524</v>
      </c>
      <c r="FI102" s="84">
        <v>187367.55385189413</v>
      </c>
      <c r="FJ102" s="84">
        <v>54916</v>
      </c>
      <c r="FK102" s="25" t="s">
        <v>1525</v>
      </c>
      <c r="FL102" s="26">
        <v>43914</v>
      </c>
      <c r="FM102" s="25">
        <v>64</v>
      </c>
      <c r="FN102" s="25" t="s">
        <v>1526</v>
      </c>
      <c r="FO102"/>
      <c r="FP102" s="25" t="s">
        <v>1527</v>
      </c>
      <c r="FQ102"/>
      <c r="FR102" s="72" t="s">
        <v>1528</v>
      </c>
      <c r="FS102" s="19">
        <v>1668.0246627816116</v>
      </c>
      <c r="FT102" s="72">
        <v>43913</v>
      </c>
      <c r="FU102" s="25">
        <v>2</v>
      </c>
      <c r="FV102" s="142">
        <v>43912</v>
      </c>
      <c r="FW102">
        <v>3</v>
      </c>
      <c r="FX102" t="s">
        <v>1523</v>
      </c>
      <c r="FY102" s="25"/>
      <c r="FZ102" s="25"/>
      <c r="GA102" s="25"/>
      <c r="GB102" s="25"/>
      <c r="GC102" s="25"/>
      <c r="GD102" s="25"/>
      <c r="GE102" s="25"/>
      <c r="GF102" s="25"/>
      <c r="GG102" s="25"/>
      <c r="GH102" s="25"/>
      <c r="GI102" s="25"/>
      <c r="GJ102" s="25"/>
      <c r="GK102" s="25"/>
      <c r="GL102" s="25"/>
      <c r="GM102" s="25"/>
      <c r="GN102" s="25"/>
      <c r="GO102" s="25"/>
      <c r="GP102" s="25"/>
      <c r="GQ102" s="25"/>
      <c r="GR102" s="25"/>
      <c r="GS102" s="25"/>
      <c r="GT102" s="25"/>
      <c r="GU102" s="25"/>
      <c r="GV102" s="25"/>
      <c r="GW102" s="25"/>
      <c r="GX102" s="25"/>
      <c r="GY102" s="25"/>
      <c r="GZ102" s="25"/>
      <c r="HA102" s="25"/>
      <c r="HB102" s="25"/>
      <c r="HC102" s="25"/>
      <c r="HD102" s="25"/>
      <c r="HE102" s="25"/>
      <c r="HF102" s="25"/>
      <c r="HG102" s="25"/>
      <c r="HH102" s="25"/>
    </row>
    <row r="103" spans="2:217" x14ac:dyDescent="0.25">
      <c r="B103" s="26">
        <f t="shared" si="4"/>
        <v>44058</v>
      </c>
      <c r="D103" s="25"/>
      <c r="L103" s="12" t="str">
        <f>IF(ISNUMBER(tblData[[#This Row],[NSW]]),tblData[[#This Row],[New South Wales]]/$L$9,"")</f>
        <v/>
      </c>
      <c r="M103" s="25"/>
      <c r="N103" s="44" t="str">
        <f>IF(ISNUMBER(tblData[Italy]),tblData[Italy]/$N$9,"")</f>
        <v/>
      </c>
      <c r="O103" s="25"/>
      <c r="P103" s="106" t="str">
        <f>IF(ISNUMBER(tblData[US]),tblData[US]/$P$9,"")</f>
        <v/>
      </c>
      <c r="Q103" s="44"/>
      <c r="R103" s="19" t="str">
        <f>IF(ISNUMBER(tblData[SKorea]),tblData[SKorea]/$R$9,"")</f>
        <v/>
      </c>
      <c r="S103" s="44"/>
      <c r="T103" s="12" t="str">
        <f>IF(ISNUMBER(tblData[UK]),tblData[UK]/$T$9,"")</f>
        <v/>
      </c>
      <c r="U103" s="25"/>
      <c r="V103" s="20" t="str">
        <f>IF(ISNUMBER(tblData[China]),tblData[China]/$V$9,"")</f>
        <v/>
      </c>
      <c r="W103" s="20"/>
      <c r="X103" s="20" t="str">
        <f>IF(ISNUMBER(tblData[Singapore]),tblData[Singapore]/$X$9,"")</f>
        <v/>
      </c>
      <c r="Y103" s="20"/>
      <c r="Z103" s="20" t="str">
        <f>IF(AND(LEN(tblData[Generic])&gt;0,ISNUMBER(tblData[Generic])),tblData[Generic]/$Z$9,"")</f>
        <v/>
      </c>
      <c r="AA103" s="25">
        <f ca="1">IF(tblData[[#This Row],[Date]]&lt;StartDt2Italy,"",tblData[[#This Row],[Date]]-ItalyStart)</f>
        <v>198</v>
      </c>
      <c r="AB103" s="25">
        <f ca="1">IF(tblData[[#This Row],[Date]]&lt;=StartDt2US,"",tblData[[#This Row],[Date]]-USStart)</f>
        <v>206</v>
      </c>
      <c r="AC103" s="25">
        <f ca="1">IF(tblData[[#This Row],[Date]]&lt;StartDt2China,"",tblData[[#This Row],[Date]]-ChinaStart)</f>
        <v>206</v>
      </c>
      <c r="AD103" s="25">
        <f>IF(tblData[[#This Row],[Date]]&lt;=SKoreaStart,"",tblData[[#This Row],[Date]]-SKoreaStart)</f>
        <v>206</v>
      </c>
      <c r="AE103" s="25">
        <f ca="1">IF(tblData[[#This Row],[Date]]&lt;=StartDt2UK,"",tblData[[#This Row],[Date]]-UKStart)</f>
        <v>198</v>
      </c>
      <c r="AF103" s="25">
        <f>IF(tblData[[#This Row],[Date]]&lt;StartDt2Singapore,"",tblData[[#This Row],[Date]]-SingaporeStart)</f>
        <v>205</v>
      </c>
      <c r="AG103" s="25">
        <f ca="1">IF(tblData[[#This Row],[Date]]&lt;StartDt2Generic,"",tblData[[#This Row],[Date]]-GenericStart)</f>
        <v>206</v>
      </c>
      <c r="AH103">
        <f ca="1">IF(tblData[Date]&gt;StartDt2Au,tblData[Date]-AuStart,"")</f>
        <v>203</v>
      </c>
      <c r="AI103" s="25">
        <f>IF(tblData[New South Wales]&gt;=0,SUM(tblData[[#This Row],[Australian Capital Territory]:[Western Australia]]),"")</f>
        <v>0</v>
      </c>
      <c r="AJ103" s="12">
        <f>IF(ISNUMBER(tblData[Au]),tblData[Au]/$AE$9,"")</f>
        <v>0</v>
      </c>
      <c r="AK103" s="39">
        <f ca="1">IF(ISNUMBER(tblData[[#This Row],[Day'# Aust]]),betaAu/(deltaAu+betaPodeltaAu*EXP(-betaAu*tblData[[#This Row],[Day'# Aust]])),"")</f>
        <v>6179.6706908282013</v>
      </c>
      <c r="AL103" s="63">
        <f ca="1">IF(ISNUMBER(tblData[Day'# Aust]),tblData[Au LogiP(t)]/$AJ$9,"")</f>
        <v>2436.3943742423126</v>
      </c>
      <c r="AM103" s="11" t="str">
        <f ca="1">IF(AND(tblData[Date]&gt;StartDt2Au,ISNUMBER(tblData[NSW])),(tblData[[#This Row],[Au LogiP(t)]]-tblData[[#This Row],[Au]])^2,"")</f>
        <v/>
      </c>
      <c r="AN103" s="11">
        <f ca="1">IF(AND(ISNUMBER(tblData[Au]),tblData[Date]&gt;StartDt2Au),(tblData[Au]-AVERAGE(tblData[Au]))^2,"")</f>
        <v>196564.33811020709</v>
      </c>
      <c r="AO103" s="11">
        <f>tblData[[#This Row],[Date]]-Au100dt</f>
        <v>154</v>
      </c>
      <c r="AP103">
        <f ca="1">IF(tblData[Date]&gt;StartDt2NSW,tblData[Date]-StartDt2NSW,"")</f>
        <v>203</v>
      </c>
      <c r="AQ103" s="25" t="str">
        <f>IF(tblData[[#This Row],[New South Wales]]&gt;0,tblData[[#This Row],[New South Wales]],"")</f>
        <v/>
      </c>
      <c r="AR103" s="11">
        <f ca="1">IF(tblData[Date]&gt;StartDt2NSW,betaNSW/(deltaNSW+betaPodeltaNSW*EXP(-betaNSW*tblData[[#This Row],[Day '# NSW]])),"")</f>
        <v>3000.2599690102425</v>
      </c>
      <c r="AS103" s="12" t="str">
        <f ca="1">IF(AND(ISNUMBER(tblData[NSW]),tblData[Date]&gt;StartDt2NSW),(tblData[[#This Row],[NSW LogiP(t)]]-tblData[[#This Row],[NSW]])^2,"")</f>
        <v/>
      </c>
      <c r="AT103" s="39">
        <f ca="1">IF(AND(tblData[Date]&gt;StartDt2NSW,ISNUMBER(tblData[Day'# Aust])),tblData[NSW LogiP(t)]/$AR$9,"")</f>
        <v>3713.19303095327</v>
      </c>
      <c r="AU103" s="11">
        <f>tblData[[#This Row],[Date]]-NSW100dt+1</f>
        <v>158</v>
      </c>
      <c r="AV103" s="11" t="str">
        <f ca="1">IF(AND(ISNUMBER(tblData[NSW]),tblData[Date]&gt;StartDt2NSW),(tblData[NSW]-AVERAGE(tblData[NSW]))^2,"")</f>
        <v/>
      </c>
      <c r="AW103" s="39">
        <f ca="1">IF(AND(tblData[Date]&gt;StartDt2Italy,ISNUMBER(tblData[Days'# Italy])),betaItaly/(deltaItaly+betaPodeltaItaly*EXP(-betaItaly*tblData[Days'# Italy])),"")</f>
        <v>97269.773664435765</v>
      </c>
      <c r="AX103" s="11" t="str">
        <f ca="1">IF(AND(tblData[Date]&gt;StartDt2Italy,ISNUMBER(tblData[Italy])),(tblData[[#This Row],[Italy LogiP(t)]]-tblData[[#This Row],[Italy]])^2,"")</f>
        <v/>
      </c>
      <c r="AY103" s="39">
        <f ca="1">IF(AND(tblData[Date]&gt;StartDt2Italy,ISNUMBER(tblData[Days'# Italy])),tblData[[#This Row],[Italy LogiP(t)]]/$AW$9,"")</f>
        <v>16081.635721986569</v>
      </c>
      <c r="AZ103" s="39" t="str">
        <f ca="1">IF(AND(ISNUMBER(tblData[Italy]),tblData[Date]&gt;StartDt2Italy),(tblData[Italy]-AVERAGE(tblData[Italy]))^2,"")</f>
        <v/>
      </c>
      <c r="BA103" s="11">
        <f>tblData[[#This Row],[Date]]-Italy100dt+1</f>
        <v>171</v>
      </c>
      <c r="BB103" s="11">
        <f ca="1">IF(AND(tblData[Date]&gt;StartDt2US,ISNUMBER(tblData[[#This Row],[Days'# US]])),betaUS/(deltaUS+betaPodeltaUS*EXP(-betaUS*tblData[Days'# US])),"")</f>
        <v>633176.40153317607</v>
      </c>
      <c r="BC103" s="11" t="str">
        <f ca="1">IF(AND(tblData[Date]&gt;StartDt2US,ISNUMBER(tblData[US])),(tblData[[#This Row],[US LogiP(t)]]-tblData[US])^2,"")</f>
        <v/>
      </c>
      <c r="BD103" s="137">
        <f ca="1">IF(AND(tblData[Date]&gt;=StartDt2US,ISNUMBER(tblData[[#This Row],[Days'# US]])),tblData[[#This Row],[US LogiP(t)]]/$BB$9,"")</f>
        <v>19232.170107958522</v>
      </c>
      <c r="BE103" s="137" t="str">
        <f ca="1">IF(AND(ISNUMBER(tblData[US]),tblData[Date]&gt;StartDt2US),(tblData[US]-AVERAGE(tblData[US]))^2,"")</f>
        <v/>
      </c>
      <c r="BF103" s="11">
        <f>tblData[[#This Row],[Date]]-US100dt+1</f>
        <v>155</v>
      </c>
      <c r="BG103" s="20">
        <f ca="1">IF(tblData[Date]&gt;StartDt2SKorea,betaSKorea/(deltaSKorea+betaPodeltaSKorea*EXP(-betaSKorea*(tblData[Date]-StartDt2SKorea))),"")</f>
        <v>9037.3342829253143</v>
      </c>
      <c r="BH103" s="20" t="str">
        <f ca="1">IF(AND(tblData[Date]&gt;StartDt2SKorea,ISNUMBER(tblData[SKorea])),(tblData[[#This Row],[SKorea LogiP(t)]]-tblData[[#This Row],[SKorea]])^2,"")</f>
        <v/>
      </c>
      <c r="BI103" s="20">
        <f ca="1">IF(tblData[Date]&gt;StartDt2SKorea,tblData[[#This Row],[SKorea LogiP(t)]]/$BG$9,"")</f>
        <v>1758.2362418142636</v>
      </c>
      <c r="BJ103" s="137" t="str">
        <f ca="1">IF(AND(ISNUMBER(tblData[SKorea]),tblData[Date]&gt;StartDt2SKorea),(tblData[SKorea]-AVERAGE(tblData[SKorea]))^2,"")</f>
        <v/>
      </c>
      <c r="BK103" s="11">
        <f>tblData[[#This Row],[Date]]-SKorea100dt+1</f>
        <v>176</v>
      </c>
      <c r="BL103" s="137">
        <f ca="1">IF(AND(tblData[Date]&gt;StartDt2UK,ISNUMBER(tblData[Days'# UK])),betaUK/(deltaUK+betaPodeltaUK*EXP(-betaUK*tblData[Days'# UK])),"")</f>
        <v>74551.842299538097</v>
      </c>
      <c r="BM103" s="71" t="str">
        <f ca="1">IF(AND(tblData[Date]&gt;StartDt2UK,ISNUMBER(tblData[UK])),(tblData[[#This Row],[UK LogiP(t)]]-tblData[[#This Row],[UK]])^2,"")</f>
        <v/>
      </c>
      <c r="BN103" s="71">
        <f ca="1">IF(ISNUMBER(tblData[Days'# UK]),tblData[[#This Row],[UK LogiP(t)]]/$BL$9,"")</f>
        <v>11220.927498425361</v>
      </c>
      <c r="BO103" s="137" t="str">
        <f ca="1">IF(AND(ISNUMBER(tblData[UK]),tblData[Date]&gt;StartDt2UK),(tblData[UK]-AVERAGE(tblData[UK]))^2,"")</f>
        <v/>
      </c>
      <c r="BP103" s="11">
        <f>tblData[[#This Row],[Date]]-UK100dt</f>
        <v>156</v>
      </c>
      <c r="BQ103" s="11">
        <f ca="1">IF(ISNUMBER(tblData[Days'# China]),betaChina/(deltaChina+betaPodeltaChina*EXP(-betaChina*tblData[Days'# China])),"")</f>
        <v>81223.951297127758</v>
      </c>
      <c r="BR103" s="11" t="str">
        <f>IF(ISNUMBER(tblData[China]),(tblData[[#This Row],[China LogiP(t)]]-tblData[[#This Row],[China]])^2,"")</f>
        <v/>
      </c>
      <c r="BS103" s="11">
        <f ca="1">tblData[[#This Row],[China LogiP(t)]]/$BQ$9</f>
        <v>564.32022211747142</v>
      </c>
      <c r="BT103" s="137" t="str">
        <f ca="1">IF(AND(ISNUMBER(tblData[China]),tblData[Date]&gt;StartDt2China),(tblData[China]-AVERAGE(tblData[China]))^2,"")</f>
        <v/>
      </c>
      <c r="BU103" s="11">
        <f>tblData[[#This Row],[Date]]-China100dt</f>
        <v>206</v>
      </c>
      <c r="BV103" s="106">
        <f>IF(ISNUMBER(tblData[Day'# Singapore]),betaSingapore/(deltaSingapore+betaPodeltaSingapore*EXP(-betaSingapore*tblData[Day'# Singapore])),"")</f>
        <v>140340.11190405244</v>
      </c>
      <c r="BW103" s="11" t="str">
        <f>IF(AND(ISNUMBER(tblData[Singapore]),tblData[Date]&gt;=StartDt2Singapore),(tblData[[#This Row],[Singapore LogiP(t)]]-tblData[[#This Row],[Singapore]])^2,"")</f>
        <v/>
      </c>
      <c r="BX103" s="106">
        <f>IF(ISNUMBER(tblData[Day'# Singapore]),tblData[Singapore LogiP(t)]/$BV$9,"")</f>
        <v>239897.62718641444</v>
      </c>
      <c r="BY103" s="106" t="str">
        <f>IF(AND(ISNUMBER(tblData[Singapore]),tblData[Date]&gt;StartDt2Singapore),(tblData[Singapore]-AVERAGE(tblData[Singapore]))^2,"")</f>
        <v/>
      </c>
      <c r="BZ103" s="11">
        <f>tblData[[#This Row],[Date]]-Singapore100dt+1</f>
        <v>187</v>
      </c>
      <c r="CA103" s="11">
        <f ca="1">IF(AND(tblData[Date]&gt;StartDt2Generic,ISNUMBER(tblData[Day'# Generic])),betaGeneric/(deltaGeneric+betaPodeltaGeneric*EXP(-betaGeneric*tblData[Day'# Generic])),"")</f>
        <v>3547.5213530049323</v>
      </c>
      <c r="CB103" s="106" t="str">
        <f ca="1">IF(AND(ISNUMBER(tblData[Generic]),tblData[Date]&gt;StartDt2Generic),(tblData[Generic LogiP(t)]-tblData[[#This Row],[Generic]])^2,"")</f>
        <v/>
      </c>
      <c r="CC103" s="11" t="str">
        <f ca="1">IF(AND(ISNUMBER(tblData[Generic]),tblData[Date]&gt;StartDt2Generic),tblData[Generic LogiP(t)]/$CA$9,"")</f>
        <v/>
      </c>
      <c r="CD103" s="106" t="str">
        <f ca="1">IF(AND(ISNUMBER(tblData[Generic]),tblData[Date]&gt;StartDt2Generic),(tblData[Generic]-AVERAGE(tblData[Generic]))^2,"")</f>
        <v/>
      </c>
      <c r="CE103" s="11">
        <f>tblData[[#This Row],[Date]]-Generic100dt+1</f>
        <v>148</v>
      </c>
      <c r="CF103" s="11"/>
      <c r="CG103" s="11"/>
      <c r="CH103" s="11" t="str">
        <f>IF(ISNUMBER(tblData[[#This Row],[Tests]]),tblData[[#This Row],[Tests]]-CF102,"")</f>
        <v/>
      </c>
      <c r="CI103" s="11" t="str">
        <f>IF(ISNUMBER(tblData[[#This Row],[NSW Under Investigation'']]),tblData[[#This Row],[NSW Under Investigation'']]-CG102,"")</f>
        <v/>
      </c>
      <c r="CJ103" s="11">
        <f>IF(tblData[[#This Row],[Date]]&gt;myData!TestsStart,tblData[[#This Row],[Date]]-myData!TestsStart,"")</f>
        <v>163</v>
      </c>
      <c r="CK103" s="11">
        <f>IF(AND(tblData[[#This Row],[NSW Test Day Number]]&gt;0,ISNUMBER(tblData[[#This Row],[NSW Test Day Number]])),betaTests/(deltaTests+betaPodeltaTests*EXP(-betaTests*tblData[[#This Row],[NSW Test Day Number]])),"")</f>
        <v>127232.33861411818</v>
      </c>
      <c r="CL103" s="11" t="str">
        <f>IF(tblData[Tests]&gt;0,(tblData[[#This Row],[Tests]]-tblData[[#This Row],[NSW Test Logi]])^2,"")</f>
        <v/>
      </c>
      <c r="CM103" s="106" t="str">
        <f>IF(AND(ISNUMBER(tblData[Tests]),tblData[Date]&gt;StartDt2Tests),(tblData[Tests]-AVERAGE(tblData[Tests]))^2,"")</f>
        <v/>
      </c>
      <c r="CN103" s="11" t="str">
        <f>IF(ISNUMBER(tblData[Tests]),tblData[Tests]/$CN$9/100,"")</f>
        <v/>
      </c>
      <c r="CO103" s="106">
        <f ca="1">IF(AND(tblData[[#This Row],[NSW Test Day Number]]&gt;0,ISNUMBER(tblData[[#This Row],[NSW Test Day Number]])),TestsLogestB*TestsLogestM^tblData[[#This Row],[NSW Test Day Number]],"")</f>
        <v>853516689164.42163</v>
      </c>
      <c r="CP103" s="11" t="str">
        <f>IF(AND(tblData[[#This Row],[NSW Test Day Number]]&gt;0,ISNUMBER(tblData[Tests])),(tblData[Tests]-tblData[[#This Row],[NSW Test Per Capita]])^2,"")</f>
        <v/>
      </c>
      <c r="CQ103" s="39">
        <f ca="1">IF(AND(tblData[Day '# NSW]&gt;0,ISNUMBER(tblData[[#This Row],[Day '# NSW]])),NSWLogestB*NSWLogestM^tblData[[#This Row],[Day '# NSW]]/$CR$9,"")</f>
        <v>2695052033.3572335</v>
      </c>
      <c r="CR103" s="39" t="str">
        <f ca="1">IF(AND(ISNUMBER(tblData[NSW]),tblData[Date]&gt;StartDt2NSW),(tblData[NSW]/$CR$9-tblData[[#This Row],[NSW Cases LogEst]])^2,"")</f>
        <v/>
      </c>
      <c r="CS103" s="106"/>
      <c r="CT103" s="11"/>
      <c r="CW103" s="25"/>
      <c r="CX103"/>
      <c r="DL103" s="25"/>
      <c r="DR103"/>
      <c r="DS103"/>
      <c r="DT103"/>
      <c r="DU103"/>
      <c r="DW103" s="25"/>
      <c r="DX103" s="25"/>
      <c r="EB103" s="25"/>
      <c r="EC103" s="25"/>
      <c r="ED103" s="25"/>
      <c r="EE103" s="25"/>
      <c r="EK103"/>
      <c r="EL103"/>
      <c r="EM103"/>
      <c r="EN103"/>
      <c r="EO103"/>
      <c r="EP103"/>
      <c r="EQ103"/>
      <c r="ER103"/>
      <c r="ES103" s="69"/>
      <c r="EU103" s="26" t="s">
        <v>209</v>
      </c>
      <c r="EV103" s="69">
        <v>43915.930520833332</v>
      </c>
      <c r="EW103" s="26">
        <v>43852</v>
      </c>
      <c r="EX103" s="26">
        <v>43885</v>
      </c>
      <c r="EY103" s="25">
        <v>3</v>
      </c>
      <c r="EZ103" s="25">
        <v>0.27733988858891551</v>
      </c>
      <c r="FA103" s="25">
        <v>1.4801916494471641E-6</v>
      </c>
      <c r="FB103" s="21">
        <v>2.2710910481900958E-3</v>
      </c>
      <c r="FC103" s="82">
        <v>187367.55385189413</v>
      </c>
      <c r="FD103" s="82">
        <v>1827.6216298380521</v>
      </c>
      <c r="FE103" s="83">
        <v>122.11746660191646</v>
      </c>
      <c r="FF103" s="84">
        <v>1.4801916494471641E-3</v>
      </c>
      <c r="FG103" s="26">
        <v>43915</v>
      </c>
      <c r="FH103" s="25" t="s">
        <v>1524</v>
      </c>
      <c r="FI103" s="84">
        <v>187367.55385189413</v>
      </c>
      <c r="FJ103" s="84">
        <v>54916</v>
      </c>
      <c r="FK103" s="25" t="s">
        <v>1525</v>
      </c>
      <c r="FL103" s="26">
        <v>43914</v>
      </c>
      <c r="FM103" s="25">
        <v>64</v>
      </c>
      <c r="FN103" s="25" t="s">
        <v>1526</v>
      </c>
      <c r="FO103"/>
      <c r="FP103" t="s">
        <v>1527</v>
      </c>
      <c r="FR103" s="72" t="s">
        <v>1528</v>
      </c>
      <c r="FS103" s="19">
        <v>1668.0246627816116</v>
      </c>
      <c r="FT103" s="72">
        <v>43913</v>
      </c>
      <c r="FU103" s="25">
        <v>2</v>
      </c>
      <c r="FV103" s="142">
        <v>43912</v>
      </c>
      <c r="FW103">
        <v>3</v>
      </c>
      <c r="FX103" t="s">
        <v>1523</v>
      </c>
      <c r="FY103" s="25"/>
      <c r="GA103" s="25"/>
      <c r="GB103" s="25"/>
      <c r="GC103" s="25"/>
      <c r="GD103" s="25"/>
      <c r="GE103" s="25"/>
      <c r="GF103" s="25"/>
      <c r="GG103" s="25"/>
      <c r="GH103" s="25"/>
      <c r="GI103" s="25"/>
      <c r="GJ103" s="25"/>
      <c r="GK103" s="25"/>
      <c r="GL103" s="25"/>
      <c r="GM103" s="25"/>
      <c r="GN103" s="25"/>
      <c r="GO103" s="25"/>
      <c r="GP103" s="25"/>
      <c r="GQ103" s="25"/>
      <c r="GR103" s="25"/>
      <c r="GS103" s="25"/>
      <c r="GT103" s="25"/>
      <c r="GU103" s="25"/>
      <c r="GV103" s="25"/>
      <c r="GW103" s="25"/>
      <c r="GX103" s="25"/>
      <c r="GY103" s="25"/>
      <c r="GZ103" s="25"/>
      <c r="HA103" s="25"/>
      <c r="HB103" s="25"/>
      <c r="HC103" s="25"/>
      <c r="HD103" s="25"/>
      <c r="HE103" s="25"/>
      <c r="HF103" s="25"/>
      <c r="HG103" s="25"/>
      <c r="HH103" s="25"/>
    </row>
    <row r="104" spans="2:217" x14ac:dyDescent="0.25">
      <c r="B104" s="26">
        <f t="shared" si="4"/>
        <v>44065</v>
      </c>
      <c r="D104" s="25"/>
      <c r="L104" s="12" t="str">
        <f>IF(ISNUMBER(tblData[[#This Row],[NSW]]),tblData[[#This Row],[New South Wales]]/$L$9,"")</f>
        <v/>
      </c>
      <c r="M104" s="25"/>
      <c r="N104" s="44" t="str">
        <f>IF(ISNUMBER(tblData[Italy]),tblData[Italy]/$N$9,"")</f>
        <v/>
      </c>
      <c r="O104" s="25"/>
      <c r="P104" s="106" t="str">
        <f>IF(ISNUMBER(tblData[US]),tblData[US]/$P$9,"")</f>
        <v/>
      </c>
      <c r="Q104" s="44"/>
      <c r="R104" s="19" t="str">
        <f>IF(ISNUMBER(tblData[SKorea]),tblData[SKorea]/$R$9,"")</f>
        <v/>
      </c>
      <c r="S104" s="44"/>
      <c r="T104" s="12" t="str">
        <f>IF(ISNUMBER(tblData[UK]),tblData[UK]/$T$9,"")</f>
        <v/>
      </c>
      <c r="U104" s="25"/>
      <c r="V104" s="20" t="str">
        <f>IF(ISNUMBER(tblData[China]),tblData[China]/$V$9,"")</f>
        <v/>
      </c>
      <c r="W104" s="20"/>
      <c r="X104" s="20" t="str">
        <f>IF(ISNUMBER(tblData[Singapore]),tblData[Singapore]/$X$9,"")</f>
        <v/>
      </c>
      <c r="Y104" s="20"/>
      <c r="Z104" s="20" t="str">
        <f>IF(AND(LEN(tblData[Generic])&gt;0,ISNUMBER(tblData[Generic])),tblData[Generic]/$Z$9,"")</f>
        <v/>
      </c>
      <c r="AA104" s="25">
        <f ca="1">IF(tblData[[#This Row],[Date]]&lt;StartDt2Italy,"",tblData[[#This Row],[Date]]-ItalyStart)</f>
        <v>205</v>
      </c>
      <c r="AB104" s="25">
        <f ca="1">IF(tblData[[#This Row],[Date]]&lt;=StartDt2US,"",tblData[[#This Row],[Date]]-USStart)</f>
        <v>213</v>
      </c>
      <c r="AC104" s="25">
        <f ca="1">IF(tblData[[#This Row],[Date]]&lt;StartDt2China,"",tblData[[#This Row],[Date]]-ChinaStart)</f>
        <v>213</v>
      </c>
      <c r="AD104" s="25">
        <f>IF(tblData[[#This Row],[Date]]&lt;=SKoreaStart,"",tblData[[#This Row],[Date]]-SKoreaStart)</f>
        <v>213</v>
      </c>
      <c r="AE104" s="25">
        <f ca="1">IF(tblData[[#This Row],[Date]]&lt;=StartDt2UK,"",tblData[[#This Row],[Date]]-UKStart)</f>
        <v>205</v>
      </c>
      <c r="AF104" s="25">
        <f>IF(tblData[[#This Row],[Date]]&lt;StartDt2Singapore,"",tblData[[#This Row],[Date]]-SingaporeStart)</f>
        <v>212</v>
      </c>
      <c r="AG104" s="25">
        <f ca="1">IF(tblData[[#This Row],[Date]]&lt;StartDt2Generic,"",tblData[[#This Row],[Date]]-GenericStart)</f>
        <v>213</v>
      </c>
      <c r="AH104">
        <f ca="1">IF(tblData[Date]&gt;StartDt2Au,tblData[Date]-AuStart,"")</f>
        <v>210</v>
      </c>
      <c r="AI104" s="25">
        <f>IF(tblData[New South Wales]&gt;=0,SUM(tblData[[#This Row],[Australian Capital Territory]:[Western Australia]]),"")</f>
        <v>0</v>
      </c>
      <c r="AJ104" s="12">
        <f>IF(ISNUMBER(tblData[Au]),tblData[Au]/$AE$9,"")</f>
        <v>0</v>
      </c>
      <c r="AK104" s="39">
        <f ca="1">IF(ISNUMBER(tblData[[#This Row],[Day'# Aust]]),betaAu/(deltaAu+betaPodeltaAu*EXP(-betaAu*tblData[[#This Row],[Day'# Aust]])),"")</f>
        <v>6179.670690828204</v>
      </c>
      <c r="AL104" s="63">
        <f ca="1">IF(ISNUMBER(tblData[Day'# Aust]),tblData[Au LogiP(t)]/$AJ$9,"")</f>
        <v>2436.3943742423135</v>
      </c>
      <c r="AM104" s="11" t="str">
        <f ca="1">IF(AND(tblData[Date]&gt;StartDt2Au,ISNUMBER(tblData[NSW])),(tblData[[#This Row],[Au LogiP(t)]]-tblData[[#This Row],[Au]])^2,"")</f>
        <v/>
      </c>
      <c r="AN104" s="11">
        <f ca="1">IF(AND(ISNUMBER(tblData[Au]),tblData[Date]&gt;StartDt2Au),(tblData[Au]-AVERAGE(tblData[Au]))^2,"")</f>
        <v>196564.33811020709</v>
      </c>
      <c r="AO104" s="11">
        <f>tblData[[#This Row],[Date]]-Au100dt</f>
        <v>161</v>
      </c>
      <c r="AP104">
        <f ca="1">IF(tblData[Date]&gt;StartDt2NSW,tblData[Date]-StartDt2NSW,"")</f>
        <v>210</v>
      </c>
      <c r="AQ104" s="25" t="str">
        <f>IF(tblData[[#This Row],[New South Wales]]&gt;0,tblData[[#This Row],[New South Wales]],"")</f>
        <v/>
      </c>
      <c r="AR104" s="11">
        <f ca="1">IF(tblData[Date]&gt;StartDt2NSW,betaNSW/(deltaNSW+betaPodeltaNSW*EXP(-betaNSW*tblData[[#This Row],[Day '# NSW]])),"")</f>
        <v>3000.2599690102502</v>
      </c>
      <c r="AS104" s="12" t="str">
        <f ca="1">IF(AND(ISNUMBER(tblData[NSW]),tblData[Date]&gt;StartDt2NSW),(tblData[[#This Row],[NSW LogiP(t)]]-tblData[[#This Row],[NSW]])^2,"")</f>
        <v/>
      </c>
      <c r="AT104" s="39">
        <f ca="1">IF(AND(tblData[Date]&gt;StartDt2NSW,ISNUMBER(tblData[Day'# Aust])),tblData[NSW LogiP(t)]/$AR$9,"")</f>
        <v>3713.1930309532795</v>
      </c>
      <c r="AU104" s="11">
        <f>tblData[[#This Row],[Date]]-NSW100dt+1</f>
        <v>165</v>
      </c>
      <c r="AV104" s="11" t="str">
        <f ca="1">IF(AND(ISNUMBER(tblData[NSW]),tblData[Date]&gt;StartDt2NSW),(tblData[NSW]-AVERAGE(tblData[NSW]))^2,"")</f>
        <v/>
      </c>
      <c r="AW104" s="39">
        <f ca="1">IF(AND(tblData[Date]&gt;StartDt2Italy,ISNUMBER(tblData[Days'# Italy])),betaItaly/(deltaItaly+betaPodeltaItaly*EXP(-betaItaly*tblData[Days'# Italy])),"")</f>
        <v>97269.773664435765</v>
      </c>
      <c r="AX104" s="11" t="str">
        <f ca="1">IF(AND(tblData[Date]&gt;StartDt2Italy,ISNUMBER(tblData[Italy])),(tblData[[#This Row],[Italy LogiP(t)]]-tblData[[#This Row],[Italy]])^2,"")</f>
        <v/>
      </c>
      <c r="AY104" s="39">
        <f ca="1">IF(AND(tblData[Date]&gt;StartDt2Italy,ISNUMBER(tblData[Days'# Italy])),tblData[[#This Row],[Italy LogiP(t)]]/$AW$9,"")</f>
        <v>16081.635721986569</v>
      </c>
      <c r="AZ104" s="39" t="str">
        <f ca="1">IF(AND(ISNUMBER(tblData[Italy]),tblData[Date]&gt;StartDt2Italy),(tblData[Italy]-AVERAGE(tblData[Italy]))^2,"")</f>
        <v/>
      </c>
      <c r="BA104" s="11">
        <f>tblData[[#This Row],[Date]]-Italy100dt+1</f>
        <v>178</v>
      </c>
      <c r="BB104" s="11">
        <f ca="1">IF(AND(tblData[Date]&gt;StartDt2US,ISNUMBER(tblData[[#This Row],[Days'# US]])),betaUS/(deltaUS+betaPodeltaUS*EXP(-betaUS*tblData[Days'# US])),"")</f>
        <v>633176.40153317607</v>
      </c>
      <c r="BC104" s="11" t="str">
        <f ca="1">IF(AND(tblData[Date]&gt;StartDt2US,ISNUMBER(tblData[US])),(tblData[[#This Row],[US LogiP(t)]]-tblData[US])^2,"")</f>
        <v/>
      </c>
      <c r="BD104" s="137">
        <f ca="1">IF(AND(tblData[Date]&gt;=StartDt2US,ISNUMBER(tblData[[#This Row],[Days'# US]])),tblData[[#This Row],[US LogiP(t)]]/$BB$9,"")</f>
        <v>19232.170107958522</v>
      </c>
      <c r="BE104" s="137" t="str">
        <f ca="1">IF(AND(ISNUMBER(tblData[US]),tblData[Date]&gt;StartDt2US),(tblData[US]-AVERAGE(tblData[US]))^2,"")</f>
        <v/>
      </c>
      <c r="BF104" s="11">
        <f>tblData[[#This Row],[Date]]-US100dt+1</f>
        <v>162</v>
      </c>
      <c r="BG104" s="20">
        <f ca="1">IF(tblData[Date]&gt;StartDt2SKorea,betaSKorea/(deltaSKorea+betaPodeltaSKorea*EXP(-betaSKorea*(tblData[Date]-StartDt2SKorea))),"")</f>
        <v>9037.3342829253143</v>
      </c>
      <c r="BH104" s="20" t="str">
        <f ca="1">IF(AND(tblData[Date]&gt;StartDt2SKorea,ISNUMBER(tblData[SKorea])),(tblData[[#This Row],[SKorea LogiP(t)]]-tblData[[#This Row],[SKorea]])^2,"")</f>
        <v/>
      </c>
      <c r="BI104" s="20">
        <f ca="1">IF(tblData[Date]&gt;StartDt2SKorea,tblData[[#This Row],[SKorea LogiP(t)]]/$BG$9,"")</f>
        <v>1758.2362418142636</v>
      </c>
      <c r="BJ104" s="137" t="str">
        <f ca="1">IF(AND(ISNUMBER(tblData[SKorea]),tblData[Date]&gt;StartDt2SKorea),(tblData[SKorea]-AVERAGE(tblData[SKorea]))^2,"")</f>
        <v/>
      </c>
      <c r="BK104" s="11">
        <f>tblData[[#This Row],[Date]]-SKorea100dt+1</f>
        <v>183</v>
      </c>
      <c r="BL104" s="137">
        <f ca="1">IF(AND(tblData[Date]&gt;StartDt2UK,ISNUMBER(tblData[Days'# UK])),betaUK/(deltaUK+betaPodeltaUK*EXP(-betaUK*tblData[Days'# UK])),"")</f>
        <v>74551.842299558819</v>
      </c>
      <c r="BM104" s="71" t="str">
        <f ca="1">IF(AND(tblData[Date]&gt;StartDt2UK,ISNUMBER(tblData[UK])),(tblData[[#This Row],[UK LogiP(t)]]-tblData[[#This Row],[UK]])^2,"")</f>
        <v/>
      </c>
      <c r="BN104" s="71">
        <f ca="1">IF(ISNUMBER(tblData[Days'# UK]),tblData[[#This Row],[UK LogiP(t)]]/$BL$9,"")</f>
        <v>11220.92749842848</v>
      </c>
      <c r="BO104" s="137" t="str">
        <f ca="1">IF(AND(ISNUMBER(tblData[UK]),tblData[Date]&gt;StartDt2UK),(tblData[UK]-AVERAGE(tblData[UK]))^2,"")</f>
        <v/>
      </c>
      <c r="BP104" s="11">
        <f>tblData[[#This Row],[Date]]-UK100dt</f>
        <v>163</v>
      </c>
      <c r="BQ104" s="11">
        <f ca="1">IF(ISNUMBER(tblData[Days'# China]),betaChina/(deltaChina+betaPodeltaChina*EXP(-betaChina*tblData[Days'# China])),"")</f>
        <v>81223.951297127758</v>
      </c>
      <c r="BR104" s="11" t="str">
        <f>IF(ISNUMBER(tblData[China]),(tblData[[#This Row],[China LogiP(t)]]-tblData[[#This Row],[China]])^2,"")</f>
        <v/>
      </c>
      <c r="BS104" s="11">
        <f ca="1">tblData[[#This Row],[China LogiP(t)]]/$BQ$9</f>
        <v>564.32022211747142</v>
      </c>
      <c r="BT104" s="137" t="str">
        <f ca="1">IF(AND(ISNUMBER(tblData[China]),tblData[Date]&gt;StartDt2China),(tblData[China]-AVERAGE(tblData[China]))^2,"")</f>
        <v/>
      </c>
      <c r="BU104" s="11">
        <f>tblData[[#This Row],[Date]]-China100dt</f>
        <v>213</v>
      </c>
      <c r="BV104" s="106">
        <f>IF(ISNUMBER(tblData[Day'# Singapore]),betaSingapore/(deltaSingapore+betaPodeltaSingapore*EXP(-betaSingapore*tblData[Day'# Singapore])),"")</f>
        <v>140501.06412574457</v>
      </c>
      <c r="BW104" s="11" t="str">
        <f>IF(AND(ISNUMBER(tblData[Singapore]),tblData[Date]&gt;=StartDt2Singapore),(tblData[[#This Row],[Singapore LogiP(t)]]-tblData[[#This Row],[Singapore]])^2,"")</f>
        <v/>
      </c>
      <c r="BX104" s="106">
        <f>IF(ISNUMBER(tblData[Day'# Singapore]),tblData[Singapore LogiP(t)]/$BV$9,"")</f>
        <v>240172.75918930696</v>
      </c>
      <c r="BY104" s="106" t="str">
        <f>IF(AND(ISNUMBER(tblData[Singapore]),tblData[Date]&gt;StartDt2Singapore),(tblData[Singapore]-AVERAGE(tblData[Singapore]))^2,"")</f>
        <v/>
      </c>
      <c r="BZ104" s="11">
        <f>tblData[[#This Row],[Date]]-Singapore100dt+1</f>
        <v>194</v>
      </c>
      <c r="CA104" s="11">
        <f ca="1">IF(AND(tblData[Date]&gt;StartDt2Generic,ISNUMBER(tblData[Day'# Generic])),betaGeneric/(deltaGeneric+betaPodeltaGeneric*EXP(-betaGeneric*tblData[Day'# Generic])),"")</f>
        <v>3547.5213530278479</v>
      </c>
      <c r="CB104" s="106" t="str">
        <f ca="1">IF(AND(ISNUMBER(tblData[Generic]),tblData[Date]&gt;StartDt2Generic),(tblData[Generic LogiP(t)]-tblData[[#This Row],[Generic]])^2,"")</f>
        <v/>
      </c>
      <c r="CC104" s="11" t="str">
        <f ca="1">IF(AND(ISNUMBER(tblData[Generic]),tblData[Date]&gt;StartDt2Generic),tblData[Generic LogiP(t)]/$CA$9,"")</f>
        <v/>
      </c>
      <c r="CD104" s="106" t="str">
        <f ca="1">IF(AND(ISNUMBER(tblData[Generic]),tblData[Date]&gt;StartDt2Generic),(tblData[Generic]-AVERAGE(tblData[Generic]))^2,"")</f>
        <v/>
      </c>
      <c r="CE104" s="11">
        <f>tblData[[#This Row],[Date]]-Generic100dt+1</f>
        <v>155</v>
      </c>
      <c r="CF104" s="11"/>
      <c r="CG104" s="11"/>
      <c r="CH104" s="11" t="str">
        <f>IF(ISNUMBER(tblData[[#This Row],[Tests]]),tblData[[#This Row],[Tests]]-CF103,"")</f>
        <v/>
      </c>
      <c r="CI104" s="11" t="str">
        <f>IF(ISNUMBER(tblData[[#This Row],[NSW Under Investigation'']]),tblData[[#This Row],[NSW Under Investigation'']]-CG103,"")</f>
        <v/>
      </c>
      <c r="CJ104" s="11">
        <f>IF(tblData[[#This Row],[Date]]&gt;myData!TestsStart,tblData[[#This Row],[Date]]-myData!TestsStart,"")</f>
        <v>170</v>
      </c>
      <c r="CK104" s="11">
        <f>IF(AND(tblData[[#This Row],[NSW Test Day Number]]&gt;0,ISNUMBER(tblData[[#This Row],[NSW Test Day Number]])),betaTests/(deltaTests+betaPodeltaTests*EXP(-betaTests*tblData[[#This Row],[NSW Test Day Number]])),"")</f>
        <v>127232.33861499536</v>
      </c>
      <c r="CL104" s="11" t="str">
        <f>IF(tblData[Tests]&gt;0,(tblData[[#This Row],[Tests]]-tblData[[#This Row],[NSW Test Logi]])^2,"")</f>
        <v/>
      </c>
      <c r="CM104" s="106" t="str">
        <f>IF(AND(ISNUMBER(tblData[Tests]),tblData[Date]&gt;StartDt2Tests),(tblData[Tests]-AVERAGE(tblData[Tests]))^2,"")</f>
        <v/>
      </c>
      <c r="CN104" s="11" t="str">
        <f>IF(ISNUMBER(tblData[Tests]),tblData[Tests]/$CN$9/100,"")</f>
        <v/>
      </c>
      <c r="CO104" s="106">
        <f ca="1">IF(AND(tblData[[#This Row],[NSW Test Day Number]]&gt;0,ISNUMBER(tblData[[#This Row],[NSW Test Day Number]])),TestsLogestB*TestsLogestM^tblData[[#This Row],[NSW Test Day Number]],"")</f>
        <v>1911038367019.2463</v>
      </c>
      <c r="CP104" s="11" t="str">
        <f>IF(AND(tblData[[#This Row],[NSW Test Day Number]]&gt;0,ISNUMBER(tblData[Tests])),(tblData[Tests]-tblData[[#This Row],[NSW Test Per Capita]])^2,"")</f>
        <v/>
      </c>
      <c r="CQ104" s="39">
        <f ca="1">IF(AND(tblData[Day '# NSW]&gt;0,ISNUMBER(tblData[[#This Row],[Day '# NSW]])),NSWLogestB*NSWLogestM^tblData[[#This Row],[Day '# NSW]]/$CR$9,"")</f>
        <v>5699888216.9110374</v>
      </c>
      <c r="CR104" s="39" t="str">
        <f ca="1">IF(AND(ISNUMBER(tblData[NSW]),tblData[Date]&gt;StartDt2NSW),(tblData[NSW]/$CR$9-tblData[[#This Row],[NSW Cases LogEst]])^2,"")</f>
        <v/>
      </c>
      <c r="CS104" s="106"/>
      <c r="CT104" s="11"/>
      <c r="CW104" s="25"/>
      <c r="CX104"/>
      <c r="DL104" s="25"/>
      <c r="DR104"/>
      <c r="DS104"/>
      <c r="DT104"/>
      <c r="DU104"/>
      <c r="DW104" s="25"/>
      <c r="DX104" s="25"/>
      <c r="EB104" s="25"/>
      <c r="EC104" s="25"/>
      <c r="ED104" s="25"/>
      <c r="EE104" s="25"/>
      <c r="EK104"/>
      <c r="EL104"/>
      <c r="EM104"/>
      <c r="EN104"/>
      <c r="EO104"/>
      <c r="EP104"/>
      <c r="EQ104"/>
      <c r="ER104"/>
      <c r="ES104" s="69"/>
      <c r="EU104" s="26" t="s">
        <v>209</v>
      </c>
      <c r="EV104" s="69">
        <v>43916.899108796293</v>
      </c>
      <c r="EW104" s="26">
        <v>43852</v>
      </c>
      <c r="EX104" s="26">
        <v>43885</v>
      </c>
      <c r="EY104" s="25">
        <v>3</v>
      </c>
      <c r="EZ104" s="25">
        <v>0.27733988858891551</v>
      </c>
      <c r="FA104" s="81">
        <v>1.4801916494471641E-6</v>
      </c>
      <c r="FB104" s="21">
        <v>2.2710910481900958E-3</v>
      </c>
      <c r="FC104" s="82">
        <v>187367.55385189413</v>
      </c>
      <c r="FD104" s="82">
        <v>1827.6216298380521</v>
      </c>
      <c r="FE104" s="83">
        <v>122.11746660191646</v>
      </c>
      <c r="FF104" s="84">
        <v>1.4801916494471641E-3</v>
      </c>
      <c r="FG104" s="26">
        <v>43915</v>
      </c>
      <c r="FH104" s="84" t="s">
        <v>1524</v>
      </c>
      <c r="FI104" s="84">
        <v>187367.55385189413</v>
      </c>
      <c r="FJ104" s="84">
        <v>54916</v>
      </c>
      <c r="FK104" s="25" t="s">
        <v>1525</v>
      </c>
      <c r="FL104" s="26">
        <v>43915</v>
      </c>
      <c r="FM104" s="25">
        <v>64</v>
      </c>
      <c r="FN104" s="25" t="s">
        <v>1526</v>
      </c>
      <c r="FO104" s="25"/>
      <c r="FP104" s="72" t="s">
        <v>1527</v>
      </c>
      <c r="FQ104"/>
      <c r="FR104" s="72" t="s">
        <v>1564</v>
      </c>
      <c r="FS104" s="19">
        <v>1668.0246627816116</v>
      </c>
      <c r="FT104" s="72">
        <v>43914</v>
      </c>
      <c r="FU104" s="25">
        <v>2</v>
      </c>
      <c r="FV104" s="142">
        <v>43913</v>
      </c>
      <c r="FW104" s="25">
        <v>3</v>
      </c>
      <c r="FX104" t="s">
        <v>1565</v>
      </c>
      <c r="FY104" s="25"/>
      <c r="FZ104" s="25"/>
      <c r="GA104" s="25"/>
      <c r="GB104" s="25"/>
      <c r="GC104" s="25"/>
      <c r="GD104" s="25"/>
      <c r="GE104" s="25"/>
      <c r="GF104" s="25"/>
      <c r="GG104" s="25"/>
      <c r="GH104" s="25"/>
      <c r="GI104" s="25"/>
      <c r="GJ104" s="25"/>
      <c r="GK104" s="25"/>
      <c r="GL104" s="25"/>
      <c r="GM104" s="25"/>
      <c r="GN104" s="25"/>
      <c r="GO104" s="25"/>
      <c r="GP104" s="25"/>
      <c r="GQ104" s="25"/>
      <c r="GR104" s="25"/>
      <c r="GS104" s="25"/>
      <c r="GT104" s="25"/>
      <c r="GU104" s="25"/>
      <c r="GV104" s="25"/>
      <c r="GW104" s="25"/>
      <c r="GX104" s="25"/>
      <c r="GY104" s="25"/>
      <c r="GZ104" s="25"/>
      <c r="HA104" s="25"/>
      <c r="HB104" s="25"/>
      <c r="HC104" s="25"/>
      <c r="HD104" s="25"/>
      <c r="HE104" s="25"/>
      <c r="HF104" s="25"/>
      <c r="HG104" s="25"/>
      <c r="HH104" s="25"/>
    </row>
    <row r="105" spans="2:217" x14ac:dyDescent="0.25">
      <c r="B105" s="26">
        <f t="shared" si="4"/>
        <v>44072</v>
      </c>
      <c r="D105" s="25"/>
      <c r="L105" s="12" t="str">
        <f>IF(ISNUMBER(tblData[[#This Row],[NSW]]),tblData[[#This Row],[New South Wales]]/$L$9,"")</f>
        <v/>
      </c>
      <c r="M105" s="25"/>
      <c r="N105" s="44" t="str">
        <f>IF(ISNUMBER(tblData[Italy]),tblData[Italy]/$N$9,"")</f>
        <v/>
      </c>
      <c r="O105" s="25"/>
      <c r="P105" s="106" t="str">
        <f>IF(ISNUMBER(tblData[US]),tblData[US]/$P$9,"")</f>
        <v/>
      </c>
      <c r="Q105" s="44"/>
      <c r="R105" s="19" t="str">
        <f>IF(ISNUMBER(tblData[SKorea]),tblData[SKorea]/$R$9,"")</f>
        <v/>
      </c>
      <c r="S105" s="44"/>
      <c r="T105" s="12" t="str">
        <f>IF(ISNUMBER(tblData[UK]),tblData[UK]/$T$9,"")</f>
        <v/>
      </c>
      <c r="U105" s="25"/>
      <c r="V105" s="20" t="str">
        <f>IF(ISNUMBER(tblData[China]),tblData[China]/$V$9,"")</f>
        <v/>
      </c>
      <c r="W105" s="20"/>
      <c r="X105" s="20" t="str">
        <f>IF(ISNUMBER(tblData[Singapore]),tblData[Singapore]/$X$9,"")</f>
        <v/>
      </c>
      <c r="Y105" s="20"/>
      <c r="Z105" s="20" t="str">
        <f>IF(AND(LEN(tblData[Generic])&gt;0,ISNUMBER(tblData[Generic])),tblData[Generic]/$Z$9,"")</f>
        <v/>
      </c>
      <c r="AA105" s="25">
        <f ca="1">IF(tblData[[#This Row],[Date]]&lt;StartDt2Italy,"",tblData[[#This Row],[Date]]-ItalyStart)</f>
        <v>212</v>
      </c>
      <c r="AB105" s="25">
        <f ca="1">IF(tblData[[#This Row],[Date]]&lt;=StartDt2US,"",tblData[[#This Row],[Date]]-USStart)</f>
        <v>220</v>
      </c>
      <c r="AC105" s="25">
        <f ca="1">IF(tblData[[#This Row],[Date]]&lt;StartDt2China,"",tblData[[#This Row],[Date]]-ChinaStart)</f>
        <v>220</v>
      </c>
      <c r="AD105" s="25">
        <f>IF(tblData[[#This Row],[Date]]&lt;=SKoreaStart,"",tblData[[#This Row],[Date]]-SKoreaStart)</f>
        <v>220</v>
      </c>
      <c r="AE105" s="25">
        <f ca="1">IF(tblData[[#This Row],[Date]]&lt;=StartDt2UK,"",tblData[[#This Row],[Date]]-UKStart)</f>
        <v>212</v>
      </c>
      <c r="AF105" s="25">
        <f>IF(tblData[[#This Row],[Date]]&lt;StartDt2Singapore,"",tblData[[#This Row],[Date]]-SingaporeStart)</f>
        <v>219</v>
      </c>
      <c r="AG105" s="25">
        <f ca="1">IF(tblData[[#This Row],[Date]]&lt;StartDt2Generic,"",tblData[[#This Row],[Date]]-GenericStart)</f>
        <v>220</v>
      </c>
      <c r="AH105">
        <f ca="1">IF(tblData[Date]&gt;StartDt2Au,tblData[Date]-AuStart,"")</f>
        <v>217</v>
      </c>
      <c r="AI105" s="25">
        <f>IF(tblData[New South Wales]&gt;=0,SUM(tblData[[#This Row],[Australian Capital Territory]:[Western Australia]]),"")</f>
        <v>0</v>
      </c>
      <c r="AJ105" s="12">
        <f>IF(ISNUMBER(tblData[Au]),tblData[Au]/$AE$9,"")</f>
        <v>0</v>
      </c>
      <c r="AK105" s="39">
        <f ca="1">IF(ISNUMBER(tblData[[#This Row],[Day'# Aust]]),betaAu/(deltaAu+betaPodeltaAu*EXP(-betaAu*tblData[[#This Row],[Day'# Aust]])),"")</f>
        <v>6179.670690828204</v>
      </c>
      <c r="AL105" s="63">
        <f ca="1">IF(ISNUMBER(tblData[Day'# Aust]),tblData[Au LogiP(t)]/$AJ$9,"")</f>
        <v>2436.3943742423135</v>
      </c>
      <c r="AM105" s="11" t="str">
        <f ca="1">IF(AND(tblData[Date]&gt;StartDt2Au,ISNUMBER(tblData[NSW])),(tblData[[#This Row],[Au LogiP(t)]]-tblData[[#This Row],[Au]])^2,"")</f>
        <v/>
      </c>
      <c r="AN105" s="11">
        <f ca="1">IF(AND(ISNUMBER(tblData[Au]),tblData[Date]&gt;StartDt2Au),(tblData[Au]-AVERAGE(tblData[Au]))^2,"")</f>
        <v>196564.33811020709</v>
      </c>
      <c r="AO105" s="11">
        <f>tblData[[#This Row],[Date]]-Au100dt</f>
        <v>168</v>
      </c>
      <c r="AP105">
        <f ca="1">IF(tblData[Date]&gt;StartDt2NSW,tblData[Date]-StartDt2NSW,"")</f>
        <v>217</v>
      </c>
      <c r="AQ105" s="25" t="str">
        <f>IF(tblData[[#This Row],[New South Wales]]&gt;0,tblData[[#This Row],[New South Wales]],"")</f>
        <v/>
      </c>
      <c r="AR105" s="11">
        <f ca="1">IF(tblData[Date]&gt;StartDt2NSW,betaNSW/(deltaNSW+betaPodeltaNSW*EXP(-betaNSW*tblData[[#This Row],[Day '# NSW]])),"")</f>
        <v>3000.2599690102516</v>
      </c>
      <c r="AS105" s="12" t="str">
        <f ca="1">IF(AND(ISNUMBER(tblData[NSW]),tblData[Date]&gt;StartDt2NSW),(tblData[[#This Row],[NSW LogiP(t)]]-tblData[[#This Row],[NSW]])^2,"")</f>
        <v/>
      </c>
      <c r="AT105" s="39">
        <f ca="1">IF(AND(tblData[Date]&gt;StartDt2NSW,ISNUMBER(tblData[Day'# Aust])),tblData[NSW LogiP(t)]/$AR$9,"")</f>
        <v>3713.1930309532813</v>
      </c>
      <c r="AU105" s="11">
        <f>tblData[[#This Row],[Date]]-NSW100dt+1</f>
        <v>172</v>
      </c>
      <c r="AV105" s="11" t="str">
        <f ca="1">IF(AND(ISNUMBER(tblData[NSW]),tblData[Date]&gt;StartDt2NSW),(tblData[NSW]-AVERAGE(tblData[NSW]))^2,"")</f>
        <v/>
      </c>
      <c r="AW105" s="39">
        <f ca="1">IF(AND(tblData[Date]&gt;StartDt2Italy,ISNUMBER(tblData[Days'# Italy])),betaItaly/(deltaItaly+betaPodeltaItaly*EXP(-betaItaly*tblData[Days'# Italy])),"")</f>
        <v>97269.773664435765</v>
      </c>
      <c r="AX105" s="11" t="str">
        <f ca="1">IF(AND(tblData[Date]&gt;StartDt2Italy,ISNUMBER(tblData[Italy])),(tblData[[#This Row],[Italy LogiP(t)]]-tblData[[#This Row],[Italy]])^2,"")</f>
        <v/>
      </c>
      <c r="AY105" s="39">
        <f ca="1">IF(AND(tblData[Date]&gt;StartDt2Italy,ISNUMBER(tblData[Days'# Italy])),tblData[[#This Row],[Italy LogiP(t)]]/$AW$9,"")</f>
        <v>16081.635721986569</v>
      </c>
      <c r="AZ105" s="39" t="str">
        <f ca="1">IF(AND(ISNUMBER(tblData[Italy]),tblData[Date]&gt;StartDt2Italy),(tblData[Italy]-AVERAGE(tblData[Italy]))^2,"")</f>
        <v/>
      </c>
      <c r="BA105" s="11">
        <f>tblData[[#This Row],[Date]]-Italy100dt+1</f>
        <v>185</v>
      </c>
      <c r="BB105" s="11">
        <f ca="1">IF(AND(tblData[Date]&gt;StartDt2US,ISNUMBER(tblData[[#This Row],[Days'# US]])),betaUS/(deltaUS+betaPodeltaUS*EXP(-betaUS*tblData[Days'# US])),"")</f>
        <v>633176.40153317607</v>
      </c>
      <c r="BC105" s="11" t="str">
        <f ca="1">IF(AND(tblData[Date]&gt;StartDt2US,ISNUMBER(tblData[US])),(tblData[[#This Row],[US LogiP(t)]]-tblData[US])^2,"")</f>
        <v/>
      </c>
      <c r="BD105" s="137">
        <f ca="1">IF(AND(tblData[Date]&gt;=StartDt2US,ISNUMBER(tblData[[#This Row],[Days'# US]])),tblData[[#This Row],[US LogiP(t)]]/$BB$9,"")</f>
        <v>19232.170107958522</v>
      </c>
      <c r="BE105" s="137" t="str">
        <f ca="1">IF(AND(ISNUMBER(tblData[US]),tblData[Date]&gt;StartDt2US),(tblData[US]-AVERAGE(tblData[US]))^2,"")</f>
        <v/>
      </c>
      <c r="BF105" s="11">
        <f>tblData[[#This Row],[Date]]-US100dt+1</f>
        <v>169</v>
      </c>
      <c r="BG105" s="20">
        <f ca="1">IF(tblData[Date]&gt;StartDt2SKorea,betaSKorea/(deltaSKorea+betaPodeltaSKorea*EXP(-betaSKorea*(tblData[Date]-StartDt2SKorea))),"")</f>
        <v>9037.3342829253143</v>
      </c>
      <c r="BH105" s="20" t="str">
        <f ca="1">IF(AND(tblData[Date]&gt;StartDt2SKorea,ISNUMBER(tblData[SKorea])),(tblData[[#This Row],[SKorea LogiP(t)]]-tblData[[#This Row],[SKorea]])^2,"")</f>
        <v/>
      </c>
      <c r="BI105" s="20">
        <f ca="1">IF(tblData[Date]&gt;StartDt2SKorea,tblData[[#This Row],[SKorea LogiP(t)]]/$BG$9,"")</f>
        <v>1758.2362418142636</v>
      </c>
      <c r="BJ105" s="137" t="str">
        <f ca="1">IF(AND(ISNUMBER(tblData[SKorea]),tblData[Date]&gt;StartDt2SKorea),(tblData[SKorea]-AVERAGE(tblData[SKorea]))^2,"")</f>
        <v/>
      </c>
      <c r="BK105" s="11">
        <f>tblData[[#This Row],[Date]]-SKorea100dt+1</f>
        <v>190</v>
      </c>
      <c r="BL105" s="137">
        <f ca="1">IF(AND(tblData[Date]&gt;StartDt2UK,ISNUMBER(tblData[Days'# UK])),betaUK/(deltaUK+betaPodeltaUK*EXP(-betaUK*tblData[Days'# UK])),"")</f>
        <v>74551.842299563461</v>
      </c>
      <c r="BM105" s="71" t="str">
        <f ca="1">IF(AND(tblData[Date]&gt;StartDt2UK,ISNUMBER(tblData[UK])),(tblData[[#This Row],[UK LogiP(t)]]-tblData[[#This Row],[UK]])^2,"")</f>
        <v/>
      </c>
      <c r="BN105" s="71">
        <f ca="1">IF(ISNUMBER(tblData[Days'# UK]),tblData[[#This Row],[UK LogiP(t)]]/$BL$9,"")</f>
        <v>11220.927498429179</v>
      </c>
      <c r="BO105" s="137" t="str">
        <f ca="1">IF(AND(ISNUMBER(tblData[UK]),tblData[Date]&gt;StartDt2UK),(tblData[UK]-AVERAGE(tblData[UK]))^2,"")</f>
        <v/>
      </c>
      <c r="BP105" s="11">
        <f>tblData[[#This Row],[Date]]-UK100dt</f>
        <v>170</v>
      </c>
      <c r="BQ105" s="11">
        <f ca="1">IF(ISNUMBER(tblData[Days'# China]),betaChina/(deltaChina+betaPodeltaChina*EXP(-betaChina*tblData[Days'# China])),"")</f>
        <v>81223.951297127758</v>
      </c>
      <c r="BR105" s="11" t="str">
        <f>IF(ISNUMBER(tblData[China]),(tblData[[#This Row],[China LogiP(t)]]-tblData[[#This Row],[China]])^2,"")</f>
        <v/>
      </c>
      <c r="BS105" s="11">
        <f ca="1">tblData[[#This Row],[China LogiP(t)]]/$BQ$9</f>
        <v>564.32022211747142</v>
      </c>
      <c r="BT105" s="137" t="str">
        <f ca="1">IF(AND(ISNUMBER(tblData[China]),tblData[Date]&gt;StartDt2China),(tblData[China]-AVERAGE(tblData[China]))^2,"")</f>
        <v/>
      </c>
      <c r="BU105" s="11">
        <f>tblData[[#This Row],[Date]]-China100dt</f>
        <v>220</v>
      </c>
      <c r="BV105" s="106">
        <f>IF(ISNUMBER(tblData[Day'# Singapore]),betaSingapore/(deltaSingapore+betaPodeltaSingapore*EXP(-betaSingapore*tblData[Day'# Singapore])),"")</f>
        <v>140593.43269252198</v>
      </c>
      <c r="BW105" s="11" t="str">
        <f>IF(AND(ISNUMBER(tblData[Singapore]),tblData[Date]&gt;=StartDt2Singapore),(tblData[[#This Row],[Singapore LogiP(t)]]-tblData[[#This Row],[Singapore]])^2,"")</f>
        <v/>
      </c>
      <c r="BX105" s="106">
        <f>IF(ISNUMBER(tblData[Day'# Singapore]),tblData[Singapore LogiP(t)]/$BV$9,"")</f>
        <v>240330.65417525126</v>
      </c>
      <c r="BY105" s="106" t="str">
        <f>IF(AND(ISNUMBER(tblData[Singapore]),tblData[Date]&gt;StartDt2Singapore),(tblData[Singapore]-AVERAGE(tblData[Singapore]))^2,"")</f>
        <v/>
      </c>
      <c r="BZ105" s="11">
        <f>tblData[[#This Row],[Date]]-Singapore100dt+1</f>
        <v>201</v>
      </c>
      <c r="CA105" s="11">
        <f ca="1">IF(AND(tblData[Date]&gt;StartDt2Generic,ISNUMBER(tblData[Day'# Generic])),betaGeneric/(deltaGeneric+betaPodeltaGeneric*EXP(-betaGeneric*tblData[Day'# Generic])),"")</f>
        <v>3547.5213530336241</v>
      </c>
      <c r="CB105" s="106" t="str">
        <f ca="1">IF(AND(ISNUMBER(tblData[Generic]),tblData[Date]&gt;StartDt2Generic),(tblData[Generic LogiP(t)]-tblData[[#This Row],[Generic]])^2,"")</f>
        <v/>
      </c>
      <c r="CC105" s="11" t="str">
        <f ca="1">IF(AND(ISNUMBER(tblData[Generic]),tblData[Date]&gt;StartDt2Generic),tblData[Generic LogiP(t)]/$CA$9,"")</f>
        <v/>
      </c>
      <c r="CD105" s="106" t="str">
        <f ca="1">IF(AND(ISNUMBER(tblData[Generic]),tblData[Date]&gt;StartDt2Generic),(tblData[Generic]-AVERAGE(tblData[Generic]))^2,"")</f>
        <v/>
      </c>
      <c r="CE105" s="11">
        <f>tblData[[#This Row],[Date]]-Generic100dt+1</f>
        <v>162</v>
      </c>
      <c r="CF105" s="11"/>
      <c r="CG105" s="11"/>
      <c r="CH105" s="11" t="str">
        <f>IF(ISNUMBER(tblData[[#This Row],[Tests]]),tblData[[#This Row],[Tests]]-CF104,"")</f>
        <v/>
      </c>
      <c r="CI105" s="11" t="str">
        <f>IF(ISNUMBER(tblData[[#This Row],[NSW Under Investigation'']]),tblData[[#This Row],[NSW Under Investigation'']]-CG104,"")</f>
        <v/>
      </c>
      <c r="CJ105" s="11">
        <f>IF(tblData[[#This Row],[Date]]&gt;myData!TestsStart,tblData[[#This Row],[Date]]-myData!TestsStart,"")</f>
        <v>177</v>
      </c>
      <c r="CK105" s="11">
        <f>IF(AND(tblData[[#This Row],[NSW Test Day Number]]&gt;0,ISNUMBER(tblData[[#This Row],[NSW Test Day Number]])),betaTests/(deltaTests+betaPodeltaTests*EXP(-betaTests*tblData[[#This Row],[NSW Test Day Number]])),"")</f>
        <v>127232.33861525099</v>
      </c>
      <c r="CL105" s="11" t="str">
        <f>IF(tblData[Tests]&gt;0,(tblData[[#This Row],[Tests]]-tblData[[#This Row],[NSW Test Logi]])^2,"")</f>
        <v/>
      </c>
      <c r="CM105" s="106" t="str">
        <f>IF(AND(ISNUMBER(tblData[Tests]),tblData[Date]&gt;StartDt2Tests),(tblData[Tests]-AVERAGE(tblData[Tests]))^2,"")</f>
        <v/>
      </c>
      <c r="CN105" s="11" t="str">
        <f>IF(ISNUMBER(tblData[Tests]),tblData[Tests]/$CN$9/100,"")</f>
        <v/>
      </c>
      <c r="CO105" s="106">
        <f ca="1">IF(AND(tblData[[#This Row],[NSW Test Day Number]]&gt;0,ISNUMBER(tblData[[#This Row],[NSW Test Day Number]])),TestsLogestB*TestsLogestM^tblData[[#This Row],[NSW Test Day Number]],"")</f>
        <v>4278847369457.8818</v>
      </c>
      <c r="CP105" s="11" t="str">
        <f>IF(AND(tblData[[#This Row],[NSW Test Day Number]]&gt;0,ISNUMBER(tblData[Tests])),(tblData[Tests]-tblData[[#This Row],[NSW Test Per Capita]])^2,"")</f>
        <v/>
      </c>
      <c r="CQ105" s="39">
        <f ca="1">IF(AND(tblData[Day '# NSW]&gt;0,ISNUMBER(tblData[[#This Row],[Day '# NSW]])),NSWLogestB*NSWLogestM^tblData[[#This Row],[Day '# NSW]]/$CR$9,"")</f>
        <v>12054953033.619162</v>
      </c>
      <c r="CR105" s="39" t="str">
        <f ca="1">IF(AND(ISNUMBER(tblData[NSW]),tblData[Date]&gt;StartDt2NSW),(tblData[NSW]/$CR$9-tblData[[#This Row],[NSW Cases LogEst]])^2,"")</f>
        <v/>
      </c>
      <c r="CS105" s="106"/>
      <c r="CT105" s="11"/>
      <c r="CW105" s="25"/>
      <c r="CX105"/>
      <c r="DL105" s="25"/>
      <c r="DR105"/>
      <c r="DS105"/>
      <c r="DT105"/>
      <c r="DU105"/>
      <c r="DW105" s="25"/>
      <c r="DX105" s="25"/>
      <c r="EB105" s="25"/>
      <c r="EC105" s="25"/>
      <c r="ED105" s="25"/>
      <c r="EE105" s="25"/>
      <c r="EK105"/>
      <c r="EL105"/>
      <c r="EM105"/>
      <c r="EN105"/>
      <c r="EO105"/>
      <c r="EP105"/>
      <c r="EQ105"/>
      <c r="ER105"/>
      <c r="ES105"/>
      <c r="ET105"/>
      <c r="EU105" s="26" t="s">
        <v>209</v>
      </c>
      <c r="EV105" s="69">
        <v>43918.900833333333</v>
      </c>
      <c r="EW105" s="26">
        <v>43852</v>
      </c>
      <c r="EX105" s="26">
        <v>43851</v>
      </c>
      <c r="EY105" s="25">
        <v>3</v>
      </c>
      <c r="EZ105" s="25">
        <v>0.28524835167315121</v>
      </c>
      <c r="FA105" s="81">
        <v>8.9420331531557431E-7</v>
      </c>
      <c r="FB105" s="21">
        <v>1.0000000000000002E-3</v>
      </c>
      <c r="FC105" s="82">
        <v>318997.19760319148</v>
      </c>
      <c r="FD105" s="82">
        <v>678.74969889432623</v>
      </c>
      <c r="FE105" s="83">
        <v>285.24835077894784</v>
      </c>
      <c r="FF105" s="84">
        <v>8.9420331531557431E-4</v>
      </c>
      <c r="FG105" s="26">
        <v>43917</v>
      </c>
      <c r="FH105" s="84" t="s">
        <v>1820</v>
      </c>
      <c r="FI105" s="84">
        <v>318997.19760319148</v>
      </c>
      <c r="FJ105" s="84">
        <v>101657</v>
      </c>
      <c r="FK105" s="25" t="s">
        <v>1821</v>
      </c>
      <c r="FL105" s="26">
        <v>43917</v>
      </c>
      <c r="FM105" s="25">
        <v>66</v>
      </c>
      <c r="FN105" s="25" t="s">
        <v>1822</v>
      </c>
      <c r="FO105"/>
      <c r="FP105" s="72" t="s">
        <v>1823</v>
      </c>
      <c r="FR105" s="72" t="s">
        <v>1824</v>
      </c>
      <c r="FS105" s="19">
        <v>3087.7409706531844</v>
      </c>
      <c r="FT105" s="72">
        <v>43916</v>
      </c>
      <c r="FU105" s="25">
        <v>2</v>
      </c>
      <c r="FV105" s="142">
        <v>43914</v>
      </c>
      <c r="FW105">
        <v>4</v>
      </c>
      <c r="FX105" t="s">
        <v>1853</v>
      </c>
      <c r="FY105" s="25"/>
      <c r="FZ105" s="25"/>
      <c r="GA105" s="25"/>
      <c r="GB105" s="25"/>
      <c r="GC105" s="25"/>
      <c r="GD105" s="25"/>
      <c r="GE105" s="25"/>
      <c r="GF105" s="25"/>
      <c r="GG105" s="25"/>
      <c r="GH105" s="25"/>
      <c r="GI105" s="25"/>
      <c r="GJ105" s="25"/>
      <c r="GK105" s="25"/>
      <c r="GL105" s="25"/>
      <c r="GM105" s="25"/>
      <c r="GN105" s="25"/>
      <c r="GO105" s="25"/>
      <c r="GP105" s="25"/>
      <c r="GQ105" s="25"/>
      <c r="GR105" s="25"/>
      <c r="GS105" s="25"/>
      <c r="GT105" s="25"/>
      <c r="GU105" s="25"/>
      <c r="GV105" s="25"/>
      <c r="GW105" s="25"/>
      <c r="GX105" s="25"/>
      <c r="GY105" s="25"/>
      <c r="GZ105" s="25"/>
      <c r="HA105" s="25"/>
      <c r="HB105" s="25"/>
      <c r="HC105" s="25"/>
      <c r="HD105" s="25"/>
      <c r="HE105" s="25"/>
      <c r="HF105" s="25"/>
      <c r="HG105" s="25"/>
      <c r="HH105" s="25"/>
      <c r="HI105" s="25"/>
    </row>
    <row r="106" spans="2:217" x14ac:dyDescent="0.25">
      <c r="B106" s="26">
        <f t="shared" si="4"/>
        <v>44079</v>
      </c>
      <c r="D106" s="25"/>
      <c r="L106" s="12" t="str">
        <f>IF(ISNUMBER(tblData[[#This Row],[NSW]]),tblData[[#This Row],[New South Wales]]/$L$9,"")</f>
        <v/>
      </c>
      <c r="M106" s="25"/>
      <c r="N106" s="44" t="str">
        <f>IF(ISNUMBER(tblData[Italy]),tblData[Italy]/$N$9,"")</f>
        <v/>
      </c>
      <c r="O106" s="25"/>
      <c r="P106" s="106" t="str">
        <f>IF(ISNUMBER(tblData[US]),tblData[US]/$P$9,"")</f>
        <v/>
      </c>
      <c r="Q106" s="44"/>
      <c r="R106" s="19" t="str">
        <f>IF(ISNUMBER(tblData[SKorea]),tblData[SKorea]/$R$9,"")</f>
        <v/>
      </c>
      <c r="S106" s="44"/>
      <c r="T106" s="12" t="str">
        <f>IF(ISNUMBER(tblData[UK]),tblData[UK]/$T$9,"")</f>
        <v/>
      </c>
      <c r="U106" s="25"/>
      <c r="V106" s="20" t="str">
        <f>IF(ISNUMBER(tblData[China]),tblData[China]/$V$9,"")</f>
        <v/>
      </c>
      <c r="W106" s="20"/>
      <c r="X106" s="20" t="str">
        <f>IF(ISNUMBER(tblData[Singapore]),tblData[Singapore]/$X$9,"")</f>
        <v/>
      </c>
      <c r="Y106" s="20"/>
      <c r="Z106" s="20" t="str">
        <f>IF(AND(LEN(tblData[Generic])&gt;0,ISNUMBER(tblData[Generic])),tblData[Generic]/$Z$9,"")</f>
        <v/>
      </c>
      <c r="AA106" s="25">
        <f ca="1">IF(tblData[[#This Row],[Date]]&lt;StartDt2Italy,"",tblData[[#This Row],[Date]]-ItalyStart)</f>
        <v>219</v>
      </c>
      <c r="AB106" s="25">
        <f ca="1">IF(tblData[[#This Row],[Date]]&lt;=StartDt2US,"",tblData[[#This Row],[Date]]-USStart)</f>
        <v>227</v>
      </c>
      <c r="AC106" s="25">
        <f ca="1">IF(tblData[[#This Row],[Date]]&lt;StartDt2China,"",tblData[[#This Row],[Date]]-ChinaStart)</f>
        <v>227</v>
      </c>
      <c r="AD106" s="25">
        <f>IF(tblData[[#This Row],[Date]]&lt;=SKoreaStart,"",tblData[[#This Row],[Date]]-SKoreaStart)</f>
        <v>227</v>
      </c>
      <c r="AE106" s="25">
        <f ca="1">IF(tblData[[#This Row],[Date]]&lt;=StartDt2UK,"",tblData[[#This Row],[Date]]-UKStart)</f>
        <v>219</v>
      </c>
      <c r="AF106" s="25">
        <f>IF(tblData[[#This Row],[Date]]&lt;StartDt2Singapore,"",tblData[[#This Row],[Date]]-SingaporeStart)</f>
        <v>226</v>
      </c>
      <c r="AG106" s="25">
        <f ca="1">IF(tblData[[#This Row],[Date]]&lt;StartDt2Generic,"",tblData[[#This Row],[Date]]-GenericStart)</f>
        <v>227</v>
      </c>
      <c r="AH106">
        <f ca="1">IF(tblData[Date]&gt;StartDt2Au,tblData[Date]-AuStart,"")</f>
        <v>224</v>
      </c>
      <c r="AI106" s="25">
        <f>IF(tblData[New South Wales]&gt;=0,SUM(tblData[[#This Row],[Australian Capital Territory]:[Western Australia]]),"")</f>
        <v>0</v>
      </c>
      <c r="AJ106" s="12">
        <f>IF(ISNUMBER(tblData[Au]),tblData[Au]/$AE$9,"")</f>
        <v>0</v>
      </c>
      <c r="AK106" s="39">
        <f ca="1">IF(ISNUMBER(tblData[[#This Row],[Day'# Aust]]),betaAu/(deltaAu+betaPodeltaAu*EXP(-betaAu*tblData[[#This Row],[Day'# Aust]])),"")</f>
        <v>6179.670690828204</v>
      </c>
      <c r="AL106" s="63">
        <f ca="1">IF(ISNUMBER(tblData[Day'# Aust]),tblData[Au LogiP(t)]/$AJ$9,"")</f>
        <v>2436.3943742423135</v>
      </c>
      <c r="AM106" s="11" t="str">
        <f ca="1">IF(AND(tblData[Date]&gt;StartDt2Au,ISNUMBER(tblData[NSW])),(tblData[[#This Row],[Au LogiP(t)]]-tblData[[#This Row],[Au]])^2,"")</f>
        <v/>
      </c>
      <c r="AN106" s="11">
        <f ca="1">IF(AND(ISNUMBER(tblData[Au]),tblData[Date]&gt;StartDt2Au),(tblData[Au]-AVERAGE(tblData[Au]))^2,"")</f>
        <v>196564.33811020709</v>
      </c>
      <c r="AO106" s="11">
        <f>tblData[[#This Row],[Date]]-Au100dt</f>
        <v>175</v>
      </c>
      <c r="AP106">
        <f ca="1">IF(tblData[Date]&gt;StartDt2NSW,tblData[Date]-StartDt2NSW,"")</f>
        <v>224</v>
      </c>
      <c r="AQ106" s="25" t="str">
        <f>IF(tblData[[#This Row],[New South Wales]]&gt;0,tblData[[#This Row],[New South Wales]],"")</f>
        <v/>
      </c>
      <c r="AR106" s="11">
        <f ca="1">IF(tblData[Date]&gt;StartDt2NSW,betaNSW/(deltaNSW+betaPodeltaNSW*EXP(-betaNSW*tblData[[#This Row],[Day '# NSW]])),"")</f>
        <v>3000.259969010252</v>
      </c>
      <c r="AS106" s="12" t="str">
        <f ca="1">IF(AND(ISNUMBER(tblData[NSW]),tblData[Date]&gt;StartDt2NSW),(tblData[[#This Row],[NSW LogiP(t)]]-tblData[[#This Row],[NSW]])^2,"")</f>
        <v/>
      </c>
      <c r="AT106" s="39">
        <f ca="1">IF(AND(tblData[Date]&gt;StartDt2NSW,ISNUMBER(tblData[Day'# Aust])),tblData[NSW LogiP(t)]/$AR$9,"")</f>
        <v>3713.1930309532818</v>
      </c>
      <c r="AU106" s="11">
        <f>tblData[[#This Row],[Date]]-NSW100dt+1</f>
        <v>179</v>
      </c>
      <c r="AV106" s="11" t="str">
        <f ca="1">IF(AND(ISNUMBER(tblData[NSW]),tblData[Date]&gt;StartDt2NSW),(tblData[NSW]-AVERAGE(tblData[NSW]))^2,"")</f>
        <v/>
      </c>
      <c r="AW106" s="39">
        <f ca="1">IF(AND(tblData[Date]&gt;StartDt2Italy,ISNUMBER(tblData[Days'# Italy])),betaItaly/(deltaItaly+betaPodeltaItaly*EXP(-betaItaly*tblData[Days'# Italy])),"")</f>
        <v>97269.773664435765</v>
      </c>
      <c r="AX106" s="11" t="str">
        <f ca="1">IF(AND(tblData[Date]&gt;StartDt2Italy,ISNUMBER(tblData[Italy])),(tblData[[#This Row],[Italy LogiP(t)]]-tblData[[#This Row],[Italy]])^2,"")</f>
        <v/>
      </c>
      <c r="AY106" s="39">
        <f ca="1">IF(AND(tblData[Date]&gt;StartDt2Italy,ISNUMBER(tblData[Days'# Italy])),tblData[[#This Row],[Italy LogiP(t)]]/$AW$9,"")</f>
        <v>16081.635721986569</v>
      </c>
      <c r="AZ106" s="39" t="str">
        <f ca="1">IF(AND(ISNUMBER(tblData[Italy]),tblData[Date]&gt;StartDt2Italy),(tblData[Italy]-AVERAGE(tblData[Italy]))^2,"")</f>
        <v/>
      </c>
      <c r="BA106" s="11">
        <f>tblData[[#This Row],[Date]]-Italy100dt+1</f>
        <v>192</v>
      </c>
      <c r="BB106" s="11">
        <f ca="1">IF(AND(tblData[Date]&gt;StartDt2US,ISNUMBER(tblData[[#This Row],[Days'# US]])),betaUS/(deltaUS+betaPodeltaUS*EXP(-betaUS*tblData[Days'# US])),"")</f>
        <v>633176.40153317607</v>
      </c>
      <c r="BC106" s="11" t="str">
        <f ca="1">IF(AND(tblData[Date]&gt;StartDt2US,ISNUMBER(tblData[US])),(tblData[[#This Row],[US LogiP(t)]]-tblData[US])^2,"")</f>
        <v/>
      </c>
      <c r="BD106" s="137">
        <f ca="1">IF(AND(tblData[Date]&gt;=StartDt2US,ISNUMBER(tblData[[#This Row],[Days'# US]])),tblData[[#This Row],[US LogiP(t)]]/$BB$9,"")</f>
        <v>19232.170107958522</v>
      </c>
      <c r="BE106" s="137" t="str">
        <f ca="1">IF(AND(ISNUMBER(tblData[US]),tblData[Date]&gt;StartDt2US),(tblData[US]-AVERAGE(tblData[US]))^2,"")</f>
        <v/>
      </c>
      <c r="BF106" s="11">
        <f>tblData[[#This Row],[Date]]-US100dt+1</f>
        <v>176</v>
      </c>
      <c r="BG106" s="20">
        <f ca="1">IF(tblData[Date]&gt;StartDt2SKorea,betaSKorea/(deltaSKorea+betaPodeltaSKorea*EXP(-betaSKorea*(tblData[Date]-StartDt2SKorea))),"")</f>
        <v>9037.3342829253143</v>
      </c>
      <c r="BH106" s="20" t="str">
        <f ca="1">IF(AND(tblData[Date]&gt;StartDt2SKorea,ISNUMBER(tblData[SKorea])),(tblData[[#This Row],[SKorea LogiP(t)]]-tblData[[#This Row],[SKorea]])^2,"")</f>
        <v/>
      </c>
      <c r="BI106" s="20">
        <f ca="1">IF(tblData[Date]&gt;StartDt2SKorea,tblData[[#This Row],[SKorea LogiP(t)]]/$BG$9,"")</f>
        <v>1758.2362418142636</v>
      </c>
      <c r="BJ106" s="137" t="str">
        <f ca="1">IF(AND(ISNUMBER(tblData[SKorea]),tblData[Date]&gt;StartDt2SKorea),(tblData[SKorea]-AVERAGE(tblData[SKorea]))^2,"")</f>
        <v/>
      </c>
      <c r="BK106" s="11">
        <f>tblData[[#This Row],[Date]]-SKorea100dt+1</f>
        <v>197</v>
      </c>
      <c r="BL106" s="137">
        <f ca="1">IF(AND(tblData[Date]&gt;StartDt2UK,ISNUMBER(tblData[Days'# UK])),betaUK/(deltaUK+betaPodeltaUK*EXP(-betaUK*tblData[Days'# UK])),"")</f>
        <v>74551.842299564509</v>
      </c>
      <c r="BM106" s="71" t="str">
        <f ca="1">IF(AND(tblData[Date]&gt;StartDt2UK,ISNUMBER(tblData[UK])),(tblData[[#This Row],[UK LogiP(t)]]-tblData[[#This Row],[UK]])^2,"")</f>
        <v/>
      </c>
      <c r="BN106" s="71">
        <f ca="1">IF(ISNUMBER(tblData[Days'# UK]),tblData[[#This Row],[UK LogiP(t)]]/$BL$9,"")</f>
        <v>11220.927498429335</v>
      </c>
      <c r="BO106" s="137" t="str">
        <f ca="1">IF(AND(ISNUMBER(tblData[UK]),tblData[Date]&gt;StartDt2UK),(tblData[UK]-AVERAGE(tblData[UK]))^2,"")</f>
        <v/>
      </c>
      <c r="BP106" s="11">
        <f>tblData[[#This Row],[Date]]-UK100dt</f>
        <v>177</v>
      </c>
      <c r="BQ106" s="11">
        <f ca="1">IF(ISNUMBER(tblData[Days'# China]),betaChina/(deltaChina+betaPodeltaChina*EXP(-betaChina*tblData[Days'# China])),"")</f>
        <v>81223.951297127758</v>
      </c>
      <c r="BR106" s="11" t="str">
        <f>IF(ISNUMBER(tblData[China]),(tblData[[#This Row],[China LogiP(t)]]-tblData[[#This Row],[China]])^2,"")</f>
        <v/>
      </c>
      <c r="BS106" s="11">
        <f ca="1">tblData[[#This Row],[China LogiP(t)]]/$BQ$9</f>
        <v>564.32022211747142</v>
      </c>
      <c r="BT106" s="137" t="str">
        <f ca="1">IF(AND(ISNUMBER(tblData[China]),tblData[Date]&gt;StartDt2China),(tblData[China]-AVERAGE(tblData[China]))^2,"")</f>
        <v/>
      </c>
      <c r="BU106" s="11">
        <f>tblData[[#This Row],[Date]]-China100dt</f>
        <v>227</v>
      </c>
      <c r="BV106" s="106">
        <f>IF(ISNUMBER(tblData[Day'# Singapore]),betaSingapore/(deltaSingapore+betaPodeltaSingapore*EXP(-betaSingapore*tblData[Day'# Singapore])),"")</f>
        <v>140646.40113812248</v>
      </c>
      <c r="BW106" s="11" t="str">
        <f>IF(AND(ISNUMBER(tblData[Singapore]),tblData[Date]&gt;=StartDt2Singapore),(tblData[[#This Row],[Singapore LogiP(t)]]-tblData[[#This Row],[Singapore]])^2,"")</f>
        <v/>
      </c>
      <c r="BX106" s="106">
        <f>IF(ISNUMBER(tblData[Day'# Singapore]),tblData[Singapore LogiP(t)]/$BV$9,"")</f>
        <v>240421.19852670512</v>
      </c>
      <c r="BY106" s="106" t="str">
        <f>IF(AND(ISNUMBER(tblData[Singapore]),tblData[Date]&gt;StartDt2Singapore),(tblData[Singapore]-AVERAGE(tblData[Singapore]))^2,"")</f>
        <v/>
      </c>
      <c r="BZ106" s="11">
        <f>tblData[[#This Row],[Date]]-Singapore100dt+1</f>
        <v>208</v>
      </c>
      <c r="CA106" s="11">
        <f ca="1">IF(AND(tblData[Date]&gt;StartDt2Generic,ISNUMBER(tblData[Day'# Generic])),betaGeneric/(deltaGeneric+betaPodeltaGeneric*EXP(-betaGeneric*tblData[Day'# Generic])),"")</f>
        <v>3547.5213530350793</v>
      </c>
      <c r="CB106" s="106" t="str">
        <f ca="1">IF(AND(ISNUMBER(tblData[Generic]),tblData[Date]&gt;StartDt2Generic),(tblData[Generic LogiP(t)]-tblData[[#This Row],[Generic]])^2,"")</f>
        <v/>
      </c>
      <c r="CC106" s="11" t="str">
        <f ca="1">IF(AND(ISNUMBER(tblData[Generic]),tblData[Date]&gt;StartDt2Generic),tblData[Generic LogiP(t)]/$CA$9,"")</f>
        <v/>
      </c>
      <c r="CD106" s="106" t="str">
        <f ca="1">IF(AND(ISNUMBER(tblData[Generic]),tblData[Date]&gt;StartDt2Generic),(tblData[Generic]-AVERAGE(tblData[Generic]))^2,"")</f>
        <v/>
      </c>
      <c r="CE106" s="11">
        <f>tblData[[#This Row],[Date]]-Generic100dt+1</f>
        <v>169</v>
      </c>
      <c r="CF106" s="11"/>
      <c r="CG106" s="11"/>
      <c r="CH106" s="11" t="str">
        <f>IF(ISNUMBER(tblData[[#This Row],[Tests]]),tblData[[#This Row],[Tests]]-CF105,"")</f>
        <v/>
      </c>
      <c r="CI106" s="11" t="str">
        <f>IF(ISNUMBER(tblData[[#This Row],[NSW Under Investigation'']]),tblData[[#This Row],[NSW Under Investigation'']]-CG105,"")</f>
        <v/>
      </c>
      <c r="CJ106" s="11">
        <f>IF(tblData[[#This Row],[Date]]&gt;myData!TestsStart,tblData[[#This Row],[Date]]-myData!TestsStart,"")</f>
        <v>184</v>
      </c>
      <c r="CK106" s="11">
        <f>IF(AND(tblData[[#This Row],[NSW Test Day Number]]&gt;0,ISNUMBER(tblData[[#This Row],[NSW Test Day Number]])),betaTests/(deltaTests+betaPodeltaTests*EXP(-betaTests*tblData[[#This Row],[NSW Test Day Number]])),"")</f>
        <v>127232.33861532551</v>
      </c>
      <c r="CL106" s="11" t="str">
        <f>IF(tblData[Tests]&gt;0,(tblData[[#This Row],[Tests]]-tblData[[#This Row],[NSW Test Logi]])^2,"")</f>
        <v/>
      </c>
      <c r="CM106" s="106" t="str">
        <f>IF(AND(ISNUMBER(tblData[Tests]),tblData[Date]&gt;StartDt2Tests),(tblData[Tests]-AVERAGE(tblData[Tests]))^2,"")</f>
        <v/>
      </c>
      <c r="CN106" s="11" t="str">
        <f>IF(ISNUMBER(tblData[Tests]),tblData[Tests]/$CN$9/100,"")</f>
        <v/>
      </c>
      <c r="CO106" s="106">
        <f ca="1">IF(AND(tblData[[#This Row],[NSW Test Day Number]]&gt;0,ISNUMBER(tblData[[#This Row],[NSW Test Day Number]])),TestsLogestB*TestsLogestM^tblData[[#This Row],[NSW Test Day Number]],"")</f>
        <v>9580411951474.0527</v>
      </c>
      <c r="CP106" s="11" t="str">
        <f>IF(AND(tblData[[#This Row],[NSW Test Day Number]]&gt;0,ISNUMBER(tblData[Tests])),(tblData[Tests]-tblData[[#This Row],[NSW Test Per Capita]])^2,"")</f>
        <v/>
      </c>
      <c r="CQ106" s="39">
        <f ca="1">IF(AND(tblData[Day '# NSW]&gt;0,ISNUMBER(tblData[[#This Row],[Day '# NSW]])),NSWLogestB*NSWLogestM^tblData[[#This Row],[Day '# NSW]]/$CR$9,"")</f>
        <v>25495568880.036514</v>
      </c>
      <c r="CR106" s="39" t="str">
        <f ca="1">IF(AND(ISNUMBER(tblData[NSW]),tblData[Date]&gt;StartDt2NSW),(tblData[NSW]/$CR$9-tblData[[#This Row],[NSW Cases LogEst]])^2,"")</f>
        <v/>
      </c>
      <c r="CS106" s="106"/>
      <c r="CT106" s="11"/>
      <c r="CW106" s="25"/>
      <c r="CX106"/>
      <c r="DL106" s="25"/>
      <c r="DR106"/>
      <c r="DS106"/>
      <c r="DT106"/>
      <c r="DU106"/>
      <c r="DW106" s="25"/>
      <c r="DX106" s="25"/>
      <c r="EB106" s="25"/>
      <c r="EC106" s="25"/>
      <c r="ED106" s="25"/>
      <c r="EE106" s="25"/>
      <c r="EK106"/>
      <c r="EL106"/>
      <c r="EM106"/>
      <c r="EN106"/>
      <c r="EO106"/>
      <c r="EP106"/>
      <c r="EQ106"/>
      <c r="ER106"/>
      <c r="ES106"/>
      <c r="ET106"/>
      <c r="EU106" s="69" t="s">
        <v>209</v>
      </c>
      <c r="EV106" s="69">
        <v>43919.68277777778</v>
      </c>
      <c r="EW106" s="26">
        <v>43852</v>
      </c>
      <c r="EX106" s="26">
        <v>43852</v>
      </c>
      <c r="EY106" s="25">
        <v>3</v>
      </c>
      <c r="EZ106" s="25">
        <v>0.28376913971179885</v>
      </c>
      <c r="FA106" s="25">
        <v>1.0000000000276037E-12</v>
      </c>
      <c r="FB106" s="21">
        <v>1.0000000000000002E-3</v>
      </c>
      <c r="FC106" s="82">
        <v>283769139703.96576</v>
      </c>
      <c r="FD106" s="82">
        <v>3235.4891944274982</v>
      </c>
      <c r="FE106" s="83">
        <v>283.76913971179778</v>
      </c>
      <c r="FF106" s="84">
        <v>1.0000000000276037E-9</v>
      </c>
      <c r="FG106" s="26">
        <v>43918</v>
      </c>
      <c r="FH106" s="26" t="s">
        <v>1932</v>
      </c>
      <c r="FI106" s="84">
        <v>283769139703.96576</v>
      </c>
      <c r="FJ106" s="84">
        <v>121478</v>
      </c>
      <c r="FK106" s="26" t="s">
        <v>1933</v>
      </c>
      <c r="FL106" s="26">
        <v>43918</v>
      </c>
      <c r="FM106" s="25">
        <v>67</v>
      </c>
      <c r="FN106" s="25" t="s">
        <v>1934</v>
      </c>
      <c r="FO106"/>
      <c r="FP106" s="25" t="s">
        <v>1935</v>
      </c>
      <c r="FQ106" s="72"/>
      <c r="FR106" s="25" t="s">
        <v>1936</v>
      </c>
      <c r="FS106" s="19">
        <v>3689.7862186864413</v>
      </c>
      <c r="FT106" s="72">
        <v>43916</v>
      </c>
      <c r="FU106" s="25">
        <v>3</v>
      </c>
      <c r="FV106" s="142">
        <v>43914</v>
      </c>
      <c r="FW106">
        <v>5</v>
      </c>
      <c r="FX106" t="s">
        <v>1931</v>
      </c>
      <c r="FY106" s="25"/>
      <c r="GE106" s="25"/>
      <c r="GF106" s="25"/>
      <c r="GG106" s="25"/>
      <c r="GH106" s="25"/>
      <c r="GI106" s="25"/>
      <c r="GJ106" s="25"/>
      <c r="GK106" s="25"/>
      <c r="GL106" s="25"/>
      <c r="GM106" s="25"/>
      <c r="GN106" s="25"/>
      <c r="GO106" s="25"/>
      <c r="GP106" s="25"/>
      <c r="GQ106" s="25"/>
      <c r="GR106" s="25"/>
      <c r="GS106" s="25"/>
      <c r="GT106" s="25"/>
      <c r="GU106" s="25"/>
      <c r="GV106" s="25"/>
      <c r="GW106" s="25"/>
      <c r="GX106" s="25"/>
      <c r="GY106" s="25"/>
      <c r="GZ106" s="25"/>
      <c r="HA106" s="25"/>
      <c r="HB106" s="25"/>
      <c r="HC106" s="25"/>
      <c r="HD106" s="25"/>
      <c r="HE106" s="25"/>
      <c r="HF106" s="25"/>
      <c r="HG106" s="25"/>
      <c r="HH106" s="25"/>
    </row>
    <row r="107" spans="2:217" x14ac:dyDescent="0.25">
      <c r="B107" s="26">
        <f t="shared" si="4"/>
        <v>44086</v>
      </c>
      <c r="D107" s="25"/>
      <c r="L107" s="12" t="str">
        <f>IF(ISNUMBER(tblData[[#This Row],[NSW]]),tblData[[#This Row],[New South Wales]]/$L$9,"")</f>
        <v/>
      </c>
      <c r="M107" s="25"/>
      <c r="N107" s="44" t="str">
        <f>IF(ISNUMBER(tblData[Italy]),tblData[Italy]/$N$9,"")</f>
        <v/>
      </c>
      <c r="O107" s="25"/>
      <c r="P107" s="106" t="str">
        <f>IF(ISNUMBER(tblData[US]),tblData[US]/$P$9,"")</f>
        <v/>
      </c>
      <c r="Q107" s="44"/>
      <c r="R107" s="19" t="str">
        <f>IF(ISNUMBER(tblData[SKorea]),tblData[SKorea]/$R$9,"")</f>
        <v/>
      </c>
      <c r="S107" s="44"/>
      <c r="T107" s="12" t="str">
        <f>IF(ISNUMBER(tblData[UK]),tblData[UK]/$T$9,"")</f>
        <v/>
      </c>
      <c r="U107" s="25"/>
      <c r="V107" s="20" t="str">
        <f>IF(ISNUMBER(tblData[China]),tblData[China]/$V$9,"")</f>
        <v/>
      </c>
      <c r="W107" s="20"/>
      <c r="X107" s="20" t="str">
        <f>IF(ISNUMBER(tblData[Singapore]),tblData[Singapore]/$X$9,"")</f>
        <v/>
      </c>
      <c r="Y107" s="20"/>
      <c r="Z107" s="20" t="str">
        <f>IF(AND(LEN(tblData[Generic])&gt;0,ISNUMBER(tblData[Generic])),tblData[Generic]/$Z$9,"")</f>
        <v/>
      </c>
      <c r="AA107" s="25">
        <f ca="1">IF(tblData[[#This Row],[Date]]&lt;StartDt2Italy,"",tblData[[#This Row],[Date]]-ItalyStart)</f>
        <v>226</v>
      </c>
      <c r="AB107" s="25">
        <f ca="1">IF(tblData[[#This Row],[Date]]&lt;=StartDt2US,"",tblData[[#This Row],[Date]]-USStart)</f>
        <v>234</v>
      </c>
      <c r="AC107" s="25">
        <f ca="1">IF(tblData[[#This Row],[Date]]&lt;StartDt2China,"",tblData[[#This Row],[Date]]-ChinaStart)</f>
        <v>234</v>
      </c>
      <c r="AD107" s="25">
        <f>IF(tblData[[#This Row],[Date]]&lt;=SKoreaStart,"",tblData[[#This Row],[Date]]-SKoreaStart)</f>
        <v>234</v>
      </c>
      <c r="AE107" s="25">
        <f ca="1">IF(tblData[[#This Row],[Date]]&lt;=StartDt2UK,"",tblData[[#This Row],[Date]]-UKStart)</f>
        <v>226</v>
      </c>
      <c r="AF107" s="25">
        <f>IF(tblData[[#This Row],[Date]]&lt;StartDt2Singapore,"",tblData[[#This Row],[Date]]-SingaporeStart)</f>
        <v>233</v>
      </c>
      <c r="AG107" s="25">
        <f ca="1">IF(tblData[[#This Row],[Date]]&lt;StartDt2Generic,"",tblData[[#This Row],[Date]]-GenericStart)</f>
        <v>234</v>
      </c>
      <c r="AH107">
        <f ca="1">IF(tblData[Date]&gt;StartDt2Au,tblData[Date]-AuStart,"")</f>
        <v>231</v>
      </c>
      <c r="AI107" s="25">
        <f>IF(tblData[New South Wales]&gt;=0,SUM(tblData[[#This Row],[Australian Capital Territory]:[Western Australia]]),"")</f>
        <v>0</v>
      </c>
      <c r="AJ107" s="12">
        <f>IF(ISNUMBER(tblData[Au]),tblData[Au]/$AE$9,"")</f>
        <v>0</v>
      </c>
      <c r="AK107" s="39">
        <f ca="1">IF(ISNUMBER(tblData[[#This Row],[Day'# Aust]]),betaAu/(deltaAu+betaPodeltaAu*EXP(-betaAu*tblData[[#This Row],[Day'# Aust]])),"")</f>
        <v>6179.670690828204</v>
      </c>
      <c r="AL107" s="63">
        <f ca="1">IF(ISNUMBER(tblData[Day'# Aust]),tblData[Au LogiP(t)]/$AJ$9,"")</f>
        <v>2436.3943742423135</v>
      </c>
      <c r="AM107" s="11" t="str">
        <f ca="1">IF(AND(tblData[Date]&gt;StartDt2Au,ISNUMBER(tblData[NSW])),(tblData[[#This Row],[Au LogiP(t)]]-tblData[[#This Row],[Au]])^2,"")</f>
        <v/>
      </c>
      <c r="AN107" s="11">
        <f ca="1">IF(AND(ISNUMBER(tblData[Au]),tblData[Date]&gt;StartDt2Au),(tblData[Au]-AVERAGE(tblData[Au]))^2,"")</f>
        <v>196564.33811020709</v>
      </c>
      <c r="AO107" s="11">
        <f>tblData[[#This Row],[Date]]-Au100dt</f>
        <v>182</v>
      </c>
      <c r="AP107">
        <f ca="1">IF(tblData[Date]&gt;StartDt2NSW,tblData[Date]-StartDt2NSW,"")</f>
        <v>231</v>
      </c>
      <c r="AQ107" s="25" t="str">
        <f>IF(tblData[[#This Row],[New South Wales]]&gt;0,tblData[[#This Row],[New South Wales]],"")</f>
        <v/>
      </c>
      <c r="AR107" s="11">
        <f ca="1">IF(tblData[Date]&gt;StartDt2NSW,betaNSW/(deltaNSW+betaPodeltaNSW*EXP(-betaNSW*tblData[[#This Row],[Day '# NSW]])),"")</f>
        <v>3000.259969010252</v>
      </c>
      <c r="AS107" s="12" t="str">
        <f ca="1">IF(AND(ISNUMBER(tblData[NSW]),tblData[Date]&gt;StartDt2NSW),(tblData[[#This Row],[NSW LogiP(t)]]-tblData[[#This Row],[NSW]])^2,"")</f>
        <v/>
      </c>
      <c r="AT107" s="39">
        <f ca="1">IF(AND(tblData[Date]&gt;StartDt2NSW,ISNUMBER(tblData[Day'# Aust])),tblData[NSW LogiP(t)]/$AR$9,"")</f>
        <v>3713.1930309532818</v>
      </c>
      <c r="AU107" s="11">
        <f>tblData[[#This Row],[Date]]-NSW100dt+1</f>
        <v>186</v>
      </c>
      <c r="AV107" s="11" t="str">
        <f ca="1">IF(AND(ISNUMBER(tblData[NSW]),tblData[Date]&gt;StartDt2NSW),(tblData[NSW]-AVERAGE(tblData[NSW]))^2,"")</f>
        <v/>
      </c>
      <c r="AW107" s="39">
        <f ca="1">IF(AND(tblData[Date]&gt;StartDt2Italy,ISNUMBER(tblData[Days'# Italy])),betaItaly/(deltaItaly+betaPodeltaItaly*EXP(-betaItaly*tblData[Days'# Italy])),"")</f>
        <v>97269.773664435765</v>
      </c>
      <c r="AX107" s="11" t="str">
        <f ca="1">IF(AND(tblData[Date]&gt;StartDt2Italy,ISNUMBER(tblData[Italy])),(tblData[[#This Row],[Italy LogiP(t)]]-tblData[[#This Row],[Italy]])^2,"")</f>
        <v/>
      </c>
      <c r="AY107" s="39">
        <f ca="1">IF(AND(tblData[Date]&gt;StartDt2Italy,ISNUMBER(tblData[Days'# Italy])),tblData[[#This Row],[Italy LogiP(t)]]/$AW$9,"")</f>
        <v>16081.635721986569</v>
      </c>
      <c r="AZ107" s="39" t="str">
        <f ca="1">IF(AND(ISNUMBER(tblData[Italy]),tblData[Date]&gt;StartDt2Italy),(tblData[Italy]-AVERAGE(tblData[Italy]))^2,"")</f>
        <v/>
      </c>
      <c r="BA107" s="11">
        <f>tblData[[#This Row],[Date]]-Italy100dt+1</f>
        <v>199</v>
      </c>
      <c r="BB107" s="11">
        <f ca="1">IF(AND(tblData[Date]&gt;StartDt2US,ISNUMBER(tblData[[#This Row],[Days'# US]])),betaUS/(deltaUS+betaPodeltaUS*EXP(-betaUS*tblData[Days'# US])),"")</f>
        <v>633176.40153317607</v>
      </c>
      <c r="BC107" s="11" t="str">
        <f ca="1">IF(AND(tblData[Date]&gt;StartDt2US,ISNUMBER(tblData[US])),(tblData[[#This Row],[US LogiP(t)]]-tblData[US])^2,"")</f>
        <v/>
      </c>
      <c r="BD107" s="137">
        <f ca="1">IF(AND(tblData[Date]&gt;=StartDt2US,ISNUMBER(tblData[[#This Row],[Days'# US]])),tblData[[#This Row],[US LogiP(t)]]/$BB$9,"")</f>
        <v>19232.170107958522</v>
      </c>
      <c r="BE107" s="137" t="str">
        <f ca="1">IF(AND(ISNUMBER(tblData[US]),tblData[Date]&gt;StartDt2US),(tblData[US]-AVERAGE(tblData[US]))^2,"")</f>
        <v/>
      </c>
      <c r="BF107" s="11">
        <f>tblData[[#This Row],[Date]]-US100dt+1</f>
        <v>183</v>
      </c>
      <c r="BG107" s="20">
        <f ca="1">IF(tblData[Date]&gt;StartDt2SKorea,betaSKorea/(deltaSKorea+betaPodeltaSKorea*EXP(-betaSKorea*(tblData[Date]-StartDt2SKorea))),"")</f>
        <v>9037.3342829253143</v>
      </c>
      <c r="BH107" s="20" t="str">
        <f ca="1">IF(AND(tblData[Date]&gt;StartDt2SKorea,ISNUMBER(tblData[SKorea])),(tblData[[#This Row],[SKorea LogiP(t)]]-tblData[[#This Row],[SKorea]])^2,"")</f>
        <v/>
      </c>
      <c r="BI107" s="20">
        <f ca="1">IF(tblData[Date]&gt;StartDt2SKorea,tblData[[#This Row],[SKorea LogiP(t)]]/$BG$9,"")</f>
        <v>1758.2362418142636</v>
      </c>
      <c r="BJ107" s="137" t="str">
        <f ca="1">IF(AND(ISNUMBER(tblData[SKorea]),tblData[Date]&gt;StartDt2SKorea),(tblData[SKorea]-AVERAGE(tblData[SKorea]))^2,"")</f>
        <v/>
      </c>
      <c r="BK107" s="11">
        <f>tblData[[#This Row],[Date]]-SKorea100dt+1</f>
        <v>204</v>
      </c>
      <c r="BL107" s="137">
        <f ca="1">IF(AND(tblData[Date]&gt;StartDt2UK,ISNUMBER(tblData[Days'# UK])),betaUK/(deltaUK+betaPodeltaUK*EXP(-betaUK*tblData[Days'# UK])),"")</f>
        <v>74551.842299564742</v>
      </c>
      <c r="BM107" s="71" t="str">
        <f ca="1">IF(AND(tblData[Date]&gt;StartDt2UK,ISNUMBER(tblData[UK])),(tblData[[#This Row],[UK LogiP(t)]]-tblData[[#This Row],[UK]])^2,"")</f>
        <v/>
      </c>
      <c r="BN107" s="71">
        <f ca="1">IF(ISNUMBER(tblData[Days'# UK]),tblData[[#This Row],[UK LogiP(t)]]/$BL$9,"")</f>
        <v>11220.927498429372</v>
      </c>
      <c r="BO107" s="137" t="str">
        <f ca="1">IF(AND(ISNUMBER(tblData[UK]),tblData[Date]&gt;StartDt2UK),(tblData[UK]-AVERAGE(tblData[UK]))^2,"")</f>
        <v/>
      </c>
      <c r="BP107" s="11">
        <f>tblData[[#This Row],[Date]]-UK100dt</f>
        <v>184</v>
      </c>
      <c r="BQ107" s="11">
        <f ca="1">IF(ISNUMBER(tblData[Days'# China]),betaChina/(deltaChina+betaPodeltaChina*EXP(-betaChina*tblData[Days'# China])),"")</f>
        <v>81223.951297127758</v>
      </c>
      <c r="BR107" s="11" t="str">
        <f>IF(ISNUMBER(tblData[China]),(tblData[[#This Row],[China LogiP(t)]]-tblData[[#This Row],[China]])^2,"")</f>
        <v/>
      </c>
      <c r="BS107" s="11">
        <f ca="1">tblData[[#This Row],[China LogiP(t)]]/$BQ$9</f>
        <v>564.32022211747142</v>
      </c>
      <c r="BT107" s="137" t="str">
        <f ca="1">IF(AND(ISNUMBER(tblData[China]),tblData[Date]&gt;StartDt2China),(tblData[China]-AVERAGE(tblData[China]))^2,"")</f>
        <v/>
      </c>
      <c r="BU107" s="11">
        <f>tblData[[#This Row],[Date]]-China100dt</f>
        <v>234</v>
      </c>
      <c r="BV107" s="106">
        <f>IF(ISNUMBER(tblData[Day'# Singapore]),betaSingapore/(deltaSingapore+betaPodeltaSingapore*EXP(-betaSingapore*tblData[Day'# Singapore])),"")</f>
        <v>140676.76231285083</v>
      </c>
      <c r="BW107" s="11" t="str">
        <f>IF(AND(ISNUMBER(tblData[Singapore]),tblData[Date]&gt;=StartDt2Singapore),(tblData[[#This Row],[Singapore LogiP(t)]]-tblData[[#This Row],[Singapore]])^2,"")</f>
        <v/>
      </c>
      <c r="BX107" s="106">
        <f>IF(ISNUMBER(tblData[Day'# Singapore]),tblData[Singapore LogiP(t)]/$BV$9,"")</f>
        <v>240473.09797068519</v>
      </c>
      <c r="BY107" s="106" t="str">
        <f>IF(AND(ISNUMBER(tblData[Singapore]),tblData[Date]&gt;StartDt2Singapore),(tblData[Singapore]-AVERAGE(tblData[Singapore]))^2,"")</f>
        <v/>
      </c>
      <c r="BZ107" s="11">
        <f>tblData[[#This Row],[Date]]-Singapore100dt+1</f>
        <v>215</v>
      </c>
      <c r="CA107" s="11">
        <f ca="1">IF(AND(tblData[Date]&gt;StartDt2Generic,ISNUMBER(tblData[Day'# Generic])),betaGeneric/(deltaGeneric+betaPodeltaGeneric*EXP(-betaGeneric*tblData[Day'# Generic])),"")</f>
        <v>3547.5213530354467</v>
      </c>
      <c r="CB107" s="106" t="str">
        <f ca="1">IF(AND(ISNUMBER(tblData[Generic]),tblData[Date]&gt;StartDt2Generic),(tblData[Generic LogiP(t)]-tblData[[#This Row],[Generic]])^2,"")</f>
        <v/>
      </c>
      <c r="CC107" s="11" t="str">
        <f ca="1">IF(AND(ISNUMBER(tblData[Generic]),tblData[Date]&gt;StartDt2Generic),tblData[Generic LogiP(t)]/$CA$9,"")</f>
        <v/>
      </c>
      <c r="CD107" s="106" t="str">
        <f ca="1">IF(AND(ISNUMBER(tblData[Generic]),tblData[Date]&gt;StartDt2Generic),(tblData[Generic]-AVERAGE(tblData[Generic]))^2,"")</f>
        <v/>
      </c>
      <c r="CE107" s="11">
        <f>tblData[[#This Row],[Date]]-Generic100dt+1</f>
        <v>176</v>
      </c>
      <c r="CF107" s="11"/>
      <c r="CG107" s="11"/>
      <c r="CH107" s="11" t="str">
        <f>IF(ISNUMBER(tblData[[#This Row],[Tests]]),tblData[[#This Row],[Tests]]-CF106,"")</f>
        <v/>
      </c>
      <c r="CI107" s="11" t="str">
        <f>IF(ISNUMBER(tblData[[#This Row],[NSW Under Investigation'']]),tblData[[#This Row],[NSW Under Investigation'']]-CG106,"")</f>
        <v/>
      </c>
      <c r="CJ107" s="11">
        <f>IF(tblData[[#This Row],[Date]]&gt;myData!TestsStart,tblData[[#This Row],[Date]]-myData!TestsStart,"")</f>
        <v>191</v>
      </c>
      <c r="CK107" s="11">
        <f>IF(AND(tblData[[#This Row],[NSW Test Day Number]]&gt;0,ISNUMBER(tblData[[#This Row],[NSW Test Day Number]])),betaTests/(deltaTests+betaPodeltaTests*EXP(-betaTests*tblData[[#This Row],[NSW Test Day Number]])),"")</f>
        <v>127232.33861534721</v>
      </c>
      <c r="CL107" s="11" t="str">
        <f>IF(tblData[Tests]&gt;0,(tblData[[#This Row],[Tests]]-tblData[[#This Row],[NSW Test Logi]])^2,"")</f>
        <v/>
      </c>
      <c r="CM107" s="106" t="str">
        <f>IF(AND(ISNUMBER(tblData[Tests]),tblData[Date]&gt;StartDt2Tests),(tblData[Tests]-AVERAGE(tblData[Tests]))^2,"")</f>
        <v/>
      </c>
      <c r="CN107" s="11" t="str">
        <f>IF(ISNUMBER(tblData[Tests]),tblData[Tests]/$CN$9/100,"")</f>
        <v/>
      </c>
      <c r="CO107" s="106">
        <f ca="1">IF(AND(tblData[[#This Row],[NSW Test Day Number]]&gt;0,ISNUMBER(tblData[[#This Row],[NSW Test Day Number]])),TestsLogestB*TestsLogestM^tblData[[#This Row],[NSW Test Day Number]],"")</f>
        <v>21450705116311.652</v>
      </c>
      <c r="CP107" s="11" t="str">
        <f>IF(AND(tblData[[#This Row],[NSW Test Day Number]]&gt;0,ISNUMBER(tblData[Tests])),(tblData[Tests]-tblData[[#This Row],[NSW Test Per Capita]])^2,"")</f>
        <v/>
      </c>
      <c r="CQ107" s="39">
        <f ca="1">IF(AND(tblData[Day '# NSW]&gt;0,ISNUMBER(tblData[[#This Row],[Day '# NSW]])),NSWLogestB*NSWLogestM^tblData[[#This Row],[Day '# NSW]]/$CR$9,"")</f>
        <v>53921739114.526848</v>
      </c>
      <c r="CR107" s="39" t="str">
        <f ca="1">IF(AND(ISNUMBER(tblData[NSW]),tblData[Date]&gt;StartDt2NSW),(tblData[NSW]/$CR$9-tblData[[#This Row],[NSW Cases LogEst]])^2,"")</f>
        <v/>
      </c>
      <c r="CS107" s="106"/>
      <c r="CT107" s="11"/>
      <c r="CW107" s="25"/>
      <c r="CX107"/>
      <c r="DL107" s="25"/>
      <c r="DR107"/>
      <c r="DS107"/>
      <c r="DT107"/>
      <c r="DU107"/>
      <c r="DW107" s="25"/>
      <c r="DX107" s="25"/>
      <c r="EB107" s="25"/>
      <c r="EC107" s="25"/>
      <c r="ED107" s="25"/>
      <c r="EE107" s="25"/>
      <c r="EK107"/>
      <c r="EL107"/>
      <c r="EM107"/>
      <c r="EN107"/>
      <c r="EO107"/>
      <c r="EP107"/>
      <c r="EQ107"/>
      <c r="ER107"/>
      <c r="ES107"/>
      <c r="ET107"/>
      <c r="EU107" s="25" t="s">
        <v>209</v>
      </c>
      <c r="EV107" s="69">
        <v>43921.585844907408</v>
      </c>
      <c r="EW107" s="26">
        <v>43852</v>
      </c>
      <c r="EX107" s="26">
        <v>43852</v>
      </c>
      <c r="EY107" s="25">
        <v>3</v>
      </c>
      <c r="EZ107" s="25">
        <v>0.2837691396608879</v>
      </c>
      <c r="FA107" s="83">
        <v>4.4816758643210343E-7</v>
      </c>
      <c r="FB107" s="21">
        <v>1.0000000000000002E-3</v>
      </c>
      <c r="FC107" s="82">
        <v>633176.40153317607</v>
      </c>
      <c r="FD107" s="82">
        <v>4390.2104335997246</v>
      </c>
      <c r="FE107" s="83">
        <v>283.76913921272023</v>
      </c>
      <c r="FF107" s="84">
        <v>4.4816758643210342E-4</v>
      </c>
      <c r="FG107" s="26">
        <v>43920</v>
      </c>
      <c r="FH107" s="25" t="s">
        <v>2033</v>
      </c>
      <c r="FI107" s="84">
        <v>633176.40153317607</v>
      </c>
      <c r="FJ107" s="84">
        <v>161807</v>
      </c>
      <c r="FK107" s="25" t="s">
        <v>2034</v>
      </c>
      <c r="FL107" s="26">
        <v>43920</v>
      </c>
      <c r="FM107" s="25">
        <v>69</v>
      </c>
      <c r="FN107" s="25" t="s">
        <v>2035</v>
      </c>
      <c r="FO107" s="72"/>
      <c r="FP107" s="25" t="s">
        <v>2036</v>
      </c>
      <c r="FR107" s="25" t="s">
        <v>2037</v>
      </c>
      <c r="FS107" s="19">
        <v>4914.7437287986058</v>
      </c>
      <c r="FT107" s="72">
        <v>43916</v>
      </c>
      <c r="FU107" s="25">
        <v>5</v>
      </c>
      <c r="FV107" s="142">
        <v>43915</v>
      </c>
      <c r="FW107">
        <v>6</v>
      </c>
      <c r="FX107" t="s">
        <v>2032</v>
      </c>
      <c r="FY107" s="25"/>
      <c r="GE107" s="25"/>
      <c r="GF107" s="25"/>
      <c r="GG107" s="25"/>
      <c r="GH107" s="25"/>
      <c r="GI107" s="25"/>
      <c r="GJ107" s="25"/>
      <c r="GK107" s="25"/>
      <c r="GL107" s="25"/>
      <c r="GM107" s="25"/>
      <c r="GN107" s="25"/>
      <c r="GO107" s="25"/>
      <c r="GP107" s="25"/>
      <c r="GQ107" s="25"/>
      <c r="GR107" s="25"/>
      <c r="GS107" s="25"/>
      <c r="GT107" s="25"/>
      <c r="GU107" s="25"/>
      <c r="GV107" s="25"/>
      <c r="GW107" s="25"/>
      <c r="GX107" s="25"/>
      <c r="GY107" s="25"/>
      <c r="GZ107" s="25"/>
      <c r="HA107" s="25"/>
      <c r="HB107" s="25"/>
      <c r="HC107" s="25"/>
      <c r="HD107" s="25"/>
      <c r="HE107" s="25"/>
      <c r="HF107" s="25"/>
      <c r="HG107" s="25"/>
      <c r="HH107" s="25"/>
    </row>
    <row r="108" spans="2:217" s="25" customFormat="1" x14ac:dyDescent="0.25">
      <c r="B108" s="26">
        <f t="shared" si="4"/>
        <v>44093</v>
      </c>
      <c r="L108" s="12" t="str">
        <f>IF(ISNUMBER(tblData[[#This Row],[NSW]]),tblData[[#This Row],[New South Wales]]/$L$9,"")</f>
        <v/>
      </c>
      <c r="N108" s="44" t="str">
        <f>IF(ISNUMBER(tblData[Italy]),tblData[Italy]/$N$9,"")</f>
        <v/>
      </c>
      <c r="P108" s="106" t="str">
        <f>IF(ISNUMBER(tblData[US]),tblData[US]/$P$9,"")</f>
        <v/>
      </c>
      <c r="Q108" s="44"/>
      <c r="R108" s="19" t="str">
        <f>IF(ISNUMBER(tblData[SKorea]),tblData[SKorea]/$R$9,"")</f>
        <v/>
      </c>
      <c r="S108" s="44"/>
      <c r="T108" s="12" t="str">
        <f>IF(ISNUMBER(tblData[UK]),tblData[UK]/$T$9,"")</f>
        <v/>
      </c>
      <c r="V108" s="20" t="str">
        <f>IF(ISNUMBER(tblData[China]),tblData[China]/$V$9,"")</f>
        <v/>
      </c>
      <c r="W108" s="20"/>
      <c r="X108" s="20" t="str">
        <f>IF(ISNUMBER(tblData[Singapore]),tblData[Singapore]/$X$9,"")</f>
        <v/>
      </c>
      <c r="Y108" s="20"/>
      <c r="Z108" s="20" t="str">
        <f>IF(AND(LEN(tblData[Generic])&gt;0,ISNUMBER(tblData[Generic])),tblData[Generic]/$Z$9,"")</f>
        <v/>
      </c>
      <c r="AA108" s="25">
        <f ca="1">IF(tblData[[#This Row],[Date]]&lt;StartDt2Italy,"",tblData[[#This Row],[Date]]-ItalyStart)</f>
        <v>233</v>
      </c>
      <c r="AB108" s="25">
        <f ca="1">IF(tblData[[#This Row],[Date]]&lt;=StartDt2US,"",tblData[[#This Row],[Date]]-USStart)</f>
        <v>241</v>
      </c>
      <c r="AC108" s="25">
        <f ca="1">IF(tblData[[#This Row],[Date]]&lt;StartDt2China,"",tblData[[#This Row],[Date]]-ChinaStart)</f>
        <v>241</v>
      </c>
      <c r="AD108" s="25">
        <f>IF(tblData[[#This Row],[Date]]&lt;=SKoreaStart,"",tblData[[#This Row],[Date]]-SKoreaStart)</f>
        <v>241</v>
      </c>
      <c r="AE108" s="25">
        <f ca="1">IF(tblData[[#This Row],[Date]]&lt;=StartDt2UK,"",tblData[[#This Row],[Date]]-UKStart)</f>
        <v>233</v>
      </c>
      <c r="AF108" s="25">
        <f>IF(tblData[[#This Row],[Date]]&lt;StartDt2Singapore,"",tblData[[#This Row],[Date]]-SingaporeStart)</f>
        <v>240</v>
      </c>
      <c r="AG108" s="25">
        <f ca="1">IF(tblData[[#This Row],[Date]]&lt;StartDt2Generic,"",tblData[[#This Row],[Date]]-GenericStart)</f>
        <v>241</v>
      </c>
      <c r="AH108" s="25">
        <f ca="1">IF(tblData[Date]&gt;StartDt2Au,tblData[Date]-AuStart,"")</f>
        <v>238</v>
      </c>
      <c r="AI108" s="25">
        <f>IF(tblData[New South Wales]&gt;=0,SUM(tblData[[#This Row],[Australian Capital Territory]:[Western Australia]]),"")</f>
        <v>0</v>
      </c>
      <c r="AJ108" s="12">
        <f>IF(ISNUMBER(tblData[Au]),tblData[Au]/$AE$9,"")</f>
        <v>0</v>
      </c>
      <c r="AK108" s="39">
        <f ca="1">IF(ISNUMBER(tblData[[#This Row],[Day'# Aust]]),betaAu/(deltaAu+betaPodeltaAu*EXP(-betaAu*tblData[[#This Row],[Day'# Aust]])),"")</f>
        <v>6179.670690828204</v>
      </c>
      <c r="AL108" s="63">
        <f ca="1">IF(ISNUMBER(tblData[Day'# Aust]),tblData[Au LogiP(t)]/$AJ$9,"")</f>
        <v>2436.3943742423135</v>
      </c>
      <c r="AM108" s="11" t="str">
        <f ca="1">IF(AND(tblData[Date]&gt;StartDt2Au,ISNUMBER(tblData[NSW])),(tblData[[#This Row],[Au LogiP(t)]]-tblData[[#This Row],[Au]])^2,"")</f>
        <v/>
      </c>
      <c r="AN108" s="11">
        <f ca="1">IF(AND(ISNUMBER(tblData[Au]),tblData[Date]&gt;StartDt2Au),(tblData[Au]-AVERAGE(tblData[Au]))^2,"")</f>
        <v>196564.33811020709</v>
      </c>
      <c r="AO108" s="11">
        <f>tblData[[#This Row],[Date]]-Au100dt</f>
        <v>189</v>
      </c>
      <c r="AP108" s="25">
        <f ca="1">IF(tblData[Date]&gt;StartDt2NSW,tblData[Date]-StartDt2NSW,"")</f>
        <v>238</v>
      </c>
      <c r="AQ108" s="25" t="str">
        <f>IF(tblData[[#This Row],[New South Wales]]&gt;0,tblData[[#This Row],[New South Wales]],"")</f>
        <v/>
      </c>
      <c r="AR108" s="11">
        <f ca="1">IF(tblData[Date]&gt;StartDt2NSW,betaNSW/(deltaNSW+betaPodeltaNSW*EXP(-betaNSW*tblData[[#This Row],[Day '# NSW]])),"")</f>
        <v>3000.259969010252</v>
      </c>
      <c r="AS108" s="12" t="str">
        <f ca="1">IF(AND(ISNUMBER(tblData[NSW]),tblData[Date]&gt;StartDt2NSW),(tblData[[#This Row],[NSW LogiP(t)]]-tblData[[#This Row],[NSW]])^2,"")</f>
        <v/>
      </c>
      <c r="AT108" s="39">
        <f ca="1">IF(AND(tblData[Date]&gt;StartDt2NSW,ISNUMBER(tblData[Day'# Aust])),tblData[NSW LogiP(t)]/$AR$9,"")</f>
        <v>3713.1930309532818</v>
      </c>
      <c r="AU108" s="11">
        <f>tblData[[#This Row],[Date]]-NSW100dt+1</f>
        <v>193</v>
      </c>
      <c r="AV108" s="11" t="str">
        <f ca="1">IF(AND(ISNUMBER(tblData[NSW]),tblData[Date]&gt;StartDt2NSW),(tblData[NSW]-AVERAGE(tblData[NSW]))^2,"")</f>
        <v/>
      </c>
      <c r="AW108" s="39">
        <f ca="1">IF(AND(tblData[Date]&gt;StartDt2Italy,ISNUMBER(tblData[Days'# Italy])),betaItaly/(deltaItaly+betaPodeltaItaly*EXP(-betaItaly*tblData[Days'# Italy])),"")</f>
        <v>97269.773664435765</v>
      </c>
      <c r="AX108" s="11" t="str">
        <f ca="1">IF(AND(tblData[Date]&gt;StartDt2Italy,ISNUMBER(tblData[Italy])),(tblData[[#This Row],[Italy LogiP(t)]]-tblData[[#This Row],[Italy]])^2,"")</f>
        <v/>
      </c>
      <c r="AY108" s="39">
        <f ca="1">IF(AND(tblData[Date]&gt;StartDt2Italy,ISNUMBER(tblData[Days'# Italy])),tblData[[#This Row],[Italy LogiP(t)]]/$AW$9,"")</f>
        <v>16081.635721986569</v>
      </c>
      <c r="AZ108" s="39" t="str">
        <f ca="1">IF(AND(ISNUMBER(tblData[Italy]),tblData[Date]&gt;StartDt2Italy),(tblData[Italy]-AVERAGE(tblData[Italy]))^2,"")</f>
        <v/>
      </c>
      <c r="BA108" s="11">
        <f>tblData[[#This Row],[Date]]-Italy100dt+1</f>
        <v>206</v>
      </c>
      <c r="BB108" s="11">
        <f ca="1">IF(AND(tblData[Date]&gt;StartDt2US,ISNUMBER(tblData[[#This Row],[Days'# US]])),betaUS/(deltaUS+betaPodeltaUS*EXP(-betaUS*tblData[Days'# US])),"")</f>
        <v>633176.40153317607</v>
      </c>
      <c r="BC108" s="11" t="str">
        <f ca="1">IF(AND(tblData[Date]&gt;StartDt2US,ISNUMBER(tblData[US])),(tblData[[#This Row],[US LogiP(t)]]-tblData[US])^2,"")</f>
        <v/>
      </c>
      <c r="BD108" s="137">
        <f ca="1">IF(AND(tblData[Date]&gt;=StartDt2US,ISNUMBER(tblData[[#This Row],[Days'# US]])),tblData[[#This Row],[US LogiP(t)]]/$BB$9,"")</f>
        <v>19232.170107958522</v>
      </c>
      <c r="BE108" s="137" t="str">
        <f ca="1">IF(AND(ISNUMBER(tblData[US]),tblData[Date]&gt;StartDt2US),(tblData[US]-AVERAGE(tblData[US]))^2,"")</f>
        <v/>
      </c>
      <c r="BF108" s="11">
        <f>tblData[[#This Row],[Date]]-US100dt+1</f>
        <v>190</v>
      </c>
      <c r="BG108" s="20">
        <f ca="1">IF(tblData[Date]&gt;StartDt2SKorea,betaSKorea/(deltaSKorea+betaPodeltaSKorea*EXP(-betaSKorea*(tblData[Date]-StartDt2SKorea))),"")</f>
        <v>9037.3342829253143</v>
      </c>
      <c r="BH108" s="20" t="str">
        <f ca="1">IF(AND(tblData[Date]&gt;StartDt2SKorea,ISNUMBER(tblData[SKorea])),(tblData[[#This Row],[SKorea LogiP(t)]]-tblData[[#This Row],[SKorea]])^2,"")</f>
        <v/>
      </c>
      <c r="BI108" s="20">
        <f ca="1">IF(tblData[Date]&gt;StartDt2SKorea,tblData[[#This Row],[SKorea LogiP(t)]]/$BG$9,"")</f>
        <v>1758.2362418142636</v>
      </c>
      <c r="BJ108" s="137" t="str">
        <f ca="1">IF(AND(ISNUMBER(tblData[SKorea]),tblData[Date]&gt;StartDt2SKorea),(tblData[SKorea]-AVERAGE(tblData[SKorea]))^2,"")</f>
        <v/>
      </c>
      <c r="BK108" s="11">
        <f>tblData[[#This Row],[Date]]-SKorea100dt+1</f>
        <v>211</v>
      </c>
      <c r="BL108" s="137">
        <f ca="1">IF(AND(tblData[Date]&gt;StartDt2UK,ISNUMBER(tblData[Days'# UK])),betaUK/(deltaUK+betaPodeltaUK*EXP(-betaUK*tblData[Days'# UK])),"")</f>
        <v>74551.8422995648</v>
      </c>
      <c r="BM108" s="71" t="str">
        <f ca="1">IF(AND(tblData[Date]&gt;StartDt2UK,ISNUMBER(tblData[UK])),(tblData[[#This Row],[UK LogiP(t)]]-tblData[[#This Row],[UK]])^2,"")</f>
        <v/>
      </c>
      <c r="BN108" s="71">
        <f ca="1">IF(ISNUMBER(tblData[Days'# UK]),tblData[[#This Row],[UK LogiP(t)]]/$BL$9,"")</f>
        <v>11220.927498429379</v>
      </c>
      <c r="BO108" s="137" t="str">
        <f ca="1">IF(AND(ISNUMBER(tblData[UK]),tblData[Date]&gt;StartDt2UK),(tblData[UK]-AVERAGE(tblData[UK]))^2,"")</f>
        <v/>
      </c>
      <c r="BP108" s="11">
        <f>tblData[[#This Row],[Date]]-UK100dt</f>
        <v>191</v>
      </c>
      <c r="BQ108" s="11">
        <f ca="1">IF(ISNUMBER(tblData[Days'# China]),betaChina/(deltaChina+betaPodeltaChina*EXP(-betaChina*tblData[Days'# China])),"")</f>
        <v>81223.951297127758</v>
      </c>
      <c r="BR108" s="11" t="str">
        <f>IF(ISNUMBER(tblData[China]),(tblData[[#This Row],[China LogiP(t)]]-tblData[[#This Row],[China]])^2,"")</f>
        <v/>
      </c>
      <c r="BS108" s="11">
        <f ca="1">tblData[[#This Row],[China LogiP(t)]]/$BQ$9</f>
        <v>564.32022211747142</v>
      </c>
      <c r="BT108" s="137" t="str">
        <f ca="1">IF(AND(ISNUMBER(tblData[China]),tblData[Date]&gt;StartDt2China),(tblData[China]-AVERAGE(tblData[China]))^2,"")</f>
        <v/>
      </c>
      <c r="BU108" s="11">
        <f>tblData[[#This Row],[Date]]-China100dt</f>
        <v>241</v>
      </c>
      <c r="BV108" s="106">
        <f>IF(ISNUMBER(tblData[Day'# Singapore]),betaSingapore/(deltaSingapore+betaPodeltaSingapore*EXP(-betaSingapore*tblData[Day'# Singapore])),"")</f>
        <v>140694.16074178118</v>
      </c>
      <c r="BW108" s="11" t="str">
        <f>IF(AND(ISNUMBER(tblData[Singapore]),tblData[Date]&gt;=StartDt2Singapore),(tblData[[#This Row],[Singapore LogiP(t)]]-tblData[[#This Row],[Singapore]])^2,"")</f>
        <v/>
      </c>
      <c r="BX108" s="106">
        <f>IF(ISNUMBER(tblData[Day'# Singapore]),tblData[Singapore LogiP(t)]/$BV$9,"")</f>
        <v>240502.83887483962</v>
      </c>
      <c r="BY108" s="106" t="str">
        <f>IF(AND(ISNUMBER(tblData[Singapore]),tblData[Date]&gt;StartDt2Singapore),(tblData[Singapore]-AVERAGE(tblData[Singapore]))^2,"")</f>
        <v/>
      </c>
      <c r="BZ108" s="11">
        <f>tblData[[#This Row],[Date]]-Singapore100dt+1</f>
        <v>222</v>
      </c>
      <c r="CA108" s="11">
        <f ca="1">IF(AND(tblData[Date]&gt;StartDt2Generic,ISNUMBER(tblData[Day'# Generic])),betaGeneric/(deltaGeneric+betaPodeltaGeneric*EXP(-betaGeneric*tblData[Day'# Generic])),"")</f>
        <v>3547.5213530355391</v>
      </c>
      <c r="CB108" s="106" t="str">
        <f ca="1">IF(AND(ISNUMBER(tblData[Generic]),tblData[Date]&gt;StartDt2Generic),(tblData[Generic LogiP(t)]-tblData[[#This Row],[Generic]])^2,"")</f>
        <v/>
      </c>
      <c r="CC108" s="11" t="str">
        <f ca="1">IF(AND(ISNUMBER(tblData[Generic]),tblData[Date]&gt;StartDt2Generic),tblData[Generic LogiP(t)]/$CA$9,"")</f>
        <v/>
      </c>
      <c r="CD108" s="106" t="str">
        <f ca="1">IF(AND(ISNUMBER(tblData[Generic]),tblData[Date]&gt;StartDt2Generic),(tblData[Generic]-AVERAGE(tblData[Generic]))^2,"")</f>
        <v/>
      </c>
      <c r="CE108" s="11">
        <f>tblData[[#This Row],[Date]]-Generic100dt+1</f>
        <v>183</v>
      </c>
      <c r="CF108" s="11"/>
      <c r="CG108" s="11"/>
      <c r="CH108" s="11" t="str">
        <f>IF(ISNUMBER(tblData[[#This Row],[Tests]]),tblData[[#This Row],[Tests]]-CF107,"")</f>
        <v/>
      </c>
      <c r="CI108" s="11" t="str">
        <f>IF(ISNUMBER(tblData[[#This Row],[NSW Under Investigation'']]),tblData[[#This Row],[NSW Under Investigation'']]-CG107,"")</f>
        <v/>
      </c>
      <c r="CJ108" s="11">
        <f>IF(tblData[[#This Row],[Date]]&gt;myData!TestsStart,tblData[[#This Row],[Date]]-myData!TestsStart,"")</f>
        <v>198</v>
      </c>
      <c r="CK108" s="11">
        <f>IF(AND(tblData[[#This Row],[NSW Test Day Number]]&gt;0,ISNUMBER(tblData[[#This Row],[NSW Test Day Number]])),betaTests/(deltaTests+betaPodeltaTests*EXP(-betaTests*tblData[[#This Row],[NSW Test Day Number]])),"")</f>
        <v>127232.33861535354</v>
      </c>
      <c r="CL108" s="11" t="str">
        <f>IF(tblData[Tests]&gt;0,(tblData[[#This Row],[Tests]]-tblData[[#This Row],[NSW Test Logi]])^2,"")</f>
        <v/>
      </c>
      <c r="CM108" s="106" t="str">
        <f>IF(AND(ISNUMBER(tblData[Tests]),tblData[Date]&gt;StartDt2Tests),(tblData[Tests]-AVERAGE(tblData[Tests]))^2,"")</f>
        <v/>
      </c>
      <c r="CN108" s="11" t="str">
        <f>IF(ISNUMBER(tblData[Tests]),tblData[Tests]/$CN$9/100,"")</f>
        <v/>
      </c>
      <c r="CO108" s="106">
        <f ca="1">IF(AND(tblData[[#This Row],[NSW Test Day Number]]&gt;0,ISNUMBER(tblData[[#This Row],[NSW Test Day Number]])),TestsLogestB*TestsLogestM^tblData[[#This Row],[NSW Test Day Number]],"")</f>
        <v>48028493171023.023</v>
      </c>
      <c r="CP108" s="11" t="str">
        <f>IF(AND(tblData[[#This Row],[NSW Test Day Number]]&gt;0,ISNUMBER(tblData[Tests])),(tblData[Tests]-tblData[[#This Row],[NSW Test Per Capita]])^2,"")</f>
        <v/>
      </c>
      <c r="CQ108" s="39">
        <f ca="1">IF(AND(tblData[Day '# NSW]&gt;0,ISNUMBER(tblData[[#This Row],[Day '# NSW]])),NSWLogestB*NSWLogestM^tblData[[#This Row],[Day '# NSW]]/$CR$9,"")</f>
        <v>114041540426.72726</v>
      </c>
      <c r="CR108" s="39" t="str">
        <f ca="1">IF(AND(ISNUMBER(tblData[NSW]),tblData[Date]&gt;StartDt2NSW),(tblData[NSW]/$CR$9-tblData[[#This Row],[NSW Cases LogEst]])^2,"")</f>
        <v/>
      </c>
      <c r="CS108" s="106"/>
      <c r="CT108" s="11"/>
      <c r="CV108"/>
      <c r="CX108"/>
      <c r="CZ108"/>
      <c r="DA108"/>
      <c r="DB108"/>
      <c r="DC108"/>
      <c r="DD108"/>
      <c r="DE108"/>
      <c r="DH108"/>
      <c r="DI108"/>
      <c r="DJ108"/>
      <c r="DK108"/>
      <c r="DM108"/>
      <c r="DN108"/>
      <c r="DO108"/>
      <c r="DP108"/>
      <c r="DQ108"/>
      <c r="DR108"/>
      <c r="DS108"/>
      <c r="DT108"/>
      <c r="DU108"/>
      <c r="DV108"/>
      <c r="DY108"/>
      <c r="DZ108"/>
      <c r="EA108"/>
      <c r="EF108"/>
      <c r="EG108"/>
      <c r="EH108"/>
      <c r="EI108"/>
      <c r="EJ108"/>
      <c r="EK108"/>
      <c r="EL108"/>
      <c r="EM108"/>
      <c r="EU108" s="25" t="s">
        <v>209</v>
      </c>
      <c r="EV108" s="69">
        <v>43922.849548611113</v>
      </c>
      <c r="EW108" s="26">
        <v>43852</v>
      </c>
      <c r="EX108" s="26">
        <v>43852</v>
      </c>
      <c r="EY108" s="82">
        <v>3</v>
      </c>
      <c r="EZ108" s="82">
        <v>0.2837691396608879</v>
      </c>
      <c r="FA108" s="84">
        <v>4.4816758643210343E-7</v>
      </c>
      <c r="FB108" s="26">
        <v>1.0000000000000002E-3</v>
      </c>
      <c r="FC108" s="81">
        <v>633176.40153317607</v>
      </c>
      <c r="FD108" s="81">
        <v>5220.1696370467916</v>
      </c>
      <c r="FE108" s="84">
        <v>283.76913921272023</v>
      </c>
      <c r="FF108" s="84">
        <v>4.4816758643210342E-4</v>
      </c>
      <c r="FG108" s="26">
        <v>43921</v>
      </c>
      <c r="FH108" s="26" t="s">
        <v>2033</v>
      </c>
      <c r="FI108" s="83">
        <v>633176.40153317607</v>
      </c>
      <c r="FJ108" s="83">
        <v>188172</v>
      </c>
      <c r="FK108" s="72" t="s">
        <v>2034</v>
      </c>
      <c r="FL108" s="26">
        <v>43921</v>
      </c>
      <c r="FM108" s="25">
        <v>70</v>
      </c>
      <c r="FN108" s="25" t="s">
        <v>2100</v>
      </c>
      <c r="FO108" s="72"/>
      <c r="FP108" s="72" t="s">
        <v>2036</v>
      </c>
      <c r="FQ108"/>
      <c r="FR108" s="25" t="s">
        <v>2101</v>
      </c>
      <c r="FS108" s="19">
        <v>5715.557157202662</v>
      </c>
      <c r="FT108" s="72">
        <v>43917</v>
      </c>
      <c r="FU108" s="25">
        <v>5</v>
      </c>
      <c r="FV108" s="149">
        <v>43915</v>
      </c>
      <c r="FW108" s="25">
        <v>7</v>
      </c>
      <c r="FX108"/>
      <c r="FZ108"/>
      <c r="GA108"/>
      <c r="GB108"/>
      <c r="GC108"/>
      <c r="GD108"/>
      <c r="GE108"/>
      <c r="GF108"/>
      <c r="GG108"/>
      <c r="GH108"/>
      <c r="GI108"/>
      <c r="GJ108"/>
    </row>
    <row r="109" spans="2:217" s="25" customFormat="1" x14ac:dyDescent="0.25">
      <c r="B109" s="26">
        <f t="shared" si="4"/>
        <v>44100</v>
      </c>
      <c r="L109" s="12" t="str">
        <f>IF(ISNUMBER(tblData[[#This Row],[NSW]]),tblData[[#This Row],[New South Wales]]/$L$9,"")</f>
        <v/>
      </c>
      <c r="N109" s="44" t="str">
        <f>IF(ISNUMBER(tblData[Italy]),tblData[Italy]/$N$9,"")</f>
        <v/>
      </c>
      <c r="P109" s="106" t="str">
        <f>IF(ISNUMBER(tblData[US]),tblData[US]/$P$9,"")</f>
        <v/>
      </c>
      <c r="Q109" s="44"/>
      <c r="R109" s="19" t="str">
        <f>IF(ISNUMBER(tblData[SKorea]),tblData[SKorea]/$R$9,"")</f>
        <v/>
      </c>
      <c r="S109" s="44"/>
      <c r="T109" s="12" t="str">
        <f>IF(ISNUMBER(tblData[UK]),tblData[UK]/$T$9,"")</f>
        <v/>
      </c>
      <c r="V109" s="20" t="str">
        <f>IF(ISNUMBER(tblData[China]),tblData[China]/$V$9,"")</f>
        <v/>
      </c>
      <c r="W109" s="20"/>
      <c r="X109" s="20" t="str">
        <f>IF(ISNUMBER(tblData[Singapore]),tblData[Singapore]/$X$9,"")</f>
        <v/>
      </c>
      <c r="Y109" s="20"/>
      <c r="Z109" s="20" t="str">
        <f>IF(AND(LEN(tblData[Generic])&gt;0,ISNUMBER(tblData[Generic])),tblData[Generic]/$Z$9,"")</f>
        <v/>
      </c>
      <c r="AA109" s="25">
        <f ca="1">IF(tblData[[#This Row],[Date]]&lt;StartDt2Italy,"",tblData[[#This Row],[Date]]-ItalyStart)</f>
        <v>240</v>
      </c>
      <c r="AB109" s="25">
        <f ca="1">IF(tblData[[#This Row],[Date]]&lt;=StartDt2US,"",tblData[[#This Row],[Date]]-USStart)</f>
        <v>248</v>
      </c>
      <c r="AC109" s="25">
        <f ca="1">IF(tblData[[#This Row],[Date]]&lt;StartDt2China,"",tblData[[#This Row],[Date]]-ChinaStart)</f>
        <v>248</v>
      </c>
      <c r="AD109" s="25">
        <f>IF(tblData[[#This Row],[Date]]&lt;=SKoreaStart,"",tblData[[#This Row],[Date]]-SKoreaStart)</f>
        <v>248</v>
      </c>
      <c r="AE109" s="25">
        <f ca="1">IF(tblData[[#This Row],[Date]]&lt;=StartDt2UK,"",tblData[[#This Row],[Date]]-UKStart)</f>
        <v>240</v>
      </c>
      <c r="AF109" s="25">
        <f>IF(tblData[[#This Row],[Date]]&lt;StartDt2Singapore,"",tblData[[#This Row],[Date]]-SingaporeStart)</f>
        <v>247</v>
      </c>
      <c r="AG109" s="25">
        <f ca="1">IF(tblData[[#This Row],[Date]]&lt;StartDt2Generic,"",tblData[[#This Row],[Date]]-GenericStart)</f>
        <v>248</v>
      </c>
      <c r="AH109" s="25">
        <f ca="1">IF(tblData[Date]&gt;StartDt2Au,tblData[Date]-AuStart,"")</f>
        <v>245</v>
      </c>
      <c r="AI109" s="25">
        <f>IF(tblData[New South Wales]&gt;=0,SUM(tblData[[#This Row],[Australian Capital Territory]:[Western Australia]]),"")</f>
        <v>0</v>
      </c>
      <c r="AJ109" s="12">
        <f>IF(ISNUMBER(tblData[Au]),tblData[Au]/$AE$9,"")</f>
        <v>0</v>
      </c>
      <c r="AK109" s="39">
        <f ca="1">IF(ISNUMBER(tblData[[#This Row],[Day'# Aust]]),betaAu/(deltaAu+betaPodeltaAu*EXP(-betaAu*tblData[[#This Row],[Day'# Aust]])),"")</f>
        <v>6179.670690828204</v>
      </c>
      <c r="AL109" s="63">
        <f ca="1">IF(ISNUMBER(tblData[Day'# Aust]),tblData[Au LogiP(t)]/$AJ$9,"")</f>
        <v>2436.3943742423135</v>
      </c>
      <c r="AM109" s="11" t="str">
        <f ca="1">IF(AND(tblData[Date]&gt;StartDt2Au,ISNUMBER(tblData[NSW])),(tblData[[#This Row],[Au LogiP(t)]]-tblData[[#This Row],[Au]])^2,"")</f>
        <v/>
      </c>
      <c r="AN109" s="11">
        <f ca="1">IF(AND(ISNUMBER(tblData[Au]),tblData[Date]&gt;StartDt2Au),(tblData[Au]-AVERAGE(tblData[Au]))^2,"")</f>
        <v>196564.33811020709</v>
      </c>
      <c r="AO109" s="11">
        <f>tblData[[#This Row],[Date]]-Au100dt</f>
        <v>196</v>
      </c>
      <c r="AP109" s="25">
        <f ca="1">IF(tblData[Date]&gt;StartDt2NSW,tblData[Date]-StartDt2NSW,"")</f>
        <v>245</v>
      </c>
      <c r="AQ109" s="25" t="str">
        <f>IF(tblData[[#This Row],[New South Wales]]&gt;0,tblData[[#This Row],[New South Wales]],"")</f>
        <v/>
      </c>
      <c r="AR109" s="11">
        <f ca="1">IF(tblData[Date]&gt;StartDt2NSW,betaNSW/(deltaNSW+betaPodeltaNSW*EXP(-betaNSW*tblData[[#This Row],[Day '# NSW]])),"")</f>
        <v>3000.259969010252</v>
      </c>
      <c r="AS109" s="12" t="str">
        <f ca="1">IF(AND(ISNUMBER(tblData[NSW]),tblData[Date]&gt;StartDt2NSW),(tblData[[#This Row],[NSW LogiP(t)]]-tblData[[#This Row],[NSW]])^2,"")</f>
        <v/>
      </c>
      <c r="AT109" s="39">
        <f ca="1">IF(AND(tblData[Date]&gt;StartDt2NSW,ISNUMBER(tblData[Day'# Aust])),tblData[NSW LogiP(t)]/$AR$9,"")</f>
        <v>3713.1930309532818</v>
      </c>
      <c r="AU109" s="11">
        <f>tblData[[#This Row],[Date]]-NSW100dt+1</f>
        <v>200</v>
      </c>
      <c r="AV109" s="11" t="str">
        <f ca="1">IF(AND(ISNUMBER(tblData[NSW]),tblData[Date]&gt;StartDt2NSW),(tblData[NSW]-AVERAGE(tblData[NSW]))^2,"")</f>
        <v/>
      </c>
      <c r="AW109" s="39">
        <f ca="1">IF(AND(tblData[Date]&gt;StartDt2Italy,ISNUMBER(tblData[Days'# Italy])),betaItaly/(deltaItaly+betaPodeltaItaly*EXP(-betaItaly*tblData[Days'# Italy])),"")</f>
        <v>97269.773664435765</v>
      </c>
      <c r="AX109" s="11" t="str">
        <f ca="1">IF(AND(tblData[Date]&gt;StartDt2Italy,ISNUMBER(tblData[Italy])),(tblData[[#This Row],[Italy LogiP(t)]]-tblData[[#This Row],[Italy]])^2,"")</f>
        <v/>
      </c>
      <c r="AY109" s="39">
        <f ca="1">IF(AND(tblData[Date]&gt;StartDt2Italy,ISNUMBER(tblData[Days'# Italy])),tblData[[#This Row],[Italy LogiP(t)]]/$AW$9,"")</f>
        <v>16081.635721986569</v>
      </c>
      <c r="AZ109" s="39" t="str">
        <f ca="1">IF(AND(ISNUMBER(tblData[Italy]),tblData[Date]&gt;StartDt2Italy),(tblData[Italy]-AVERAGE(tblData[Italy]))^2,"")</f>
        <v/>
      </c>
      <c r="BA109" s="11">
        <f>tblData[[#This Row],[Date]]-Italy100dt+1</f>
        <v>213</v>
      </c>
      <c r="BB109" s="11">
        <f ca="1">IF(AND(tblData[Date]&gt;StartDt2US,ISNUMBER(tblData[[#This Row],[Days'# US]])),betaUS/(deltaUS+betaPodeltaUS*EXP(-betaUS*tblData[Days'# US])),"")</f>
        <v>633176.40153317607</v>
      </c>
      <c r="BC109" s="11" t="str">
        <f ca="1">IF(AND(tblData[Date]&gt;StartDt2US,ISNUMBER(tblData[US])),(tblData[[#This Row],[US LogiP(t)]]-tblData[US])^2,"")</f>
        <v/>
      </c>
      <c r="BD109" s="137">
        <f ca="1">IF(AND(tblData[Date]&gt;=StartDt2US,ISNUMBER(tblData[[#This Row],[Days'# US]])),tblData[[#This Row],[US LogiP(t)]]/$BB$9,"")</f>
        <v>19232.170107958522</v>
      </c>
      <c r="BE109" s="137" t="str">
        <f ca="1">IF(AND(ISNUMBER(tblData[US]),tblData[Date]&gt;StartDt2US),(tblData[US]-AVERAGE(tblData[US]))^2,"")</f>
        <v/>
      </c>
      <c r="BF109" s="11">
        <f>tblData[[#This Row],[Date]]-US100dt+1</f>
        <v>197</v>
      </c>
      <c r="BG109" s="20">
        <f ca="1">IF(tblData[Date]&gt;StartDt2SKorea,betaSKorea/(deltaSKorea+betaPodeltaSKorea*EXP(-betaSKorea*(tblData[Date]-StartDt2SKorea))),"")</f>
        <v>9037.3342829253143</v>
      </c>
      <c r="BH109" s="20" t="str">
        <f ca="1">IF(AND(tblData[Date]&gt;StartDt2SKorea,ISNUMBER(tblData[SKorea])),(tblData[[#This Row],[SKorea LogiP(t)]]-tblData[[#This Row],[SKorea]])^2,"")</f>
        <v/>
      </c>
      <c r="BI109" s="20">
        <f ca="1">IF(tblData[Date]&gt;StartDt2SKorea,tblData[[#This Row],[SKorea LogiP(t)]]/$BG$9,"")</f>
        <v>1758.2362418142636</v>
      </c>
      <c r="BJ109" s="137" t="str">
        <f ca="1">IF(AND(ISNUMBER(tblData[SKorea]),tblData[Date]&gt;StartDt2SKorea),(tblData[SKorea]-AVERAGE(tblData[SKorea]))^2,"")</f>
        <v/>
      </c>
      <c r="BK109" s="11">
        <f>tblData[[#This Row],[Date]]-SKorea100dt+1</f>
        <v>218</v>
      </c>
      <c r="BL109" s="137">
        <f ca="1">IF(AND(tblData[Date]&gt;StartDt2UK,ISNUMBER(tblData[Days'# UK])),betaUK/(deltaUK+betaPodeltaUK*EXP(-betaUK*tblData[Days'# UK])),"")</f>
        <v>74551.8422995648</v>
      </c>
      <c r="BM109" s="71" t="str">
        <f ca="1">IF(AND(tblData[Date]&gt;StartDt2UK,ISNUMBER(tblData[UK])),(tblData[[#This Row],[UK LogiP(t)]]-tblData[[#This Row],[UK]])^2,"")</f>
        <v/>
      </c>
      <c r="BN109" s="71">
        <f ca="1">IF(ISNUMBER(tblData[Days'# UK]),tblData[[#This Row],[UK LogiP(t)]]/$BL$9,"")</f>
        <v>11220.927498429379</v>
      </c>
      <c r="BO109" s="137" t="str">
        <f ca="1">IF(AND(ISNUMBER(tblData[UK]),tblData[Date]&gt;StartDt2UK),(tblData[UK]-AVERAGE(tblData[UK]))^2,"")</f>
        <v/>
      </c>
      <c r="BP109" s="11">
        <f>tblData[[#This Row],[Date]]-UK100dt</f>
        <v>198</v>
      </c>
      <c r="BQ109" s="11">
        <f ca="1">IF(ISNUMBER(tblData[Days'# China]),betaChina/(deltaChina+betaPodeltaChina*EXP(-betaChina*tblData[Days'# China])),"")</f>
        <v>81223.951297127758</v>
      </c>
      <c r="BR109" s="11" t="str">
        <f>IF(ISNUMBER(tblData[China]),(tblData[[#This Row],[China LogiP(t)]]-tblData[[#This Row],[China]])^2,"")</f>
        <v/>
      </c>
      <c r="BS109" s="11">
        <f ca="1">tblData[[#This Row],[China LogiP(t)]]/$BQ$9</f>
        <v>564.32022211747142</v>
      </c>
      <c r="BT109" s="137" t="str">
        <f ca="1">IF(AND(ISNUMBER(tblData[China]),tblData[Date]&gt;StartDt2China),(tblData[China]-AVERAGE(tblData[China]))^2,"")</f>
        <v/>
      </c>
      <c r="BU109" s="11">
        <f>tblData[[#This Row],[Date]]-China100dt</f>
        <v>248</v>
      </c>
      <c r="BV109" s="106">
        <f>IF(ISNUMBER(tblData[Day'# Singapore]),betaSingapore/(deltaSingapore+betaPodeltaSingapore*EXP(-betaSingapore*tblData[Day'# Singapore])),"")</f>
        <v>140704.12944175967</v>
      </c>
      <c r="BW109" s="11" t="str">
        <f>IF(AND(ISNUMBER(tblData[Singapore]),tblData[Date]&gt;=StartDt2Singapore),(tblData[[#This Row],[Singapore LogiP(t)]]-tblData[[#This Row],[Singapore]])^2,"")</f>
        <v/>
      </c>
      <c r="BX109" s="106">
        <f>IF(ISNUMBER(tblData[Day'# Singapore]),tblData[Singapore LogiP(t)]/$BV$9,"")</f>
        <v>240519.87938762337</v>
      </c>
      <c r="BY109" s="106" t="str">
        <f>IF(AND(ISNUMBER(tblData[Singapore]),tblData[Date]&gt;StartDt2Singapore),(tblData[Singapore]-AVERAGE(tblData[Singapore]))^2,"")</f>
        <v/>
      </c>
      <c r="BZ109" s="11">
        <f>tblData[[#This Row],[Date]]-Singapore100dt+1</f>
        <v>229</v>
      </c>
      <c r="CA109" s="11">
        <f ca="1">IF(AND(tblData[Date]&gt;StartDt2Generic,ISNUMBER(tblData[Day'# Generic])),betaGeneric/(deltaGeneric+betaPodeltaGeneric*EXP(-betaGeneric*tblData[Day'# Generic])),"")</f>
        <v>3547.5213530355622</v>
      </c>
      <c r="CB109" s="106" t="str">
        <f ca="1">IF(AND(ISNUMBER(tblData[Generic]),tblData[Date]&gt;StartDt2Generic),(tblData[Generic LogiP(t)]-tblData[[#This Row],[Generic]])^2,"")</f>
        <v/>
      </c>
      <c r="CC109" s="11" t="str">
        <f ca="1">IF(AND(ISNUMBER(tblData[Generic]),tblData[Date]&gt;StartDt2Generic),tblData[Generic LogiP(t)]/$CA$9,"")</f>
        <v/>
      </c>
      <c r="CD109" s="106" t="str">
        <f ca="1">IF(AND(ISNUMBER(tblData[Generic]),tblData[Date]&gt;StartDt2Generic),(tblData[Generic]-AVERAGE(tblData[Generic]))^2,"")</f>
        <v/>
      </c>
      <c r="CE109" s="11">
        <f>tblData[[#This Row],[Date]]-Generic100dt+1</f>
        <v>190</v>
      </c>
      <c r="CF109" s="11"/>
      <c r="CG109" s="11"/>
      <c r="CH109" s="11" t="str">
        <f>IF(ISNUMBER(tblData[[#This Row],[Tests]]),tblData[[#This Row],[Tests]]-CF108,"")</f>
        <v/>
      </c>
      <c r="CI109" s="11" t="str">
        <f>IF(ISNUMBER(tblData[[#This Row],[NSW Under Investigation'']]),tblData[[#This Row],[NSW Under Investigation'']]-CG108,"")</f>
        <v/>
      </c>
      <c r="CJ109" s="11">
        <f>IF(tblData[[#This Row],[Date]]&gt;myData!TestsStart,tblData[[#This Row],[Date]]-myData!TestsStart,"")</f>
        <v>205</v>
      </c>
      <c r="CK109" s="11">
        <f>IF(AND(tblData[[#This Row],[NSW Test Day Number]]&gt;0,ISNUMBER(tblData[[#This Row],[NSW Test Day Number]])),betaTests/(deltaTests+betaPodeltaTests*EXP(-betaTests*tblData[[#This Row],[NSW Test Day Number]])),"")</f>
        <v>127232.33861535539</v>
      </c>
      <c r="CL109" s="11" t="str">
        <f>IF(tblData[Tests]&gt;0,(tblData[[#This Row],[Tests]]-tblData[[#This Row],[NSW Test Logi]])^2,"")</f>
        <v/>
      </c>
      <c r="CM109" s="106" t="str">
        <f>IF(AND(ISNUMBER(tblData[Tests]),tblData[Date]&gt;StartDt2Tests),(tblData[Tests]-AVERAGE(tblData[Tests]))^2,"")</f>
        <v/>
      </c>
      <c r="CN109" s="11" t="str">
        <f>IF(ISNUMBER(tblData[Tests]),tblData[Tests]/$CN$9/100,"")</f>
        <v/>
      </c>
      <c r="CO109" s="106">
        <f ca="1">IF(AND(tblData[[#This Row],[NSW Test Day Number]]&gt;0,ISNUMBER(tblData[[#This Row],[NSW Test Day Number]])),TestsLogestB*TestsLogestM^tblData[[#This Row],[NSW Test Day Number]],"")</f>
        <v>107536612142642.58</v>
      </c>
      <c r="CP109" s="11" t="str">
        <f>IF(AND(tblData[[#This Row],[NSW Test Day Number]]&gt;0,ISNUMBER(tblData[Tests])),(tblData[Tests]-tblData[[#This Row],[NSW Test Per Capita]])^2,"")</f>
        <v/>
      </c>
      <c r="CQ109" s="39">
        <f ca="1">IF(AND(tblData[Day '# NSW]&gt;0,ISNUMBER(tblData[[#This Row],[Day '# NSW]])),NSWLogestB*NSWLogestM^tblData[[#This Row],[Day '# NSW]]/$CR$9,"")</f>
        <v>241191644714.53629</v>
      </c>
      <c r="CR109" s="39" t="str">
        <f ca="1">IF(AND(ISNUMBER(tblData[NSW]),tblData[Date]&gt;StartDt2NSW),(tblData[NSW]/$CR$9-tblData[[#This Row],[NSW Cases LogEst]])^2,"")</f>
        <v/>
      </c>
      <c r="CS109" s="106"/>
      <c r="CT109" s="11"/>
      <c r="CV109"/>
      <c r="CX109"/>
      <c r="CZ109"/>
      <c r="DA109"/>
      <c r="DB109"/>
      <c r="DC109"/>
      <c r="DD109"/>
      <c r="DE109"/>
      <c r="DH109"/>
      <c r="DI109"/>
      <c r="DJ109"/>
      <c r="DK109"/>
      <c r="DM109"/>
      <c r="DN109"/>
      <c r="DO109"/>
      <c r="DP109"/>
      <c r="DQ109"/>
      <c r="DR109"/>
      <c r="DS109"/>
      <c r="DT109"/>
      <c r="DU109"/>
      <c r="DV109"/>
      <c r="DY109"/>
      <c r="DZ109"/>
      <c r="EA109"/>
      <c r="EF109"/>
      <c r="EG109"/>
      <c r="EH109"/>
      <c r="EI109"/>
      <c r="EJ109"/>
      <c r="EK109"/>
      <c r="EL109"/>
      <c r="EM109"/>
      <c r="EU109" s="25" t="s">
        <v>176</v>
      </c>
      <c r="EV109" s="69"/>
      <c r="EW109" s="26">
        <v>43852</v>
      </c>
      <c r="EX109" s="26"/>
      <c r="EY109" s="25">
        <v>4</v>
      </c>
      <c r="EZ109" s="22">
        <v>0.2221429979133962</v>
      </c>
      <c r="FA109" s="24">
        <v>2.745882625476671E-6</v>
      </c>
      <c r="FB109" s="21">
        <v>1537.6493038446686</v>
      </c>
      <c r="FC109" s="82">
        <v>80900.398237099929</v>
      </c>
      <c r="FD109" s="82">
        <v>2208.2653303765946</v>
      </c>
      <c r="FE109" s="83">
        <v>1.4172333890505041E-4</v>
      </c>
      <c r="FF109" s="84">
        <v>2.7458826254766712E-3</v>
      </c>
      <c r="FG109" s="26">
        <v>43905</v>
      </c>
      <c r="FH109" s="26" t="s">
        <v>482</v>
      </c>
      <c r="FI109" s="84"/>
      <c r="FJ109" s="84"/>
      <c r="FK109" s="19"/>
      <c r="FL109" s="26"/>
      <c r="FN109" s="18"/>
      <c r="FO109"/>
      <c r="FQ109" s="18"/>
      <c r="FS109" s="19"/>
      <c r="FT109" s="72"/>
      <c r="FV109" s="142"/>
      <c r="FX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row>
    <row r="110" spans="2:217" s="25" customFormat="1" x14ac:dyDescent="0.25">
      <c r="B110" s="26">
        <f t="shared" si="4"/>
        <v>44107</v>
      </c>
      <c r="L110" s="12" t="str">
        <f>IF(ISNUMBER(tblData[[#This Row],[NSW]]),tblData[[#This Row],[New South Wales]]/$L$9,"")</f>
        <v/>
      </c>
      <c r="N110" s="44" t="str">
        <f>IF(ISNUMBER(tblData[Italy]),tblData[Italy]/$N$9,"")</f>
        <v/>
      </c>
      <c r="P110" s="106" t="str">
        <f>IF(ISNUMBER(tblData[US]),tblData[US]/$P$9,"")</f>
        <v/>
      </c>
      <c r="Q110" s="44"/>
      <c r="R110" s="19" t="str">
        <f>IF(ISNUMBER(tblData[SKorea]),tblData[SKorea]/$R$9,"")</f>
        <v/>
      </c>
      <c r="S110" s="44"/>
      <c r="T110" s="12" t="str">
        <f>IF(ISNUMBER(tblData[UK]),tblData[UK]/$T$9,"")</f>
        <v/>
      </c>
      <c r="V110" s="20" t="str">
        <f>IF(ISNUMBER(tblData[China]),tblData[China]/$V$9,"")</f>
        <v/>
      </c>
      <c r="W110" s="20"/>
      <c r="X110" s="20" t="str">
        <f>IF(ISNUMBER(tblData[Singapore]),tblData[Singapore]/$X$9,"")</f>
        <v/>
      </c>
      <c r="Y110" s="20"/>
      <c r="Z110" s="20" t="str">
        <f>IF(AND(LEN(tblData[Generic])&gt;0,ISNUMBER(tblData[Generic])),tblData[Generic]/$Z$9,"")</f>
        <v/>
      </c>
      <c r="AA110" s="25">
        <f ca="1">IF(tblData[[#This Row],[Date]]&lt;StartDt2Italy,"",tblData[[#This Row],[Date]]-ItalyStart)</f>
        <v>247</v>
      </c>
      <c r="AB110" s="25">
        <f ca="1">IF(tblData[[#This Row],[Date]]&lt;=StartDt2US,"",tblData[[#This Row],[Date]]-USStart)</f>
        <v>255</v>
      </c>
      <c r="AC110" s="25">
        <f ca="1">IF(tblData[[#This Row],[Date]]&lt;StartDt2China,"",tblData[[#This Row],[Date]]-ChinaStart)</f>
        <v>255</v>
      </c>
      <c r="AD110" s="25">
        <f>IF(tblData[[#This Row],[Date]]&lt;=SKoreaStart,"",tblData[[#This Row],[Date]]-SKoreaStart)</f>
        <v>255</v>
      </c>
      <c r="AE110" s="25">
        <f ca="1">IF(tblData[[#This Row],[Date]]&lt;=StartDt2UK,"",tblData[[#This Row],[Date]]-UKStart)</f>
        <v>247</v>
      </c>
      <c r="AF110" s="25">
        <f>IF(tblData[[#This Row],[Date]]&lt;StartDt2Singapore,"",tblData[[#This Row],[Date]]-SingaporeStart)</f>
        <v>254</v>
      </c>
      <c r="AG110" s="25">
        <f ca="1">IF(tblData[[#This Row],[Date]]&lt;StartDt2Generic,"",tblData[[#This Row],[Date]]-GenericStart)</f>
        <v>255</v>
      </c>
      <c r="AH110" s="25">
        <f ca="1">IF(tblData[Date]&gt;StartDt2Au,tblData[Date]-AuStart,"")</f>
        <v>252</v>
      </c>
      <c r="AI110" s="25">
        <f>IF(tblData[New South Wales]&gt;=0,SUM(tblData[[#This Row],[Australian Capital Territory]:[Western Australia]]),"")</f>
        <v>0</v>
      </c>
      <c r="AJ110" s="12">
        <f>IF(ISNUMBER(tblData[Au]),tblData[Au]/$AE$9,"")</f>
        <v>0</v>
      </c>
      <c r="AK110" s="39">
        <f ca="1">IF(ISNUMBER(tblData[[#This Row],[Day'# Aust]]),betaAu/(deltaAu+betaPodeltaAu*EXP(-betaAu*tblData[[#This Row],[Day'# Aust]])),"")</f>
        <v>6179.670690828204</v>
      </c>
      <c r="AL110" s="63">
        <f ca="1">IF(ISNUMBER(tblData[Day'# Aust]),tblData[Au LogiP(t)]/$AJ$9,"")</f>
        <v>2436.3943742423135</v>
      </c>
      <c r="AM110" s="11" t="str">
        <f ca="1">IF(AND(tblData[Date]&gt;StartDt2Au,ISNUMBER(tblData[NSW])),(tblData[[#This Row],[Au LogiP(t)]]-tblData[[#This Row],[Au]])^2,"")</f>
        <v/>
      </c>
      <c r="AN110" s="11">
        <f ca="1">IF(AND(ISNUMBER(tblData[Au]),tblData[Date]&gt;StartDt2Au),(tblData[Au]-AVERAGE(tblData[Au]))^2,"")</f>
        <v>196564.33811020709</v>
      </c>
      <c r="AO110" s="11">
        <f>tblData[[#This Row],[Date]]-Au100dt</f>
        <v>203</v>
      </c>
      <c r="AP110" s="25">
        <f ca="1">IF(tblData[Date]&gt;StartDt2NSW,tblData[Date]-StartDt2NSW,"")</f>
        <v>252</v>
      </c>
      <c r="AQ110" s="25" t="str">
        <f>IF(tblData[[#This Row],[New South Wales]]&gt;0,tblData[[#This Row],[New South Wales]],"")</f>
        <v/>
      </c>
      <c r="AR110" s="11">
        <f ca="1">IF(tblData[Date]&gt;StartDt2NSW,betaNSW/(deltaNSW+betaPodeltaNSW*EXP(-betaNSW*tblData[[#This Row],[Day '# NSW]])),"")</f>
        <v>3000.259969010252</v>
      </c>
      <c r="AS110" s="12" t="str">
        <f ca="1">IF(AND(ISNUMBER(tblData[NSW]),tblData[Date]&gt;StartDt2NSW),(tblData[[#This Row],[NSW LogiP(t)]]-tblData[[#This Row],[NSW]])^2,"")</f>
        <v/>
      </c>
      <c r="AT110" s="39">
        <f ca="1">IF(AND(tblData[Date]&gt;StartDt2NSW,ISNUMBER(tblData[Day'# Aust])),tblData[NSW LogiP(t)]/$AR$9,"")</f>
        <v>3713.1930309532818</v>
      </c>
      <c r="AU110" s="11">
        <f>tblData[[#This Row],[Date]]-NSW100dt+1</f>
        <v>207</v>
      </c>
      <c r="AV110" s="11" t="str">
        <f ca="1">IF(AND(ISNUMBER(tblData[NSW]),tblData[Date]&gt;StartDt2NSW),(tblData[NSW]-AVERAGE(tblData[NSW]))^2,"")</f>
        <v/>
      </c>
      <c r="AW110" s="39">
        <f ca="1">IF(AND(tblData[Date]&gt;StartDt2Italy,ISNUMBER(tblData[Days'# Italy])),betaItaly/(deltaItaly+betaPodeltaItaly*EXP(-betaItaly*tblData[Days'# Italy])),"")</f>
        <v>97269.773664435765</v>
      </c>
      <c r="AX110" s="11" t="str">
        <f ca="1">IF(AND(tblData[Date]&gt;StartDt2Italy,ISNUMBER(tblData[Italy])),(tblData[[#This Row],[Italy LogiP(t)]]-tblData[[#This Row],[Italy]])^2,"")</f>
        <v/>
      </c>
      <c r="AY110" s="39">
        <f ca="1">IF(AND(tblData[Date]&gt;StartDt2Italy,ISNUMBER(tblData[Days'# Italy])),tblData[[#This Row],[Italy LogiP(t)]]/$AW$9,"")</f>
        <v>16081.635721986569</v>
      </c>
      <c r="AZ110" s="39" t="str">
        <f ca="1">IF(AND(ISNUMBER(tblData[Italy]),tblData[Date]&gt;StartDt2Italy),(tblData[Italy]-AVERAGE(tblData[Italy]))^2,"")</f>
        <v/>
      </c>
      <c r="BA110" s="11">
        <f>tblData[[#This Row],[Date]]-Italy100dt+1</f>
        <v>220</v>
      </c>
      <c r="BB110" s="11">
        <f ca="1">IF(AND(tblData[Date]&gt;StartDt2US,ISNUMBER(tblData[[#This Row],[Days'# US]])),betaUS/(deltaUS+betaPodeltaUS*EXP(-betaUS*tblData[Days'# US])),"")</f>
        <v>633176.40153317607</v>
      </c>
      <c r="BC110" s="11" t="str">
        <f ca="1">IF(AND(tblData[Date]&gt;StartDt2US,ISNUMBER(tblData[US])),(tblData[[#This Row],[US LogiP(t)]]-tblData[US])^2,"")</f>
        <v/>
      </c>
      <c r="BD110" s="137">
        <f ca="1">IF(AND(tblData[Date]&gt;=StartDt2US,ISNUMBER(tblData[[#This Row],[Days'# US]])),tblData[[#This Row],[US LogiP(t)]]/$BB$9,"")</f>
        <v>19232.170107958522</v>
      </c>
      <c r="BE110" s="137" t="str">
        <f ca="1">IF(AND(ISNUMBER(tblData[US]),tblData[Date]&gt;StartDt2US),(tblData[US]-AVERAGE(tblData[US]))^2,"")</f>
        <v/>
      </c>
      <c r="BF110" s="11">
        <f>tblData[[#This Row],[Date]]-US100dt+1</f>
        <v>204</v>
      </c>
      <c r="BG110" s="20">
        <f ca="1">IF(tblData[Date]&gt;StartDt2SKorea,betaSKorea/(deltaSKorea+betaPodeltaSKorea*EXP(-betaSKorea*(tblData[Date]-StartDt2SKorea))),"")</f>
        <v>9037.3342829253143</v>
      </c>
      <c r="BH110" s="20" t="str">
        <f ca="1">IF(AND(tblData[Date]&gt;StartDt2SKorea,ISNUMBER(tblData[SKorea])),(tblData[[#This Row],[SKorea LogiP(t)]]-tblData[[#This Row],[SKorea]])^2,"")</f>
        <v/>
      </c>
      <c r="BI110" s="20">
        <f ca="1">IF(tblData[Date]&gt;StartDt2SKorea,tblData[[#This Row],[SKorea LogiP(t)]]/$BG$9,"")</f>
        <v>1758.2362418142636</v>
      </c>
      <c r="BJ110" s="137" t="str">
        <f ca="1">IF(AND(ISNUMBER(tblData[SKorea]),tblData[Date]&gt;StartDt2SKorea),(tblData[SKorea]-AVERAGE(tblData[SKorea]))^2,"")</f>
        <v/>
      </c>
      <c r="BK110" s="11">
        <f>tblData[[#This Row],[Date]]-SKorea100dt+1</f>
        <v>225</v>
      </c>
      <c r="BL110" s="137">
        <f ca="1">IF(AND(tblData[Date]&gt;StartDt2UK,ISNUMBER(tblData[Days'# UK])),betaUK/(deltaUK+betaPodeltaUK*EXP(-betaUK*tblData[Days'# UK])),"")</f>
        <v>74551.8422995648</v>
      </c>
      <c r="BM110" s="71" t="str">
        <f ca="1">IF(AND(tblData[Date]&gt;StartDt2UK,ISNUMBER(tblData[UK])),(tblData[[#This Row],[UK LogiP(t)]]-tblData[[#This Row],[UK]])^2,"")</f>
        <v/>
      </c>
      <c r="BN110" s="71">
        <f ca="1">IF(ISNUMBER(tblData[Days'# UK]),tblData[[#This Row],[UK LogiP(t)]]/$BL$9,"")</f>
        <v>11220.927498429379</v>
      </c>
      <c r="BO110" s="137" t="str">
        <f ca="1">IF(AND(ISNUMBER(tblData[UK]),tblData[Date]&gt;StartDt2UK),(tblData[UK]-AVERAGE(tblData[UK]))^2,"")</f>
        <v/>
      </c>
      <c r="BP110" s="11">
        <f>tblData[[#This Row],[Date]]-UK100dt</f>
        <v>205</v>
      </c>
      <c r="BQ110" s="11">
        <f ca="1">IF(ISNUMBER(tblData[Days'# China]),betaChina/(deltaChina+betaPodeltaChina*EXP(-betaChina*tblData[Days'# China])),"")</f>
        <v>81223.951297127758</v>
      </c>
      <c r="BR110" s="11" t="str">
        <f>IF(ISNUMBER(tblData[China]),(tblData[[#This Row],[China LogiP(t)]]-tblData[[#This Row],[China]])^2,"")</f>
        <v/>
      </c>
      <c r="BS110" s="11">
        <f ca="1">tblData[[#This Row],[China LogiP(t)]]/$BQ$9</f>
        <v>564.32022211747142</v>
      </c>
      <c r="BT110" s="137" t="str">
        <f ca="1">IF(AND(ISNUMBER(tblData[China]),tblData[Date]&gt;StartDt2China),(tblData[China]-AVERAGE(tblData[China]))^2,"")</f>
        <v/>
      </c>
      <c r="BU110" s="11">
        <f>tblData[[#This Row],[Date]]-China100dt</f>
        <v>255</v>
      </c>
      <c r="BV110" s="106">
        <f>IF(ISNUMBER(tblData[Day'# Singapore]),betaSingapore/(deltaSingapore+betaPodeltaSingapore*EXP(-betaSingapore*tblData[Day'# Singapore])),"")</f>
        <v>140709.84068867704</v>
      </c>
      <c r="BW110" s="11" t="str">
        <f>IF(AND(ISNUMBER(tblData[Singapore]),tblData[Date]&gt;=StartDt2Singapore),(tblData[[#This Row],[Singapore LogiP(t)]]-tblData[[#This Row],[Singapore]])^2,"")</f>
        <v/>
      </c>
      <c r="BX110" s="106">
        <f>IF(ISNUMBER(tblData[Day'# Singapore]),tblData[Singapore LogiP(t)]/$BV$9,"")</f>
        <v>240529.64220286676</v>
      </c>
      <c r="BY110" s="106" t="str">
        <f>IF(AND(ISNUMBER(tblData[Singapore]),tblData[Date]&gt;StartDt2Singapore),(tblData[Singapore]-AVERAGE(tblData[Singapore]))^2,"")</f>
        <v/>
      </c>
      <c r="BZ110" s="11">
        <f>tblData[[#This Row],[Date]]-Singapore100dt+1</f>
        <v>236</v>
      </c>
      <c r="CA110" s="11">
        <f ca="1">IF(AND(tblData[Date]&gt;StartDt2Generic,ISNUMBER(tblData[Day'# Generic])),betaGeneric/(deltaGeneric+betaPodeltaGeneric*EXP(-betaGeneric*tblData[Day'# Generic])),"")</f>
        <v>3547.5213530355677</v>
      </c>
      <c r="CB110" s="106" t="str">
        <f ca="1">IF(AND(ISNUMBER(tblData[Generic]),tblData[Date]&gt;StartDt2Generic),(tblData[Generic LogiP(t)]-tblData[[#This Row],[Generic]])^2,"")</f>
        <v/>
      </c>
      <c r="CC110" s="11" t="str">
        <f ca="1">IF(AND(ISNUMBER(tblData[Generic]),tblData[Date]&gt;StartDt2Generic),tblData[Generic LogiP(t)]/$CA$9,"")</f>
        <v/>
      </c>
      <c r="CD110" s="106" t="str">
        <f ca="1">IF(AND(ISNUMBER(tblData[Generic]),tblData[Date]&gt;StartDt2Generic),(tblData[Generic]-AVERAGE(tblData[Generic]))^2,"")</f>
        <v/>
      </c>
      <c r="CE110" s="11">
        <f>tblData[[#This Row],[Date]]-Generic100dt+1</f>
        <v>197</v>
      </c>
      <c r="CF110" s="11"/>
      <c r="CG110" s="11"/>
      <c r="CH110" s="11" t="str">
        <f>IF(ISNUMBER(tblData[[#This Row],[Tests]]),tblData[[#This Row],[Tests]]-CF109,"")</f>
        <v/>
      </c>
      <c r="CI110" s="11" t="str">
        <f>IF(ISNUMBER(tblData[[#This Row],[NSW Under Investigation'']]),tblData[[#This Row],[NSW Under Investigation'']]-CG109,"")</f>
        <v/>
      </c>
      <c r="CJ110" s="11">
        <f>IF(tblData[[#This Row],[Date]]&gt;myData!TestsStart,tblData[[#This Row],[Date]]-myData!TestsStart,"")</f>
        <v>212</v>
      </c>
      <c r="CK110" s="11">
        <f>IF(AND(tblData[[#This Row],[NSW Test Day Number]]&gt;0,ISNUMBER(tblData[[#This Row],[NSW Test Day Number]])),betaTests/(deltaTests+betaPodeltaTests*EXP(-betaTests*tblData[[#This Row],[NSW Test Day Number]])),"")</f>
        <v>127232.33861535593</v>
      </c>
      <c r="CL110" s="11" t="str">
        <f>IF(tblData[Tests]&gt;0,(tblData[[#This Row],[Tests]]-tblData[[#This Row],[NSW Test Logi]])^2,"")</f>
        <v/>
      </c>
      <c r="CM110" s="106" t="str">
        <f>IF(AND(ISNUMBER(tblData[Tests]),tblData[Date]&gt;StartDt2Tests),(tblData[Tests]-AVERAGE(tblData[Tests]))^2,"")</f>
        <v/>
      </c>
      <c r="CN110" s="11" t="str">
        <f>IF(ISNUMBER(tblData[Tests]),tblData[Tests]/$CN$9/100,"")</f>
        <v/>
      </c>
      <c r="CO110" s="106">
        <f ca="1">IF(AND(tblData[[#This Row],[NSW Test Day Number]]&gt;0,ISNUMBER(tblData[[#This Row],[NSW Test Day Number]])),TestsLogestB*TestsLogestM^tblData[[#This Row],[NSW Test Day Number]],"")</f>
        <v>240776301474602.91</v>
      </c>
      <c r="CP110" s="11" t="str">
        <f>IF(AND(tblData[[#This Row],[NSW Test Day Number]]&gt;0,ISNUMBER(tblData[Tests])),(tblData[Tests]-tblData[[#This Row],[NSW Test Per Capita]])^2,"")</f>
        <v/>
      </c>
      <c r="CQ110" s="39">
        <f ca="1">IF(AND(tblData[Day '# NSW]&gt;0,ISNUMBER(tblData[[#This Row],[Day '# NSW]])),NSWLogestB*NSWLogestM^tblData[[#This Row],[Day '# NSW]]/$CR$9,"")</f>
        <v>510107187805.65784</v>
      </c>
      <c r="CR110" s="39" t="str">
        <f ca="1">IF(AND(ISNUMBER(tblData[NSW]),tblData[Date]&gt;StartDt2NSW),(tblData[NSW]/$CR$9-tblData[[#This Row],[NSW Cases LogEst]])^2,"")</f>
        <v/>
      </c>
      <c r="CS110" s="106"/>
      <c r="CT110" s="11"/>
      <c r="CV110"/>
      <c r="CX110"/>
      <c r="CZ110"/>
      <c r="DA110"/>
      <c r="DB110"/>
      <c r="DC110"/>
      <c r="DD110"/>
      <c r="DE110"/>
      <c r="DH110"/>
      <c r="DI110"/>
      <c r="DJ110"/>
      <c r="DK110"/>
      <c r="DM110"/>
      <c r="DN110"/>
      <c r="DO110"/>
      <c r="DP110"/>
      <c r="DQ110"/>
      <c r="DR110"/>
      <c r="DS110"/>
      <c r="DT110"/>
      <c r="DU110"/>
      <c r="DV110"/>
      <c r="DY110"/>
      <c r="DZ110"/>
      <c r="EU110" s="25" t="s">
        <v>176</v>
      </c>
      <c r="EV110" s="69"/>
      <c r="EW110" s="26">
        <v>43852</v>
      </c>
      <c r="EX110" s="26"/>
      <c r="EY110" s="25">
        <v>4</v>
      </c>
      <c r="EZ110" s="22">
        <v>0.2221429979133962</v>
      </c>
      <c r="FA110" s="24">
        <v>2.745543785173982E-6</v>
      </c>
      <c r="FB110" s="21">
        <v>1537.6493038446686</v>
      </c>
      <c r="FC110" s="82">
        <v>80910.382530766758</v>
      </c>
      <c r="FD110" s="82">
        <v>2167.9126784143218</v>
      </c>
      <c r="FE110" s="83">
        <v>1.4172367774535312E-4</v>
      </c>
      <c r="FF110" s="84">
        <v>2.7455437851739819E-3</v>
      </c>
      <c r="FG110" s="26">
        <v>43906</v>
      </c>
      <c r="FH110" s="26" t="s">
        <v>482</v>
      </c>
      <c r="FI110" s="84"/>
      <c r="FJ110" s="84">
        <v>81033</v>
      </c>
      <c r="FK110" s="19" t="s">
        <v>670</v>
      </c>
      <c r="FL110" s="26">
        <v>43906</v>
      </c>
      <c r="FM110" s="25">
        <v>55</v>
      </c>
      <c r="FN110" s="18" t="s">
        <v>671</v>
      </c>
      <c r="FO110"/>
      <c r="FP110" s="25" t="s">
        <v>672</v>
      </c>
      <c r="FQ110"/>
      <c r="FS110" s="19"/>
      <c r="FT110" s="72"/>
      <c r="FV110" s="142"/>
      <c r="FW110"/>
      <c r="FX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row>
    <row r="111" spans="2:217" s="25" customFormat="1" x14ac:dyDescent="0.25">
      <c r="B111" s="26">
        <f t="shared" si="4"/>
        <v>44114</v>
      </c>
      <c r="L111" s="12" t="str">
        <f>IF(ISNUMBER(tblData[[#This Row],[NSW]]),tblData[[#This Row],[New South Wales]]/$L$9,"")</f>
        <v/>
      </c>
      <c r="N111" s="44" t="str">
        <f>IF(ISNUMBER(tblData[Italy]),tblData[Italy]/$N$9,"")</f>
        <v/>
      </c>
      <c r="P111" s="106" t="str">
        <f>IF(ISNUMBER(tblData[US]),tblData[US]/$P$9,"")</f>
        <v/>
      </c>
      <c r="Q111" s="44"/>
      <c r="R111" s="19" t="str">
        <f>IF(ISNUMBER(tblData[SKorea]),tblData[SKorea]/$R$9,"")</f>
        <v/>
      </c>
      <c r="S111" s="44"/>
      <c r="T111" s="12" t="str">
        <f>IF(ISNUMBER(tblData[UK]),tblData[UK]/$T$9,"")</f>
        <v/>
      </c>
      <c r="V111" s="20" t="str">
        <f>IF(ISNUMBER(tblData[China]),tblData[China]/$V$9,"")</f>
        <v/>
      </c>
      <c r="W111" s="20"/>
      <c r="X111" s="20" t="str">
        <f>IF(ISNUMBER(tblData[Singapore]),tblData[Singapore]/$X$9,"")</f>
        <v/>
      </c>
      <c r="Y111" s="20"/>
      <c r="Z111" s="20" t="str">
        <f>IF(AND(LEN(tblData[Generic])&gt;0,ISNUMBER(tblData[Generic])),tblData[Generic]/$Z$9,"")</f>
        <v/>
      </c>
      <c r="AA111" s="25">
        <f ca="1">IF(tblData[[#This Row],[Date]]&lt;StartDt2Italy,"",tblData[[#This Row],[Date]]-ItalyStart)</f>
        <v>254</v>
      </c>
      <c r="AB111" s="25">
        <f ca="1">IF(tblData[[#This Row],[Date]]&lt;=StartDt2US,"",tblData[[#This Row],[Date]]-USStart)</f>
        <v>262</v>
      </c>
      <c r="AC111" s="25">
        <f ca="1">IF(tblData[[#This Row],[Date]]&lt;StartDt2China,"",tblData[[#This Row],[Date]]-ChinaStart)</f>
        <v>262</v>
      </c>
      <c r="AD111" s="25">
        <f>IF(tblData[[#This Row],[Date]]&lt;=SKoreaStart,"",tblData[[#This Row],[Date]]-SKoreaStart)</f>
        <v>262</v>
      </c>
      <c r="AE111" s="25">
        <f ca="1">IF(tblData[[#This Row],[Date]]&lt;=StartDt2UK,"",tblData[[#This Row],[Date]]-UKStart)</f>
        <v>254</v>
      </c>
      <c r="AF111" s="25">
        <f>IF(tblData[[#This Row],[Date]]&lt;StartDt2Singapore,"",tblData[[#This Row],[Date]]-SingaporeStart)</f>
        <v>261</v>
      </c>
      <c r="AG111" s="25">
        <f ca="1">IF(tblData[[#This Row],[Date]]&lt;StartDt2Generic,"",tblData[[#This Row],[Date]]-GenericStart)</f>
        <v>262</v>
      </c>
      <c r="AH111" s="25">
        <f ca="1">IF(tblData[Date]&gt;StartDt2Au,tblData[Date]-AuStart,"")</f>
        <v>259</v>
      </c>
      <c r="AI111" s="25">
        <f>IF(tblData[New South Wales]&gt;=0,SUM(tblData[[#This Row],[Australian Capital Territory]:[Western Australia]]),"")</f>
        <v>0</v>
      </c>
      <c r="AJ111" s="12">
        <f>IF(ISNUMBER(tblData[Au]),tblData[Au]/$AE$9,"")</f>
        <v>0</v>
      </c>
      <c r="AK111" s="39">
        <f ca="1">IF(ISNUMBER(tblData[[#This Row],[Day'# Aust]]),betaAu/(deltaAu+betaPodeltaAu*EXP(-betaAu*tblData[[#This Row],[Day'# Aust]])),"")</f>
        <v>6179.670690828204</v>
      </c>
      <c r="AL111" s="63">
        <f ca="1">IF(ISNUMBER(tblData[Day'# Aust]),tblData[Au LogiP(t)]/$AJ$9,"")</f>
        <v>2436.3943742423135</v>
      </c>
      <c r="AM111" s="11" t="str">
        <f ca="1">IF(AND(tblData[Date]&gt;StartDt2Au,ISNUMBER(tblData[NSW])),(tblData[[#This Row],[Au LogiP(t)]]-tblData[[#This Row],[Au]])^2,"")</f>
        <v/>
      </c>
      <c r="AN111" s="11">
        <f ca="1">IF(AND(ISNUMBER(tblData[Au]),tblData[Date]&gt;StartDt2Au),(tblData[Au]-AVERAGE(tblData[Au]))^2,"")</f>
        <v>196564.33811020709</v>
      </c>
      <c r="AO111" s="11">
        <f>tblData[[#This Row],[Date]]-Au100dt</f>
        <v>210</v>
      </c>
      <c r="AP111" s="25">
        <f ca="1">IF(tblData[Date]&gt;StartDt2NSW,tblData[Date]-StartDt2NSW,"")</f>
        <v>259</v>
      </c>
      <c r="AQ111" s="25" t="str">
        <f>IF(tblData[[#This Row],[New South Wales]]&gt;0,tblData[[#This Row],[New South Wales]],"")</f>
        <v/>
      </c>
      <c r="AR111" s="11">
        <f ca="1">IF(tblData[Date]&gt;StartDt2NSW,betaNSW/(deltaNSW+betaPodeltaNSW*EXP(-betaNSW*tblData[[#This Row],[Day '# NSW]])),"")</f>
        <v>3000.259969010252</v>
      </c>
      <c r="AS111" s="12" t="str">
        <f ca="1">IF(AND(ISNUMBER(tblData[NSW]),tblData[Date]&gt;StartDt2NSW),(tblData[[#This Row],[NSW LogiP(t)]]-tblData[[#This Row],[NSW]])^2,"")</f>
        <v/>
      </c>
      <c r="AT111" s="39">
        <f ca="1">IF(AND(tblData[Date]&gt;StartDt2NSW,ISNUMBER(tblData[Day'# Aust])),tblData[NSW LogiP(t)]/$AR$9,"")</f>
        <v>3713.1930309532818</v>
      </c>
      <c r="AU111" s="11">
        <f>tblData[[#This Row],[Date]]-NSW100dt+1</f>
        <v>214</v>
      </c>
      <c r="AV111" s="11" t="str">
        <f ca="1">IF(AND(ISNUMBER(tblData[NSW]),tblData[Date]&gt;StartDt2NSW),(tblData[NSW]-AVERAGE(tblData[NSW]))^2,"")</f>
        <v/>
      </c>
      <c r="AW111" s="39">
        <f ca="1">IF(AND(tblData[Date]&gt;StartDt2Italy,ISNUMBER(tblData[Days'# Italy])),betaItaly/(deltaItaly+betaPodeltaItaly*EXP(-betaItaly*tblData[Days'# Italy])),"")</f>
        <v>97269.773664435765</v>
      </c>
      <c r="AX111" s="11" t="str">
        <f ca="1">IF(AND(tblData[Date]&gt;StartDt2Italy,ISNUMBER(tblData[Italy])),(tblData[[#This Row],[Italy LogiP(t)]]-tblData[[#This Row],[Italy]])^2,"")</f>
        <v/>
      </c>
      <c r="AY111" s="39">
        <f ca="1">IF(AND(tblData[Date]&gt;StartDt2Italy,ISNUMBER(tblData[Days'# Italy])),tblData[[#This Row],[Italy LogiP(t)]]/$AW$9,"")</f>
        <v>16081.635721986569</v>
      </c>
      <c r="AZ111" s="39" t="str">
        <f ca="1">IF(AND(ISNUMBER(tblData[Italy]),tblData[Date]&gt;StartDt2Italy),(tblData[Italy]-AVERAGE(tblData[Italy]))^2,"")</f>
        <v/>
      </c>
      <c r="BA111" s="11">
        <f>tblData[[#This Row],[Date]]-Italy100dt+1</f>
        <v>227</v>
      </c>
      <c r="BB111" s="11">
        <f ca="1">IF(AND(tblData[Date]&gt;StartDt2US,ISNUMBER(tblData[[#This Row],[Days'# US]])),betaUS/(deltaUS+betaPodeltaUS*EXP(-betaUS*tblData[Days'# US])),"")</f>
        <v>633176.40153317607</v>
      </c>
      <c r="BC111" s="11" t="str">
        <f ca="1">IF(AND(tblData[Date]&gt;StartDt2US,ISNUMBER(tblData[US])),(tblData[[#This Row],[US LogiP(t)]]-tblData[US])^2,"")</f>
        <v/>
      </c>
      <c r="BD111" s="137">
        <f ca="1">IF(AND(tblData[Date]&gt;=StartDt2US,ISNUMBER(tblData[[#This Row],[Days'# US]])),tblData[[#This Row],[US LogiP(t)]]/$BB$9,"")</f>
        <v>19232.170107958522</v>
      </c>
      <c r="BE111" s="137" t="str">
        <f ca="1">IF(AND(ISNUMBER(tblData[US]),tblData[Date]&gt;StartDt2US),(tblData[US]-AVERAGE(tblData[US]))^2,"")</f>
        <v/>
      </c>
      <c r="BF111" s="11">
        <f>tblData[[#This Row],[Date]]-US100dt+1</f>
        <v>211</v>
      </c>
      <c r="BG111" s="20">
        <f ca="1">IF(tblData[Date]&gt;StartDt2SKorea,betaSKorea/(deltaSKorea+betaPodeltaSKorea*EXP(-betaSKorea*(tblData[Date]-StartDt2SKorea))),"")</f>
        <v>9037.3342829253143</v>
      </c>
      <c r="BH111" s="20" t="str">
        <f ca="1">IF(AND(tblData[Date]&gt;StartDt2SKorea,ISNUMBER(tblData[SKorea])),(tblData[[#This Row],[SKorea LogiP(t)]]-tblData[[#This Row],[SKorea]])^2,"")</f>
        <v/>
      </c>
      <c r="BI111" s="20">
        <f ca="1">IF(tblData[Date]&gt;StartDt2SKorea,tblData[[#This Row],[SKorea LogiP(t)]]/$BG$9,"")</f>
        <v>1758.2362418142636</v>
      </c>
      <c r="BJ111" s="137" t="str">
        <f ca="1">IF(AND(ISNUMBER(tblData[SKorea]),tblData[Date]&gt;StartDt2SKorea),(tblData[SKorea]-AVERAGE(tblData[SKorea]))^2,"")</f>
        <v/>
      </c>
      <c r="BK111" s="11">
        <f>tblData[[#This Row],[Date]]-SKorea100dt+1</f>
        <v>232</v>
      </c>
      <c r="BL111" s="137">
        <f ca="1">IF(AND(tblData[Date]&gt;StartDt2UK,ISNUMBER(tblData[Days'# UK])),betaUK/(deltaUK+betaPodeltaUK*EXP(-betaUK*tblData[Days'# UK])),"")</f>
        <v>74551.8422995648</v>
      </c>
      <c r="BM111" s="71" t="str">
        <f ca="1">IF(AND(tblData[Date]&gt;StartDt2UK,ISNUMBER(tblData[UK])),(tblData[[#This Row],[UK LogiP(t)]]-tblData[[#This Row],[UK]])^2,"")</f>
        <v/>
      </c>
      <c r="BN111" s="71">
        <f ca="1">IF(ISNUMBER(tblData[Days'# UK]),tblData[[#This Row],[UK LogiP(t)]]/$BL$9,"")</f>
        <v>11220.927498429379</v>
      </c>
      <c r="BO111" s="137" t="str">
        <f ca="1">IF(AND(ISNUMBER(tblData[UK]),tblData[Date]&gt;StartDt2UK),(tblData[UK]-AVERAGE(tblData[UK]))^2,"")</f>
        <v/>
      </c>
      <c r="BP111" s="11">
        <f>tblData[[#This Row],[Date]]-UK100dt</f>
        <v>212</v>
      </c>
      <c r="BQ111" s="11">
        <f ca="1">IF(ISNUMBER(tblData[Days'# China]),betaChina/(deltaChina+betaPodeltaChina*EXP(-betaChina*tblData[Days'# China])),"")</f>
        <v>81223.951297127758</v>
      </c>
      <c r="BR111" s="11" t="str">
        <f>IF(ISNUMBER(tblData[China]),(tblData[[#This Row],[China LogiP(t)]]-tblData[[#This Row],[China]])^2,"")</f>
        <v/>
      </c>
      <c r="BS111" s="11">
        <f ca="1">tblData[[#This Row],[China LogiP(t)]]/$BQ$9</f>
        <v>564.32022211747142</v>
      </c>
      <c r="BT111" s="137" t="str">
        <f ca="1">IF(AND(ISNUMBER(tblData[China]),tblData[Date]&gt;StartDt2China),(tblData[China]-AVERAGE(tblData[China]))^2,"")</f>
        <v/>
      </c>
      <c r="BU111" s="11">
        <f>tblData[[#This Row],[Date]]-China100dt</f>
        <v>262</v>
      </c>
      <c r="BV111" s="106">
        <f>IF(ISNUMBER(tblData[Day'# Singapore]),betaSingapore/(deltaSingapore+betaPodeltaSingapore*EXP(-betaSingapore*tblData[Day'# Singapore])),"")</f>
        <v>140713.11260867413</v>
      </c>
      <c r="BW111" s="11" t="str">
        <f>IF(AND(ISNUMBER(tblData[Singapore]),tblData[Date]&gt;=StartDt2Singapore),(tblData[[#This Row],[Singapore LogiP(t)]]-tblData[[#This Row],[Singapore]])^2,"")</f>
        <v/>
      </c>
      <c r="BX111" s="106">
        <f>IF(ISNUMBER(tblData[Day'# Singapore]),tblData[Singapore LogiP(t)]/$BV$9,"")</f>
        <v>240535.2352285028</v>
      </c>
      <c r="BY111" s="106" t="str">
        <f>IF(AND(ISNUMBER(tblData[Singapore]),tblData[Date]&gt;StartDt2Singapore),(tblData[Singapore]-AVERAGE(tblData[Singapore]))^2,"")</f>
        <v/>
      </c>
      <c r="BZ111" s="11">
        <f>tblData[[#This Row],[Date]]-Singapore100dt+1</f>
        <v>243</v>
      </c>
      <c r="CA111" s="11">
        <f ca="1">IF(AND(tblData[Date]&gt;StartDt2Generic,ISNUMBER(tblData[Day'# Generic])),betaGeneric/(deltaGeneric+betaPodeltaGeneric*EXP(-betaGeneric*tblData[Day'# Generic])),"")</f>
        <v>3547.5213530355695</v>
      </c>
      <c r="CB111" s="106" t="str">
        <f ca="1">IF(AND(ISNUMBER(tblData[Generic]),tblData[Date]&gt;StartDt2Generic),(tblData[Generic LogiP(t)]-tblData[[#This Row],[Generic]])^2,"")</f>
        <v/>
      </c>
      <c r="CC111" s="11" t="str">
        <f ca="1">IF(AND(ISNUMBER(tblData[Generic]),tblData[Date]&gt;StartDt2Generic),tblData[Generic LogiP(t)]/$CA$9,"")</f>
        <v/>
      </c>
      <c r="CD111" s="106" t="str">
        <f ca="1">IF(AND(ISNUMBER(tblData[Generic]),tblData[Date]&gt;StartDt2Generic),(tblData[Generic]-AVERAGE(tblData[Generic]))^2,"")</f>
        <v/>
      </c>
      <c r="CE111" s="11">
        <f>tblData[[#This Row],[Date]]-Generic100dt+1</f>
        <v>204</v>
      </c>
      <c r="CF111" s="11"/>
      <c r="CG111" s="11"/>
      <c r="CH111" s="11" t="str">
        <f>IF(ISNUMBER(tblData[[#This Row],[Tests]]),tblData[[#This Row],[Tests]]-CF110,"")</f>
        <v/>
      </c>
      <c r="CI111" s="11" t="str">
        <f>IF(ISNUMBER(tblData[[#This Row],[NSW Under Investigation'']]),tblData[[#This Row],[NSW Under Investigation'']]-CG110,"")</f>
        <v/>
      </c>
      <c r="CJ111" s="11">
        <f>IF(tblData[[#This Row],[Date]]&gt;myData!TestsStart,tblData[[#This Row],[Date]]-myData!TestsStart,"")</f>
        <v>219</v>
      </c>
      <c r="CK111" s="11">
        <f>IF(AND(tblData[[#This Row],[NSW Test Day Number]]&gt;0,ISNUMBER(tblData[[#This Row],[NSW Test Day Number]])),betaTests/(deltaTests+betaPodeltaTests*EXP(-betaTests*tblData[[#This Row],[NSW Test Day Number]])),"")</f>
        <v>127232.33861535609</v>
      </c>
      <c r="CL111" s="11" t="str">
        <f>IF(tblData[Tests]&gt;0,(tblData[[#This Row],[Tests]]-tblData[[#This Row],[NSW Test Logi]])^2,"")</f>
        <v/>
      </c>
      <c r="CM111" s="106" t="str">
        <f>IF(AND(ISNUMBER(tblData[Tests]),tblData[Date]&gt;StartDt2Tests),(tblData[Tests]-AVERAGE(tblData[Tests]))^2,"")</f>
        <v/>
      </c>
      <c r="CN111" s="11" t="str">
        <f>IF(ISNUMBER(tblData[Tests]),tblData[Tests]/$CN$9/100,"")</f>
        <v/>
      </c>
      <c r="CO111" s="106">
        <f ca="1">IF(AND(tblData[[#This Row],[NSW Test Day Number]]&gt;0,ISNUMBER(tblData[[#This Row],[NSW Test Day Number]])),TestsLogestB*TestsLogestM^tblData[[#This Row],[NSW Test Day Number]],"")</f>
        <v>539102229433171.31</v>
      </c>
      <c r="CP111" s="11" t="str">
        <f>IF(AND(tblData[[#This Row],[NSW Test Day Number]]&gt;0,ISNUMBER(tblData[Tests])),(tblData[Tests]-tblData[[#This Row],[NSW Test Per Capita]])^2,"")</f>
        <v/>
      </c>
      <c r="CQ111" s="39">
        <f ca="1">IF(AND(tblData[Day '# NSW]&gt;0,ISNUMBER(tblData[[#This Row],[Day '# NSW]])),NSWLogestB*NSWLogestM^tblData[[#This Row],[Day '# NSW]]/$CR$9,"")</f>
        <v>1078848910205.6952</v>
      </c>
      <c r="CR111" s="39" t="str">
        <f ca="1">IF(AND(ISNUMBER(tblData[NSW]),tblData[Date]&gt;StartDt2NSW),(tblData[NSW]/$CR$9-tblData[[#This Row],[NSW Cases LogEst]])^2,"")</f>
        <v/>
      </c>
      <c r="CS111" s="106"/>
      <c r="CT111" s="11"/>
      <c r="EU111" s="25" t="s">
        <v>176</v>
      </c>
      <c r="EV111" s="69"/>
      <c r="EW111" s="26">
        <v>43852</v>
      </c>
      <c r="EX111" s="26"/>
      <c r="EY111" s="25">
        <v>4</v>
      </c>
      <c r="EZ111" s="22">
        <v>0.2221429979133962</v>
      </c>
      <c r="FA111" s="24">
        <v>2.7453499609305866E-6</v>
      </c>
      <c r="FB111" s="21">
        <v>1537.6493038446686</v>
      </c>
      <c r="FC111" s="82">
        <v>80916.09487851843</v>
      </c>
      <c r="FD111" s="82">
        <v>2148.5827606526632</v>
      </c>
      <c r="FE111" s="83">
        <v>1.4172387156959651E-4</v>
      </c>
      <c r="FF111" s="84">
        <v>2.7453499609305866E-3</v>
      </c>
      <c r="FG111" s="26">
        <v>43907</v>
      </c>
      <c r="FH111" s="26" t="s">
        <v>482</v>
      </c>
      <c r="FI111" s="84"/>
      <c r="FJ111" s="84">
        <v>81058</v>
      </c>
      <c r="FK111" s="19" t="s">
        <v>670</v>
      </c>
      <c r="FL111" s="26">
        <v>43907</v>
      </c>
      <c r="FM111" s="25">
        <v>56</v>
      </c>
      <c r="FN111" s="18" t="s">
        <v>671</v>
      </c>
      <c r="FO111"/>
      <c r="FP111" s="25" t="s">
        <v>672</v>
      </c>
      <c r="FR111" s="25" t="s">
        <v>707</v>
      </c>
      <c r="FS111" s="19"/>
      <c r="FT111" s="72"/>
      <c r="FV111" s="142"/>
      <c r="FW111"/>
      <c r="FX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row>
    <row r="112" spans="2:217" x14ac:dyDescent="0.25">
      <c r="B112" s="26">
        <f t="shared" si="4"/>
        <v>44121</v>
      </c>
      <c r="L112" s="12" t="str">
        <f>IF(ISNUMBER(tblData[[#This Row],[NSW]]),tblData[[#This Row],[New South Wales]]/$L$9,"")</f>
        <v/>
      </c>
      <c r="N112" s="44" t="str">
        <f>IF(ISNUMBER(tblData[Italy]),tblData[Italy]/$N$9,"")</f>
        <v/>
      </c>
      <c r="P112" s="106" t="str">
        <f>IF(ISNUMBER(tblData[US]),tblData[US]/$P$9,"")</f>
        <v/>
      </c>
      <c r="Q112" s="44"/>
      <c r="R112" s="19" t="str">
        <f>IF(ISNUMBER(tblData[SKorea]),tblData[SKorea]/$R$9,"")</f>
        <v/>
      </c>
      <c r="S112" s="44"/>
      <c r="T112" s="12" t="str">
        <f>IF(ISNUMBER(tblData[UK]),tblData[UK]/$T$9,"")</f>
        <v/>
      </c>
      <c r="V112" s="20" t="str">
        <f>IF(ISNUMBER(tblData[China]),tblData[China]/$V$9,"")</f>
        <v/>
      </c>
      <c r="W112" s="20"/>
      <c r="X112" s="20" t="str">
        <f>IF(ISNUMBER(tblData[Singapore]),tblData[Singapore]/$X$9,"")</f>
        <v/>
      </c>
      <c r="Y112" s="20"/>
      <c r="Z112" s="20" t="str">
        <f>IF(AND(LEN(tblData[Generic])&gt;0,ISNUMBER(tblData[Generic])),tblData[Generic]/$Z$9,"")</f>
        <v/>
      </c>
      <c r="AA112" s="25">
        <f ca="1">IF(tblData[[#This Row],[Date]]&lt;StartDt2Italy,"",tblData[[#This Row],[Date]]-ItalyStart)</f>
        <v>261</v>
      </c>
      <c r="AB112" s="25">
        <f ca="1">IF(tblData[[#This Row],[Date]]&lt;=StartDt2US,"",tblData[[#This Row],[Date]]-USStart)</f>
        <v>269</v>
      </c>
      <c r="AC112" s="25">
        <f ca="1">IF(tblData[[#This Row],[Date]]&lt;StartDt2China,"",tblData[[#This Row],[Date]]-ChinaStart)</f>
        <v>269</v>
      </c>
      <c r="AD112" s="25">
        <f>IF(tblData[[#This Row],[Date]]&lt;=SKoreaStart,"",tblData[[#This Row],[Date]]-SKoreaStart)</f>
        <v>269</v>
      </c>
      <c r="AE112" s="25">
        <f ca="1">IF(tblData[[#This Row],[Date]]&lt;=StartDt2UK,"",tblData[[#This Row],[Date]]-UKStart)</f>
        <v>261</v>
      </c>
      <c r="AF112" s="25">
        <f>IF(tblData[[#This Row],[Date]]&lt;StartDt2Singapore,"",tblData[[#This Row],[Date]]-SingaporeStart)</f>
        <v>268</v>
      </c>
      <c r="AG112" s="25">
        <f ca="1">IF(tblData[[#This Row],[Date]]&lt;StartDt2Generic,"",tblData[[#This Row],[Date]]-GenericStart)</f>
        <v>269</v>
      </c>
      <c r="AH112">
        <f ca="1">IF(tblData[Date]&gt;StartDt2Au,tblData[Date]-AuStart,"")</f>
        <v>266</v>
      </c>
      <c r="AI112" s="25">
        <f>IF(tblData[New South Wales]&gt;=0,SUM(tblData[[#This Row],[Australian Capital Territory]:[Western Australia]]),"")</f>
        <v>0</v>
      </c>
      <c r="AJ112" s="12">
        <f>IF(ISNUMBER(tblData[Au]),tblData[Au]/$AE$9,"")</f>
        <v>0</v>
      </c>
      <c r="AK112" s="39">
        <f ca="1">IF(ISNUMBER(tblData[[#This Row],[Day'# Aust]]),betaAu/(deltaAu+betaPodeltaAu*EXP(-betaAu*tblData[[#This Row],[Day'# Aust]])),"")</f>
        <v>6179.670690828204</v>
      </c>
      <c r="AL112" s="63">
        <f ca="1">IF(ISNUMBER(tblData[Day'# Aust]),tblData[Au LogiP(t)]/$AJ$9,"")</f>
        <v>2436.3943742423135</v>
      </c>
      <c r="AM112" s="11" t="str">
        <f ca="1">IF(AND(tblData[Date]&gt;StartDt2Au,ISNUMBER(tblData[NSW])),(tblData[[#This Row],[Au LogiP(t)]]-tblData[[#This Row],[Au]])^2,"")</f>
        <v/>
      </c>
      <c r="AN112" s="11">
        <f ca="1">IF(AND(ISNUMBER(tblData[Au]),tblData[Date]&gt;StartDt2Au),(tblData[Au]-AVERAGE(tblData[Au]))^2,"")</f>
        <v>196564.33811020709</v>
      </c>
      <c r="AO112" s="11">
        <f>tblData[[#This Row],[Date]]-Au100dt</f>
        <v>217</v>
      </c>
      <c r="AP112">
        <f ca="1">IF(tblData[Date]&gt;StartDt2NSW,tblData[Date]-StartDt2NSW,"")</f>
        <v>266</v>
      </c>
      <c r="AQ112" s="25" t="str">
        <f>IF(tblData[[#This Row],[New South Wales]]&gt;0,tblData[[#This Row],[New South Wales]],"")</f>
        <v/>
      </c>
      <c r="AR112" s="11">
        <f ca="1">IF(tblData[Date]&gt;StartDt2NSW,betaNSW/(deltaNSW+betaPodeltaNSW*EXP(-betaNSW*tblData[[#This Row],[Day '# NSW]])),"")</f>
        <v>3000.259969010252</v>
      </c>
      <c r="AS112" s="12" t="str">
        <f ca="1">IF(AND(ISNUMBER(tblData[NSW]),tblData[Date]&gt;StartDt2NSW),(tblData[[#This Row],[NSW LogiP(t)]]-tblData[[#This Row],[NSW]])^2,"")</f>
        <v/>
      </c>
      <c r="AT112" s="39">
        <f ca="1">IF(AND(tblData[Date]&gt;StartDt2NSW,ISNUMBER(tblData[Day'# Aust])),tblData[NSW LogiP(t)]/$AR$9,"")</f>
        <v>3713.1930309532818</v>
      </c>
      <c r="AU112" s="11">
        <f>tblData[[#This Row],[Date]]-NSW100dt+1</f>
        <v>221</v>
      </c>
      <c r="AV112" s="11" t="str">
        <f ca="1">IF(AND(ISNUMBER(tblData[NSW]),tblData[Date]&gt;StartDt2NSW),(tblData[NSW]-AVERAGE(tblData[NSW]))^2,"")</f>
        <v/>
      </c>
      <c r="AW112" s="39">
        <f ca="1">IF(AND(tblData[Date]&gt;StartDt2Italy,ISNUMBER(tblData[Days'# Italy])),betaItaly/(deltaItaly+betaPodeltaItaly*EXP(-betaItaly*tblData[Days'# Italy])),"")</f>
        <v>97269.773664435765</v>
      </c>
      <c r="AX112" s="11" t="str">
        <f ca="1">IF(AND(tblData[Date]&gt;StartDt2Italy,ISNUMBER(tblData[Italy])),(tblData[[#This Row],[Italy LogiP(t)]]-tblData[[#This Row],[Italy]])^2,"")</f>
        <v/>
      </c>
      <c r="AY112" s="39">
        <f ca="1">IF(AND(tblData[Date]&gt;StartDt2Italy,ISNUMBER(tblData[Days'# Italy])),tblData[[#This Row],[Italy LogiP(t)]]/$AW$9,"")</f>
        <v>16081.635721986569</v>
      </c>
      <c r="AZ112" s="39" t="str">
        <f ca="1">IF(AND(ISNUMBER(tblData[Italy]),tblData[Date]&gt;StartDt2Italy),(tblData[Italy]-AVERAGE(tblData[Italy]))^2,"")</f>
        <v/>
      </c>
      <c r="BA112" s="11">
        <f>tblData[[#This Row],[Date]]-Italy100dt+1</f>
        <v>234</v>
      </c>
      <c r="BB112" s="11">
        <f ca="1">IF(AND(tblData[Date]&gt;StartDt2US,ISNUMBER(tblData[[#This Row],[Days'# US]])),betaUS/(deltaUS+betaPodeltaUS*EXP(-betaUS*tblData[Days'# US])),"")</f>
        <v>633176.40153317607</v>
      </c>
      <c r="BC112" s="11" t="str">
        <f ca="1">IF(AND(tblData[Date]&gt;StartDt2US,ISNUMBER(tblData[US])),(tblData[[#This Row],[US LogiP(t)]]-tblData[US])^2,"")</f>
        <v/>
      </c>
      <c r="BD112" s="137">
        <f ca="1">IF(AND(tblData[Date]&gt;=StartDt2US,ISNUMBER(tblData[[#This Row],[Days'# US]])),tblData[[#This Row],[US LogiP(t)]]/$BB$9,"")</f>
        <v>19232.170107958522</v>
      </c>
      <c r="BE112" s="137" t="str">
        <f ca="1">IF(AND(ISNUMBER(tblData[US]),tblData[Date]&gt;StartDt2US),(tblData[US]-AVERAGE(tblData[US]))^2,"")</f>
        <v/>
      </c>
      <c r="BF112" s="11">
        <f>tblData[[#This Row],[Date]]-US100dt+1</f>
        <v>218</v>
      </c>
      <c r="BG112" s="20">
        <f ca="1">IF(tblData[Date]&gt;StartDt2SKorea,betaSKorea/(deltaSKorea+betaPodeltaSKorea*EXP(-betaSKorea*(tblData[Date]-StartDt2SKorea))),"")</f>
        <v>9037.3342829253143</v>
      </c>
      <c r="BH112" s="20" t="str">
        <f ca="1">IF(AND(tblData[Date]&gt;StartDt2SKorea,ISNUMBER(tblData[SKorea])),(tblData[[#This Row],[SKorea LogiP(t)]]-tblData[[#This Row],[SKorea]])^2,"")</f>
        <v/>
      </c>
      <c r="BI112" s="20">
        <f ca="1">IF(tblData[Date]&gt;StartDt2SKorea,tblData[[#This Row],[SKorea LogiP(t)]]/$BG$9,"")</f>
        <v>1758.2362418142636</v>
      </c>
      <c r="BJ112" s="137" t="str">
        <f ca="1">IF(AND(ISNUMBER(tblData[SKorea]),tblData[Date]&gt;StartDt2SKorea),(tblData[SKorea]-AVERAGE(tblData[SKorea]))^2,"")</f>
        <v/>
      </c>
      <c r="BK112" s="11">
        <f>tblData[[#This Row],[Date]]-SKorea100dt+1</f>
        <v>239</v>
      </c>
      <c r="BL112" s="137">
        <f ca="1">IF(AND(tblData[Date]&gt;StartDt2UK,ISNUMBER(tblData[Days'# UK])),betaUK/(deltaUK+betaPodeltaUK*EXP(-betaUK*tblData[Days'# UK])),"")</f>
        <v>74551.8422995648</v>
      </c>
      <c r="BM112" s="71" t="str">
        <f ca="1">IF(AND(tblData[Date]&gt;StartDt2UK,ISNUMBER(tblData[UK])),(tblData[[#This Row],[UK LogiP(t)]]-tblData[[#This Row],[UK]])^2,"")</f>
        <v/>
      </c>
      <c r="BN112" s="71">
        <f ca="1">IF(ISNUMBER(tblData[Days'# UK]),tblData[[#This Row],[UK LogiP(t)]]/$BL$9,"")</f>
        <v>11220.927498429379</v>
      </c>
      <c r="BO112" s="137" t="str">
        <f ca="1">IF(AND(ISNUMBER(tblData[UK]),tblData[Date]&gt;StartDt2UK),(tblData[UK]-AVERAGE(tblData[UK]))^2,"")</f>
        <v/>
      </c>
      <c r="BP112" s="11">
        <f>tblData[[#This Row],[Date]]-UK100dt</f>
        <v>219</v>
      </c>
      <c r="BQ112" s="11">
        <f ca="1">IF(ISNUMBER(tblData[Days'# China]),betaChina/(deltaChina+betaPodeltaChina*EXP(-betaChina*tblData[Days'# China])),"")</f>
        <v>81223.951297127758</v>
      </c>
      <c r="BR112" s="11" t="str">
        <f>IF(ISNUMBER(tblData[China]),(tblData[[#This Row],[China LogiP(t)]]-tblData[[#This Row],[China]])^2,"")</f>
        <v/>
      </c>
      <c r="BS112" s="11">
        <f ca="1">tblData[[#This Row],[China LogiP(t)]]/$BQ$9</f>
        <v>564.32022211747142</v>
      </c>
      <c r="BT112" s="137" t="str">
        <f ca="1">IF(AND(ISNUMBER(tblData[China]),tblData[Date]&gt;StartDt2China),(tblData[China]-AVERAGE(tblData[China]))^2,"")</f>
        <v/>
      </c>
      <c r="BU112" s="11">
        <f>tblData[[#This Row],[Date]]-China100dt</f>
        <v>269</v>
      </c>
      <c r="BV112" s="106">
        <f>IF(ISNUMBER(tblData[Day'# Singapore]),betaSingapore/(deltaSingapore+betaPodeltaSingapore*EXP(-betaSingapore*tblData[Day'# Singapore])),"")</f>
        <v>140714.98700995615</v>
      </c>
      <c r="BW112" s="11" t="str">
        <f>IF(AND(ISNUMBER(tblData[Singapore]),tblData[Date]&gt;=StartDt2Singapore),(tblData[[#This Row],[Singapore LogiP(t)]]-tblData[[#This Row],[Singapore]])^2,"")</f>
        <v/>
      </c>
      <c r="BX112" s="106">
        <f>IF(ISNUMBER(tblData[Day'# Singapore]),tblData[Singapore LogiP(t)]/$BV$9,"")</f>
        <v>240538.4393332584</v>
      </c>
      <c r="BY112" s="106" t="str">
        <f>IF(AND(ISNUMBER(tblData[Singapore]),tblData[Date]&gt;StartDt2Singapore),(tblData[Singapore]-AVERAGE(tblData[Singapore]))^2,"")</f>
        <v/>
      </c>
      <c r="BZ112" s="11">
        <f>tblData[[#This Row],[Date]]-Singapore100dt+1</f>
        <v>250</v>
      </c>
      <c r="CA112" s="11">
        <f ca="1">IF(AND(tblData[Date]&gt;StartDt2Generic,ISNUMBER(tblData[Day'# Generic])),betaGeneric/(deltaGeneric+betaPodeltaGeneric*EXP(-betaGeneric*tblData[Day'# Generic])),"")</f>
        <v>3547.52135303557</v>
      </c>
      <c r="CB112" s="106" t="str">
        <f ca="1">IF(AND(ISNUMBER(tblData[Generic]),tblData[Date]&gt;StartDt2Generic),(tblData[Generic LogiP(t)]-tblData[[#This Row],[Generic]])^2,"")</f>
        <v/>
      </c>
      <c r="CC112" s="11" t="str">
        <f ca="1">IF(AND(ISNUMBER(tblData[Generic]),tblData[Date]&gt;StartDt2Generic),tblData[Generic LogiP(t)]/$CA$9,"")</f>
        <v/>
      </c>
      <c r="CD112" s="106" t="str">
        <f ca="1">IF(AND(ISNUMBER(tblData[Generic]),tblData[Date]&gt;StartDt2Generic),(tblData[Generic]-AVERAGE(tblData[Generic]))^2,"")</f>
        <v/>
      </c>
      <c r="CE112" s="11">
        <f>tblData[[#This Row],[Date]]-Generic100dt+1</f>
        <v>211</v>
      </c>
      <c r="CF112" s="11"/>
      <c r="CG112" s="11"/>
      <c r="CH112" s="11" t="str">
        <f>IF(ISNUMBER(tblData[[#This Row],[Tests]]),tblData[[#This Row],[Tests]]-CF111,"")</f>
        <v/>
      </c>
      <c r="CI112" s="11" t="str">
        <f>IF(ISNUMBER(tblData[[#This Row],[NSW Under Investigation'']]),tblData[[#This Row],[NSW Under Investigation'']]-CG111,"")</f>
        <v/>
      </c>
      <c r="CJ112" s="11">
        <f>IF(tblData[[#This Row],[Date]]&gt;myData!TestsStart,tblData[[#This Row],[Date]]-myData!TestsStart,"")</f>
        <v>226</v>
      </c>
      <c r="CK112" s="11">
        <f>IF(AND(tblData[[#This Row],[NSW Test Day Number]]&gt;0,ISNUMBER(tblData[[#This Row],[NSW Test Day Number]])),betaTests/(deltaTests+betaPodeltaTests*EXP(-betaTests*tblData[[#This Row],[NSW Test Day Number]])),"")</f>
        <v>127232.33861535613</v>
      </c>
      <c r="CL112" s="11" t="str">
        <f>IF(tblData[Tests]&gt;0,(tblData[[#This Row],[Tests]]-tblData[[#This Row],[NSW Test Logi]])^2,"")</f>
        <v/>
      </c>
      <c r="CM112" s="106" t="str">
        <f>IF(AND(ISNUMBER(tblData[Tests]),tblData[Date]&gt;StartDt2Tests),(tblData[Tests]-AVERAGE(tblData[Tests]))^2,"")</f>
        <v/>
      </c>
      <c r="CN112" s="11" t="str">
        <f>IF(ISNUMBER(tblData[Tests]),tblData[Tests]/$CN$9/100,"")</f>
        <v/>
      </c>
      <c r="CO112" s="106">
        <f ca="1">IF(AND(tblData[[#This Row],[NSW Test Day Number]]&gt;0,ISNUMBER(tblData[[#This Row],[NSW Test Day Number]])),TestsLogestB*TestsLogestM^tblData[[#This Row],[NSW Test Day Number]],"")</f>
        <v>1207059050246569</v>
      </c>
      <c r="CP112" s="11" t="str">
        <f>IF(AND(tblData[[#This Row],[NSW Test Day Number]]&gt;0,ISNUMBER(tblData[Tests])),(tblData[Tests]-tblData[[#This Row],[NSW Test Per Capita]])^2,"")</f>
        <v/>
      </c>
      <c r="CQ112" s="39">
        <f ca="1">IF(AND(tblData[Day '# NSW]&gt;0,ISNUMBER(tblData[[#This Row],[Day '# NSW]])),NSWLogestB*NSWLogestM^tblData[[#This Row],[Day '# NSW]]/$CR$9,"")</f>
        <v>2281706666512.3096</v>
      </c>
      <c r="CR112" s="39" t="str">
        <f ca="1">IF(AND(ISNUMBER(tblData[NSW]),tblData[Date]&gt;StartDt2NSW),(tblData[NSW]/$CR$9-tblData[[#This Row],[NSW Cases LogEst]])^2,"")</f>
        <v/>
      </c>
      <c r="CS112" s="106"/>
      <c r="CT112" s="11"/>
      <c r="CV112" s="25"/>
      <c r="CW112" s="25"/>
      <c r="CZ112" s="25"/>
      <c r="DA112" s="25"/>
      <c r="DB112" s="25"/>
      <c r="DC112" s="25"/>
      <c r="DD112" s="25"/>
      <c r="DE112" s="25"/>
      <c r="DH112" s="25"/>
      <c r="DI112" s="25"/>
      <c r="DJ112" s="25"/>
      <c r="DK112" s="25"/>
      <c r="DL112" s="25"/>
      <c r="DM112" s="25"/>
      <c r="DN112" s="25"/>
      <c r="DO112" s="25"/>
      <c r="DP112" s="25"/>
      <c r="DQ112" s="25"/>
      <c r="DV112" s="25"/>
      <c r="DW112" s="25"/>
      <c r="DX112" s="25"/>
      <c r="DY112" s="25"/>
      <c r="DZ112" s="25"/>
      <c r="EA112" s="25"/>
      <c r="EB112" s="25"/>
      <c r="EC112" s="25"/>
      <c r="ED112" s="25"/>
      <c r="EE112" s="25"/>
      <c r="EF112" s="25"/>
      <c r="EG112" s="25"/>
      <c r="EH112" s="25"/>
      <c r="EI112" s="25"/>
      <c r="EJ112" s="25"/>
      <c r="EK112" s="25"/>
      <c r="EL112" s="25"/>
      <c r="EM112" s="25"/>
      <c r="EN112"/>
      <c r="EO112" s="25"/>
      <c r="EP112" s="25"/>
      <c r="ER112" s="25"/>
      <c r="ES112" s="25"/>
      <c r="ET112" s="25"/>
      <c r="EU112" s="25" t="s">
        <v>176</v>
      </c>
      <c r="EV112" s="69"/>
      <c r="EW112" s="26">
        <v>43852</v>
      </c>
      <c r="EY112" s="25">
        <v>4</v>
      </c>
      <c r="EZ112" s="22">
        <v>0.2221429979133962</v>
      </c>
      <c r="FA112" s="24">
        <v>2.7453499609305866E-6</v>
      </c>
      <c r="FB112" s="21">
        <v>1537.6493038446686</v>
      </c>
      <c r="FC112" s="82">
        <v>80916.09487851843</v>
      </c>
      <c r="FD112" s="82">
        <v>2129.8209279691509</v>
      </c>
      <c r="FE112" s="83">
        <v>1.4172387156959651E-4</v>
      </c>
      <c r="FF112" s="84">
        <v>2.7453499609305866E-3</v>
      </c>
      <c r="FG112" s="26">
        <v>43907</v>
      </c>
      <c r="FH112" s="26" t="s">
        <v>482</v>
      </c>
      <c r="FI112" s="84"/>
      <c r="FJ112" s="84">
        <v>81102</v>
      </c>
      <c r="FK112" s="25" t="s">
        <v>670</v>
      </c>
      <c r="FL112" s="26">
        <v>43907</v>
      </c>
      <c r="FM112" s="25">
        <v>57</v>
      </c>
      <c r="FN112" s="26" t="s">
        <v>671</v>
      </c>
      <c r="FO112" s="25"/>
      <c r="FP112" s="25" t="s">
        <v>672</v>
      </c>
      <c r="FQ112"/>
      <c r="FR112" s="18" t="s">
        <v>723</v>
      </c>
      <c r="FS112" s="19">
        <v>563.47294022606354</v>
      </c>
      <c r="FT112" s="72">
        <v>43874</v>
      </c>
      <c r="FU112" s="25">
        <v>35</v>
      </c>
      <c r="FV112" s="142">
        <v>43869</v>
      </c>
      <c r="FW112" s="11">
        <v>40</v>
      </c>
      <c r="FY112" s="25"/>
    </row>
    <row r="113" spans="2:222" x14ac:dyDescent="0.25">
      <c r="B113" s="26">
        <f t="shared" si="4"/>
        <v>44128</v>
      </c>
      <c r="L113" s="12" t="str">
        <f>IF(ISNUMBER(tblData[[#This Row],[NSW]]),tblData[[#This Row],[New South Wales]]/$L$9,"")</f>
        <v/>
      </c>
      <c r="N113" s="44" t="str">
        <f>IF(ISNUMBER(tblData[Italy]),tblData[Italy]/$N$9,"")</f>
        <v/>
      </c>
      <c r="P113" s="106" t="str">
        <f>IF(ISNUMBER(tblData[US]),tblData[US]/$P$9,"")</f>
        <v/>
      </c>
      <c r="Q113" s="44"/>
      <c r="R113" s="19" t="str">
        <f>IF(ISNUMBER(tblData[SKorea]),tblData[SKorea]/$R$9,"")</f>
        <v/>
      </c>
      <c r="S113" s="44"/>
      <c r="T113" s="12" t="str">
        <f>IF(ISNUMBER(tblData[UK]),tblData[UK]/$T$9,"")</f>
        <v/>
      </c>
      <c r="V113" s="20" t="str">
        <f>IF(ISNUMBER(tblData[China]),tblData[China]/$V$9,"")</f>
        <v/>
      </c>
      <c r="W113" s="20"/>
      <c r="X113" s="20" t="str">
        <f>IF(ISNUMBER(tblData[Singapore]),tblData[Singapore]/$X$9,"")</f>
        <v/>
      </c>
      <c r="Y113" s="20"/>
      <c r="Z113" s="20" t="str">
        <f>IF(AND(LEN(tblData[Generic])&gt;0,ISNUMBER(tblData[Generic])),tblData[Generic]/$Z$9,"")</f>
        <v/>
      </c>
      <c r="AA113" s="25">
        <f ca="1">IF(tblData[[#This Row],[Date]]&lt;StartDt2Italy,"",tblData[[#This Row],[Date]]-ItalyStart)</f>
        <v>268</v>
      </c>
      <c r="AB113" s="25">
        <f ca="1">IF(tblData[[#This Row],[Date]]&lt;=StartDt2US,"",tblData[[#This Row],[Date]]-USStart)</f>
        <v>276</v>
      </c>
      <c r="AC113" s="25">
        <f ca="1">IF(tblData[[#This Row],[Date]]&lt;StartDt2China,"",tblData[[#This Row],[Date]]-ChinaStart)</f>
        <v>276</v>
      </c>
      <c r="AD113" s="25">
        <f>IF(tblData[[#This Row],[Date]]&lt;=SKoreaStart,"",tblData[[#This Row],[Date]]-SKoreaStart)</f>
        <v>276</v>
      </c>
      <c r="AE113" s="25">
        <f ca="1">IF(tblData[[#This Row],[Date]]&lt;=StartDt2UK,"",tblData[[#This Row],[Date]]-UKStart)</f>
        <v>268</v>
      </c>
      <c r="AF113" s="25">
        <f>IF(tblData[[#This Row],[Date]]&lt;StartDt2Singapore,"",tblData[[#This Row],[Date]]-SingaporeStart)</f>
        <v>275</v>
      </c>
      <c r="AG113" s="25">
        <f ca="1">IF(tblData[[#This Row],[Date]]&lt;StartDt2Generic,"",tblData[[#This Row],[Date]]-GenericStart)</f>
        <v>276</v>
      </c>
      <c r="AH113">
        <f ca="1">IF(tblData[Date]&gt;StartDt2Au,tblData[Date]-AuStart,"")</f>
        <v>273</v>
      </c>
      <c r="AI113" s="25">
        <f>IF(tblData[New South Wales]&gt;=0,SUM(tblData[[#This Row],[Australian Capital Territory]:[Western Australia]]),"")</f>
        <v>0</v>
      </c>
      <c r="AJ113" s="12">
        <f>IF(ISNUMBER(tblData[Au]),tblData[Au]/$AE$9,"")</f>
        <v>0</v>
      </c>
      <c r="AK113" s="39">
        <f ca="1">IF(ISNUMBER(tblData[[#This Row],[Day'# Aust]]),betaAu/(deltaAu+betaPodeltaAu*EXP(-betaAu*tblData[[#This Row],[Day'# Aust]])),"")</f>
        <v>6179.670690828204</v>
      </c>
      <c r="AL113" s="63">
        <f ca="1">IF(ISNUMBER(tblData[Day'# Aust]),tblData[Au LogiP(t)]/$AJ$9,"")</f>
        <v>2436.3943742423135</v>
      </c>
      <c r="AM113" s="11" t="str">
        <f ca="1">IF(AND(tblData[Date]&gt;StartDt2Au,ISNUMBER(tblData[NSW])),(tblData[[#This Row],[Au LogiP(t)]]-tblData[[#This Row],[Au]])^2,"")</f>
        <v/>
      </c>
      <c r="AN113" s="11">
        <f ca="1">IF(AND(ISNUMBER(tblData[Au]),tblData[Date]&gt;StartDt2Au),(tblData[Au]-AVERAGE(tblData[Au]))^2,"")</f>
        <v>196564.33811020709</v>
      </c>
      <c r="AO113" s="11">
        <f>tblData[[#This Row],[Date]]-Au100dt</f>
        <v>224</v>
      </c>
      <c r="AP113">
        <f ca="1">IF(tblData[Date]&gt;StartDt2NSW,tblData[Date]-StartDt2NSW,"")</f>
        <v>273</v>
      </c>
      <c r="AQ113" s="25" t="str">
        <f>IF(tblData[[#This Row],[New South Wales]]&gt;0,tblData[[#This Row],[New South Wales]],"")</f>
        <v/>
      </c>
      <c r="AR113" s="11">
        <f ca="1">IF(tblData[Date]&gt;StartDt2NSW,betaNSW/(deltaNSW+betaPodeltaNSW*EXP(-betaNSW*tblData[[#This Row],[Day '# NSW]])),"")</f>
        <v>3000.259969010252</v>
      </c>
      <c r="AS113" s="12" t="str">
        <f ca="1">IF(AND(ISNUMBER(tblData[NSW]),tblData[Date]&gt;StartDt2NSW),(tblData[[#This Row],[NSW LogiP(t)]]-tblData[[#This Row],[NSW]])^2,"")</f>
        <v/>
      </c>
      <c r="AT113" s="39">
        <f ca="1">IF(AND(tblData[Date]&gt;StartDt2NSW,ISNUMBER(tblData[Day'# Aust])),tblData[NSW LogiP(t)]/$AR$9,"")</f>
        <v>3713.1930309532818</v>
      </c>
      <c r="AU113" s="11">
        <f>tblData[[#This Row],[Date]]-NSW100dt+1</f>
        <v>228</v>
      </c>
      <c r="AV113" s="11" t="str">
        <f ca="1">IF(AND(ISNUMBER(tblData[NSW]),tblData[Date]&gt;StartDt2NSW),(tblData[NSW]-AVERAGE(tblData[NSW]))^2,"")</f>
        <v/>
      </c>
      <c r="AW113" s="39">
        <f ca="1">IF(AND(tblData[Date]&gt;StartDt2Italy,ISNUMBER(tblData[Days'# Italy])),betaItaly/(deltaItaly+betaPodeltaItaly*EXP(-betaItaly*tblData[Days'# Italy])),"")</f>
        <v>97269.773664435765</v>
      </c>
      <c r="AX113" s="11" t="str">
        <f ca="1">IF(AND(tblData[Date]&gt;StartDt2Italy,ISNUMBER(tblData[Italy])),(tblData[[#This Row],[Italy LogiP(t)]]-tblData[[#This Row],[Italy]])^2,"")</f>
        <v/>
      </c>
      <c r="AY113" s="39">
        <f ca="1">IF(AND(tblData[Date]&gt;StartDt2Italy,ISNUMBER(tblData[Days'# Italy])),tblData[[#This Row],[Italy LogiP(t)]]/$AW$9,"")</f>
        <v>16081.635721986569</v>
      </c>
      <c r="AZ113" s="39" t="str">
        <f ca="1">IF(AND(ISNUMBER(tblData[Italy]),tblData[Date]&gt;StartDt2Italy),(tblData[Italy]-AVERAGE(tblData[Italy]))^2,"")</f>
        <v/>
      </c>
      <c r="BA113" s="11">
        <f>tblData[[#This Row],[Date]]-Italy100dt+1</f>
        <v>241</v>
      </c>
      <c r="BB113" s="11">
        <f ca="1">IF(AND(tblData[Date]&gt;StartDt2US,ISNUMBER(tblData[[#This Row],[Days'# US]])),betaUS/(deltaUS+betaPodeltaUS*EXP(-betaUS*tblData[Days'# US])),"")</f>
        <v>633176.40153317607</v>
      </c>
      <c r="BC113" s="11" t="str">
        <f ca="1">IF(AND(tblData[Date]&gt;StartDt2US,ISNUMBER(tblData[US])),(tblData[[#This Row],[US LogiP(t)]]-tblData[US])^2,"")</f>
        <v/>
      </c>
      <c r="BD113" s="137">
        <f ca="1">IF(AND(tblData[Date]&gt;=StartDt2US,ISNUMBER(tblData[[#This Row],[Days'# US]])),tblData[[#This Row],[US LogiP(t)]]/$BB$9,"")</f>
        <v>19232.170107958522</v>
      </c>
      <c r="BE113" s="137" t="str">
        <f ca="1">IF(AND(ISNUMBER(tblData[US]),tblData[Date]&gt;StartDt2US),(tblData[US]-AVERAGE(tblData[US]))^2,"")</f>
        <v/>
      </c>
      <c r="BF113" s="11">
        <f>tblData[[#This Row],[Date]]-US100dt+1</f>
        <v>225</v>
      </c>
      <c r="BG113" s="20">
        <f ca="1">IF(tblData[Date]&gt;StartDt2SKorea,betaSKorea/(deltaSKorea+betaPodeltaSKorea*EXP(-betaSKorea*(tblData[Date]-StartDt2SKorea))),"")</f>
        <v>9037.3342829253143</v>
      </c>
      <c r="BH113" s="20" t="str">
        <f ca="1">IF(AND(tblData[Date]&gt;StartDt2SKorea,ISNUMBER(tblData[SKorea])),(tblData[[#This Row],[SKorea LogiP(t)]]-tblData[[#This Row],[SKorea]])^2,"")</f>
        <v/>
      </c>
      <c r="BI113" s="20">
        <f ca="1">IF(tblData[Date]&gt;StartDt2SKorea,tblData[[#This Row],[SKorea LogiP(t)]]/$BG$9,"")</f>
        <v>1758.2362418142636</v>
      </c>
      <c r="BJ113" s="137" t="str">
        <f ca="1">IF(AND(ISNUMBER(tblData[SKorea]),tblData[Date]&gt;StartDt2SKorea),(tblData[SKorea]-AVERAGE(tblData[SKorea]))^2,"")</f>
        <v/>
      </c>
      <c r="BK113" s="11">
        <f>tblData[[#This Row],[Date]]-SKorea100dt+1</f>
        <v>246</v>
      </c>
      <c r="BL113" s="137">
        <f ca="1">IF(AND(tblData[Date]&gt;StartDt2UK,ISNUMBER(tblData[Days'# UK])),betaUK/(deltaUK+betaPodeltaUK*EXP(-betaUK*tblData[Days'# UK])),"")</f>
        <v>74551.8422995648</v>
      </c>
      <c r="BM113" s="71" t="str">
        <f ca="1">IF(AND(tblData[Date]&gt;StartDt2UK,ISNUMBER(tblData[UK])),(tblData[[#This Row],[UK LogiP(t)]]-tblData[[#This Row],[UK]])^2,"")</f>
        <v/>
      </c>
      <c r="BN113" s="71">
        <f ca="1">IF(ISNUMBER(tblData[Days'# UK]),tblData[[#This Row],[UK LogiP(t)]]/$BL$9,"")</f>
        <v>11220.927498429379</v>
      </c>
      <c r="BO113" s="137" t="str">
        <f ca="1">IF(AND(ISNUMBER(tblData[UK]),tblData[Date]&gt;StartDt2UK),(tblData[UK]-AVERAGE(tblData[UK]))^2,"")</f>
        <v/>
      </c>
      <c r="BP113" s="11">
        <f>tblData[[#This Row],[Date]]-UK100dt</f>
        <v>226</v>
      </c>
      <c r="BQ113" s="11">
        <f ca="1">IF(ISNUMBER(tblData[Days'# China]),betaChina/(deltaChina+betaPodeltaChina*EXP(-betaChina*tblData[Days'# China])),"")</f>
        <v>81223.951297127758</v>
      </c>
      <c r="BR113" s="11" t="str">
        <f>IF(ISNUMBER(tblData[China]),(tblData[[#This Row],[China LogiP(t)]]-tblData[[#This Row],[China]])^2,"")</f>
        <v/>
      </c>
      <c r="BS113" s="11">
        <f ca="1">tblData[[#This Row],[China LogiP(t)]]/$BQ$9</f>
        <v>564.32022211747142</v>
      </c>
      <c r="BT113" s="137" t="str">
        <f ca="1">IF(AND(ISNUMBER(tblData[China]),tblData[Date]&gt;StartDt2China),(tblData[China]-AVERAGE(tblData[China]))^2,"")</f>
        <v/>
      </c>
      <c r="BU113" s="11">
        <f>tblData[[#This Row],[Date]]-China100dt</f>
        <v>276</v>
      </c>
      <c r="BV113" s="106">
        <f>IF(ISNUMBER(tblData[Day'# Singapore]),betaSingapore/(deltaSingapore+betaPodeltaSingapore*EXP(-betaSingapore*tblData[Day'# Singapore])),"")</f>
        <v>140716.06079088119</v>
      </c>
      <c r="BW113" s="11" t="str">
        <f>IF(AND(ISNUMBER(tblData[Singapore]),tblData[Date]&gt;=StartDt2Singapore),(tblData[[#This Row],[Singapore LogiP(t)]]-tblData[[#This Row],[Singapore]])^2,"")</f>
        <v/>
      </c>
      <c r="BX113" s="106">
        <f>IF(ISNUMBER(tblData[Day'# Singapore]),tblData[Singapore LogiP(t)]/$BV$9,"")</f>
        <v>240540.27485620719</v>
      </c>
      <c r="BY113" s="106" t="str">
        <f>IF(AND(ISNUMBER(tblData[Singapore]),tblData[Date]&gt;StartDt2Singapore),(tblData[Singapore]-AVERAGE(tblData[Singapore]))^2,"")</f>
        <v/>
      </c>
      <c r="BZ113" s="11">
        <f>tblData[[#This Row],[Date]]-Singapore100dt+1</f>
        <v>257</v>
      </c>
      <c r="CA113" s="11">
        <f ca="1">IF(AND(tblData[Date]&gt;StartDt2Generic,ISNUMBER(tblData[Day'# Generic])),betaGeneric/(deltaGeneric+betaPodeltaGeneric*EXP(-betaGeneric*tblData[Day'# Generic])),"")</f>
        <v>3547.52135303557</v>
      </c>
      <c r="CB113" s="106" t="str">
        <f ca="1">IF(AND(ISNUMBER(tblData[Generic]),tblData[Date]&gt;StartDt2Generic),(tblData[Generic LogiP(t)]-tblData[[#This Row],[Generic]])^2,"")</f>
        <v/>
      </c>
      <c r="CC113" s="11" t="str">
        <f ca="1">IF(AND(ISNUMBER(tblData[Generic]),tblData[Date]&gt;StartDt2Generic),tblData[Generic LogiP(t)]/$CA$9,"")</f>
        <v/>
      </c>
      <c r="CD113" s="106" t="str">
        <f ca="1">IF(AND(ISNUMBER(tblData[Generic]),tblData[Date]&gt;StartDt2Generic),(tblData[Generic]-AVERAGE(tblData[Generic]))^2,"")</f>
        <v/>
      </c>
      <c r="CE113" s="11">
        <f>tblData[[#This Row],[Date]]-Generic100dt+1</f>
        <v>218</v>
      </c>
      <c r="CF113" s="11"/>
      <c r="CG113" s="11"/>
      <c r="CH113" s="11" t="str">
        <f>IF(ISNUMBER(tblData[[#This Row],[Tests]]),tblData[[#This Row],[Tests]]-CF112,"")</f>
        <v/>
      </c>
      <c r="CI113" s="11" t="str">
        <f>IF(ISNUMBER(tblData[[#This Row],[NSW Under Investigation'']]),tblData[[#This Row],[NSW Under Investigation'']]-CG112,"")</f>
        <v/>
      </c>
      <c r="CJ113" s="11">
        <f>IF(tblData[[#This Row],[Date]]&gt;myData!TestsStart,tblData[[#This Row],[Date]]-myData!TestsStart,"")</f>
        <v>233</v>
      </c>
      <c r="CK113" s="11">
        <f>IF(AND(tblData[[#This Row],[NSW Test Day Number]]&gt;0,ISNUMBER(tblData[[#This Row],[NSW Test Day Number]])),betaTests/(deltaTests+betaPodeltaTests*EXP(-betaTests*tblData[[#This Row],[NSW Test Day Number]])),"")</f>
        <v>127232.33861535614</v>
      </c>
      <c r="CL113" s="11" t="str">
        <f>IF(tblData[Tests]&gt;0,(tblData[[#This Row],[Tests]]-tblData[[#This Row],[NSW Test Logi]])^2,"")</f>
        <v/>
      </c>
      <c r="CM113" s="106" t="str">
        <f>IF(AND(ISNUMBER(tblData[Tests]),tblData[Date]&gt;StartDt2Tests),(tblData[Tests]-AVERAGE(tblData[Tests]))^2,"")</f>
        <v/>
      </c>
      <c r="CN113" s="11" t="str">
        <f>IF(ISNUMBER(tblData[Tests]),tblData[Tests]/$CN$9/100,"")</f>
        <v/>
      </c>
      <c r="CO113" s="106">
        <f ca="1">IF(AND(tblData[[#This Row],[NSW Test Day Number]]&gt;0,ISNUMBER(tblData[[#This Row],[NSW Test Day Number]])),TestsLogestB*TestsLogestM^tblData[[#This Row],[NSW Test Day Number]],"")</f>
        <v>2702625719641476</v>
      </c>
      <c r="CP113" s="11" t="str">
        <f>IF(AND(tblData[[#This Row],[NSW Test Day Number]]&gt;0,ISNUMBER(tblData[Tests])),(tblData[Tests]-tblData[[#This Row],[NSW Test Per Capita]])^2,"")</f>
        <v/>
      </c>
      <c r="CQ113" s="39">
        <f ca="1">IF(AND(tblData[Day '# NSW]&gt;0,ISNUMBER(tblData[[#This Row],[Day '# NSW]])),NSWLogestB*NSWLogestM^tblData[[#This Row],[Day '# NSW]]/$CR$9,"")</f>
        <v>4825685286194.6123</v>
      </c>
      <c r="CR113" s="39" t="str">
        <f ca="1">IF(AND(ISNUMBER(tblData[NSW]),tblData[Date]&gt;StartDt2NSW),(tblData[NSW]/$CR$9-tblData[[#This Row],[NSW Cases LogEst]])^2,"")</f>
        <v/>
      </c>
      <c r="CS113" s="106"/>
      <c r="CT113" s="11"/>
      <c r="CV113" s="25"/>
      <c r="CW113" s="25"/>
      <c r="CZ113" s="25"/>
      <c r="DA113" s="25"/>
      <c r="DB113" s="25"/>
      <c r="DC113" s="25"/>
      <c r="DD113" s="25"/>
      <c r="DE113" s="25"/>
      <c r="DH113" s="25"/>
      <c r="DI113" s="25"/>
      <c r="DJ113" s="25"/>
      <c r="DK113" s="25"/>
      <c r="DL113" s="25"/>
      <c r="DM113" s="25"/>
      <c r="DN113" s="25"/>
      <c r="DO113" s="25"/>
      <c r="DP113" s="25"/>
      <c r="DQ113" s="25"/>
      <c r="DV113" s="25"/>
      <c r="DW113" s="25"/>
      <c r="DX113" s="25"/>
      <c r="DY113" s="25"/>
      <c r="DZ113" s="25"/>
      <c r="EA113" s="25"/>
      <c r="EB113" s="25"/>
      <c r="EC113" s="25"/>
      <c r="ED113" s="25"/>
      <c r="EE113" s="25"/>
      <c r="EF113" s="25"/>
      <c r="EG113" s="25"/>
      <c r="EH113" s="25"/>
      <c r="EI113" s="25"/>
      <c r="EJ113" s="25"/>
      <c r="EK113" s="25"/>
      <c r="EL113" s="25"/>
      <c r="EM113" s="25"/>
      <c r="EN113"/>
      <c r="EQ113" s="69"/>
      <c r="ER113" s="26"/>
      <c r="ES113" s="69"/>
      <c r="EU113" s="25" t="s">
        <v>176</v>
      </c>
      <c r="EV113" s="69"/>
      <c r="EW113" s="26">
        <v>43852</v>
      </c>
      <c r="EY113" s="25">
        <v>4</v>
      </c>
      <c r="EZ113" s="25">
        <v>0.2221429979133962</v>
      </c>
      <c r="FA113" s="71">
        <v>2.7451241687424546E-6</v>
      </c>
      <c r="FB113" s="21">
        <v>1537.6493038446686</v>
      </c>
      <c r="FC113" s="82">
        <v>80922.750396081436</v>
      </c>
      <c r="FD113" s="82">
        <v>2111.6231171407408</v>
      </c>
      <c r="FE113" s="83">
        <v>1.4172409736178465E-4</v>
      </c>
      <c r="FF113" s="84">
        <v>2.7451241687424547E-3</v>
      </c>
      <c r="FG113" s="26">
        <v>43909</v>
      </c>
      <c r="FH113" s="25" t="s">
        <v>482</v>
      </c>
      <c r="FI113" s="84"/>
      <c r="FJ113" s="84">
        <v>81156</v>
      </c>
      <c r="FK113" s="25" t="s">
        <v>670</v>
      </c>
      <c r="FL113" s="26">
        <v>43909</v>
      </c>
      <c r="FM113" s="25">
        <v>58</v>
      </c>
      <c r="FN113" s="25" t="s">
        <v>671</v>
      </c>
      <c r="FO113"/>
      <c r="FP113" s="25" t="s">
        <v>672</v>
      </c>
      <c r="FR113" s="25" t="s">
        <v>989</v>
      </c>
      <c r="FS113" s="19">
        <v>563.84811640879889</v>
      </c>
      <c r="FT113" s="72">
        <v>43876</v>
      </c>
      <c r="FU113" s="25">
        <v>34</v>
      </c>
      <c r="FV113" s="142">
        <v>43874</v>
      </c>
      <c r="FW113" s="25">
        <v>36</v>
      </c>
      <c r="FY113" s="25"/>
    </row>
    <row r="114" spans="2:222" x14ac:dyDescent="0.25">
      <c r="B114" s="26">
        <f t="shared" si="4"/>
        <v>44135</v>
      </c>
      <c r="L114" s="12" t="str">
        <f>IF(ISNUMBER(tblData[[#This Row],[NSW]]),tblData[[#This Row],[New South Wales]]/$L$9,"")</f>
        <v/>
      </c>
      <c r="N114" s="44" t="str">
        <f>IF(ISNUMBER(tblData[Italy]),tblData[Italy]/$N$9,"")</f>
        <v/>
      </c>
      <c r="P114" s="106" t="str">
        <f>IF(ISNUMBER(tblData[US]),tblData[US]/$P$9,"")</f>
        <v/>
      </c>
      <c r="Q114" s="44"/>
      <c r="R114" s="19" t="str">
        <f>IF(ISNUMBER(tblData[SKorea]),tblData[SKorea]/$R$9,"")</f>
        <v/>
      </c>
      <c r="S114" s="44"/>
      <c r="T114" s="12" t="str">
        <f>IF(ISNUMBER(tblData[UK]),tblData[UK]/$T$9,"")</f>
        <v/>
      </c>
      <c r="V114" s="20" t="str">
        <f>IF(ISNUMBER(tblData[China]),tblData[China]/$V$9,"")</f>
        <v/>
      </c>
      <c r="W114" s="20"/>
      <c r="X114" s="20" t="str">
        <f>IF(ISNUMBER(tblData[Singapore]),tblData[Singapore]/$X$9,"")</f>
        <v/>
      </c>
      <c r="Y114" s="20"/>
      <c r="Z114" s="20" t="str">
        <f>IF(AND(LEN(tblData[Generic])&gt;0,ISNUMBER(tblData[Generic])),tblData[Generic]/$Z$9,"")</f>
        <v/>
      </c>
      <c r="AA114" s="25">
        <f ca="1">IF(tblData[[#This Row],[Date]]&lt;StartDt2Italy,"",tblData[[#This Row],[Date]]-ItalyStart)</f>
        <v>275</v>
      </c>
      <c r="AB114" s="25">
        <f ca="1">IF(tblData[[#This Row],[Date]]&lt;=StartDt2US,"",tblData[[#This Row],[Date]]-USStart)</f>
        <v>283</v>
      </c>
      <c r="AC114" s="25">
        <f ca="1">IF(tblData[[#This Row],[Date]]&lt;StartDt2China,"",tblData[[#This Row],[Date]]-ChinaStart)</f>
        <v>283</v>
      </c>
      <c r="AD114" s="25">
        <f>IF(tblData[[#This Row],[Date]]&lt;=SKoreaStart,"",tblData[[#This Row],[Date]]-SKoreaStart)</f>
        <v>283</v>
      </c>
      <c r="AE114" s="25">
        <f ca="1">IF(tblData[[#This Row],[Date]]&lt;=StartDt2UK,"",tblData[[#This Row],[Date]]-UKStart)</f>
        <v>275</v>
      </c>
      <c r="AF114" s="25">
        <f>IF(tblData[[#This Row],[Date]]&lt;StartDt2Singapore,"",tblData[[#This Row],[Date]]-SingaporeStart)</f>
        <v>282</v>
      </c>
      <c r="AG114" s="25">
        <f ca="1">IF(tblData[[#This Row],[Date]]&lt;StartDt2Generic,"",tblData[[#This Row],[Date]]-GenericStart)</f>
        <v>283</v>
      </c>
      <c r="AH114">
        <f ca="1">IF(tblData[Date]&gt;StartDt2Au,tblData[Date]-AuStart,"")</f>
        <v>280</v>
      </c>
      <c r="AI114" s="25">
        <f>IF(tblData[New South Wales]&gt;=0,SUM(tblData[[#This Row],[Australian Capital Territory]:[Western Australia]]),"")</f>
        <v>0</v>
      </c>
      <c r="AJ114" s="12">
        <f>IF(ISNUMBER(tblData[Au]),tblData[Au]/$AE$9,"")</f>
        <v>0</v>
      </c>
      <c r="AK114" s="39">
        <f ca="1">IF(ISNUMBER(tblData[[#This Row],[Day'# Aust]]),betaAu/(deltaAu+betaPodeltaAu*EXP(-betaAu*tblData[[#This Row],[Day'# Aust]])),"")</f>
        <v>6179.670690828204</v>
      </c>
      <c r="AL114" s="63">
        <f ca="1">IF(ISNUMBER(tblData[Day'# Aust]),tblData[Au LogiP(t)]/$AJ$9,"")</f>
        <v>2436.3943742423135</v>
      </c>
      <c r="AM114" s="11" t="str">
        <f ca="1">IF(AND(tblData[Date]&gt;StartDt2Au,ISNUMBER(tblData[NSW])),(tblData[[#This Row],[Au LogiP(t)]]-tblData[[#This Row],[Au]])^2,"")</f>
        <v/>
      </c>
      <c r="AN114" s="11">
        <f ca="1">IF(AND(ISNUMBER(tblData[Au]),tblData[Date]&gt;StartDt2Au),(tblData[Au]-AVERAGE(tblData[Au]))^2,"")</f>
        <v>196564.33811020709</v>
      </c>
      <c r="AO114" s="11">
        <f>tblData[[#This Row],[Date]]-Au100dt</f>
        <v>231</v>
      </c>
      <c r="AP114">
        <f ca="1">IF(tblData[Date]&gt;StartDt2NSW,tblData[Date]-StartDt2NSW,"")</f>
        <v>280</v>
      </c>
      <c r="AQ114" s="25" t="str">
        <f>IF(tblData[[#This Row],[New South Wales]]&gt;0,tblData[[#This Row],[New South Wales]],"")</f>
        <v/>
      </c>
      <c r="AR114" s="11">
        <f ca="1">IF(tblData[Date]&gt;StartDt2NSW,betaNSW/(deltaNSW+betaPodeltaNSW*EXP(-betaNSW*tblData[[#This Row],[Day '# NSW]])),"")</f>
        <v>3000.259969010252</v>
      </c>
      <c r="AS114" s="12" t="str">
        <f ca="1">IF(AND(ISNUMBER(tblData[NSW]),tblData[Date]&gt;StartDt2NSW),(tblData[[#This Row],[NSW LogiP(t)]]-tblData[[#This Row],[NSW]])^2,"")</f>
        <v/>
      </c>
      <c r="AT114" s="39">
        <f ca="1">IF(AND(tblData[Date]&gt;StartDt2NSW,ISNUMBER(tblData[Day'# Aust])),tblData[NSW LogiP(t)]/$AR$9,"")</f>
        <v>3713.1930309532818</v>
      </c>
      <c r="AU114" s="11">
        <f>tblData[[#This Row],[Date]]-NSW100dt+1</f>
        <v>235</v>
      </c>
      <c r="AV114" s="11" t="str">
        <f ca="1">IF(AND(ISNUMBER(tblData[NSW]),tblData[Date]&gt;StartDt2NSW),(tblData[NSW]-AVERAGE(tblData[NSW]))^2,"")</f>
        <v/>
      </c>
      <c r="AW114" s="39">
        <f ca="1">IF(AND(tblData[Date]&gt;StartDt2Italy,ISNUMBER(tblData[Days'# Italy])),betaItaly/(deltaItaly+betaPodeltaItaly*EXP(-betaItaly*tblData[Days'# Italy])),"")</f>
        <v>97269.773664435765</v>
      </c>
      <c r="AX114" s="11" t="str">
        <f ca="1">IF(AND(tblData[Date]&gt;StartDt2Italy,ISNUMBER(tblData[Italy])),(tblData[[#This Row],[Italy LogiP(t)]]-tblData[[#This Row],[Italy]])^2,"")</f>
        <v/>
      </c>
      <c r="AY114" s="39">
        <f ca="1">IF(AND(tblData[Date]&gt;StartDt2Italy,ISNUMBER(tblData[Days'# Italy])),tblData[[#This Row],[Italy LogiP(t)]]/$AW$9,"")</f>
        <v>16081.635721986569</v>
      </c>
      <c r="AZ114" s="39" t="str">
        <f ca="1">IF(AND(ISNUMBER(tblData[Italy]),tblData[Date]&gt;StartDt2Italy),(tblData[Italy]-AVERAGE(tblData[Italy]))^2,"")</f>
        <v/>
      </c>
      <c r="BA114" s="11">
        <f>tblData[[#This Row],[Date]]-Italy100dt+1</f>
        <v>248</v>
      </c>
      <c r="BB114" s="11">
        <f ca="1">IF(AND(tblData[Date]&gt;StartDt2US,ISNUMBER(tblData[[#This Row],[Days'# US]])),betaUS/(deltaUS+betaPodeltaUS*EXP(-betaUS*tblData[Days'# US])),"")</f>
        <v>633176.40153317607</v>
      </c>
      <c r="BC114" s="11" t="str">
        <f ca="1">IF(AND(tblData[Date]&gt;StartDt2US,ISNUMBER(tblData[US])),(tblData[[#This Row],[US LogiP(t)]]-tblData[US])^2,"")</f>
        <v/>
      </c>
      <c r="BD114" s="137">
        <f ca="1">IF(AND(tblData[Date]&gt;=StartDt2US,ISNUMBER(tblData[[#This Row],[Days'# US]])),tblData[[#This Row],[US LogiP(t)]]/$BB$9,"")</f>
        <v>19232.170107958522</v>
      </c>
      <c r="BE114" s="137" t="str">
        <f ca="1">IF(AND(ISNUMBER(tblData[US]),tblData[Date]&gt;StartDt2US),(tblData[US]-AVERAGE(tblData[US]))^2,"")</f>
        <v/>
      </c>
      <c r="BF114" s="11">
        <f>tblData[[#This Row],[Date]]-US100dt+1</f>
        <v>232</v>
      </c>
      <c r="BG114" s="20">
        <f ca="1">IF(tblData[Date]&gt;StartDt2SKorea,betaSKorea/(deltaSKorea+betaPodeltaSKorea*EXP(-betaSKorea*(tblData[Date]-StartDt2SKorea))),"")</f>
        <v>9037.3342829253143</v>
      </c>
      <c r="BH114" s="20" t="str">
        <f ca="1">IF(AND(tblData[Date]&gt;StartDt2SKorea,ISNUMBER(tblData[SKorea])),(tblData[[#This Row],[SKorea LogiP(t)]]-tblData[[#This Row],[SKorea]])^2,"")</f>
        <v/>
      </c>
      <c r="BI114" s="20">
        <f ca="1">IF(tblData[Date]&gt;StartDt2SKorea,tblData[[#This Row],[SKorea LogiP(t)]]/$BG$9,"")</f>
        <v>1758.2362418142636</v>
      </c>
      <c r="BJ114" s="137" t="str">
        <f ca="1">IF(AND(ISNUMBER(tblData[SKorea]),tblData[Date]&gt;StartDt2SKorea),(tblData[SKorea]-AVERAGE(tblData[SKorea]))^2,"")</f>
        <v/>
      </c>
      <c r="BK114" s="11">
        <f>tblData[[#This Row],[Date]]-SKorea100dt+1</f>
        <v>253</v>
      </c>
      <c r="BL114" s="137">
        <f ca="1">IF(AND(tblData[Date]&gt;StartDt2UK,ISNUMBER(tblData[Days'# UK])),betaUK/(deltaUK+betaPodeltaUK*EXP(-betaUK*tblData[Days'# UK])),"")</f>
        <v>74551.8422995648</v>
      </c>
      <c r="BM114" s="71" t="str">
        <f ca="1">IF(AND(tblData[Date]&gt;StartDt2UK,ISNUMBER(tblData[UK])),(tblData[[#This Row],[UK LogiP(t)]]-tblData[[#This Row],[UK]])^2,"")</f>
        <v/>
      </c>
      <c r="BN114" s="71">
        <f ca="1">IF(ISNUMBER(tblData[Days'# UK]),tblData[[#This Row],[UK LogiP(t)]]/$BL$9,"")</f>
        <v>11220.927498429379</v>
      </c>
      <c r="BO114" s="137" t="str">
        <f ca="1">IF(AND(ISNUMBER(tblData[UK]),tblData[Date]&gt;StartDt2UK),(tblData[UK]-AVERAGE(tblData[UK]))^2,"")</f>
        <v/>
      </c>
      <c r="BP114" s="11">
        <f>tblData[[#This Row],[Date]]-UK100dt</f>
        <v>233</v>
      </c>
      <c r="BQ114" s="11">
        <f ca="1">IF(ISNUMBER(tblData[Days'# China]),betaChina/(deltaChina+betaPodeltaChina*EXP(-betaChina*tblData[Days'# China])),"")</f>
        <v>81223.951297127758</v>
      </c>
      <c r="BR114" s="11" t="str">
        <f>IF(ISNUMBER(tblData[China]),(tblData[[#This Row],[China LogiP(t)]]-tblData[[#This Row],[China]])^2,"")</f>
        <v/>
      </c>
      <c r="BS114" s="11">
        <f ca="1">tblData[[#This Row],[China LogiP(t)]]/$BQ$9</f>
        <v>564.32022211747142</v>
      </c>
      <c r="BT114" s="137" t="str">
        <f ca="1">IF(AND(ISNUMBER(tblData[China]),tblData[Date]&gt;StartDt2China),(tblData[China]-AVERAGE(tblData[China]))^2,"")</f>
        <v/>
      </c>
      <c r="BU114" s="11">
        <f>tblData[[#This Row],[Date]]-China100dt</f>
        <v>283</v>
      </c>
      <c r="BV114" s="106">
        <f>IF(ISNUMBER(tblData[Day'# Singapore]),betaSingapore/(deltaSingapore+betaPodeltaSingapore*EXP(-betaSingapore*tblData[Day'# Singapore])),"")</f>
        <v>140716.67591805145</v>
      </c>
      <c r="BW114" s="11" t="str">
        <f>IF(AND(ISNUMBER(tblData[Singapore]),tblData[Date]&gt;=StartDt2Singapore),(tblData[[#This Row],[Singapore LogiP(t)]]-tblData[[#This Row],[Singapore]])^2,"")</f>
        <v/>
      </c>
      <c r="BX114" s="106">
        <f>IF(ISNUMBER(tblData[Day'# Singapore]),tblData[Singapore LogiP(t)]/$BV$9,"")</f>
        <v>240541.32635564351</v>
      </c>
      <c r="BY114" s="106" t="str">
        <f>IF(AND(ISNUMBER(tblData[Singapore]),tblData[Date]&gt;StartDt2Singapore),(tblData[Singapore]-AVERAGE(tblData[Singapore]))^2,"")</f>
        <v/>
      </c>
      <c r="BZ114" s="11">
        <f>tblData[[#This Row],[Date]]-Singapore100dt+1</f>
        <v>264</v>
      </c>
      <c r="CA114" s="11">
        <f ca="1">IF(AND(tblData[Date]&gt;StartDt2Generic,ISNUMBER(tblData[Day'# Generic])),betaGeneric/(deltaGeneric+betaPodeltaGeneric*EXP(-betaGeneric*tblData[Day'# Generic])),"")</f>
        <v>3547.52135303557</v>
      </c>
      <c r="CB114" s="106" t="str">
        <f ca="1">IF(AND(ISNUMBER(tblData[Generic]),tblData[Date]&gt;StartDt2Generic),(tblData[Generic LogiP(t)]-tblData[[#This Row],[Generic]])^2,"")</f>
        <v/>
      </c>
      <c r="CC114" s="11" t="str">
        <f ca="1">IF(AND(ISNUMBER(tblData[Generic]),tblData[Date]&gt;StartDt2Generic),tblData[Generic LogiP(t)]/$CA$9,"")</f>
        <v/>
      </c>
      <c r="CD114" s="106" t="str">
        <f ca="1">IF(AND(ISNUMBER(tblData[Generic]),tblData[Date]&gt;StartDt2Generic),(tblData[Generic]-AVERAGE(tblData[Generic]))^2,"")</f>
        <v/>
      </c>
      <c r="CE114" s="11">
        <f>tblData[[#This Row],[Date]]-Generic100dt+1</f>
        <v>225</v>
      </c>
      <c r="CF114" s="11"/>
      <c r="CG114" s="11"/>
      <c r="CH114" s="11" t="str">
        <f>IF(ISNUMBER(tblData[[#This Row],[Tests]]),tblData[[#This Row],[Tests]]-CF113,"")</f>
        <v/>
      </c>
      <c r="CI114" s="11" t="str">
        <f>IF(ISNUMBER(tblData[[#This Row],[NSW Under Investigation'']]),tblData[[#This Row],[NSW Under Investigation'']]-CG113,"")</f>
        <v/>
      </c>
      <c r="CJ114" s="11">
        <f>IF(tblData[[#This Row],[Date]]&gt;myData!TestsStart,tblData[[#This Row],[Date]]-myData!TestsStart,"")</f>
        <v>240</v>
      </c>
      <c r="CK114" s="11">
        <f>IF(AND(tblData[[#This Row],[NSW Test Day Number]]&gt;0,ISNUMBER(tblData[[#This Row],[NSW Test Day Number]])),betaTests/(deltaTests+betaPodeltaTests*EXP(-betaTests*tblData[[#This Row],[NSW Test Day Number]])),"")</f>
        <v>127232.33861535614</v>
      </c>
      <c r="CL114" s="11" t="str">
        <f>IF(tblData[Tests]&gt;0,(tblData[[#This Row],[Tests]]-tblData[[#This Row],[NSW Test Logi]])^2,"")</f>
        <v/>
      </c>
      <c r="CM114" s="106" t="str">
        <f>IF(AND(ISNUMBER(tblData[Tests]),tblData[Date]&gt;StartDt2Tests),(tblData[Tests]-AVERAGE(tblData[Tests]))^2,"")</f>
        <v/>
      </c>
      <c r="CN114" s="11" t="str">
        <f>IF(ISNUMBER(tblData[Tests]),tblData[Tests]/$CN$9/100,"")</f>
        <v/>
      </c>
      <c r="CO114" s="106">
        <f ca="1">IF(AND(tblData[[#This Row],[NSW Test Day Number]]&gt;0,ISNUMBER(tblData[[#This Row],[NSW Test Day Number]])),TestsLogestB*TestsLogestM^tblData[[#This Row],[NSW Test Day Number]],"")</f>
        <v>6051224899871769</v>
      </c>
      <c r="CP114" s="11" t="str">
        <f>IF(AND(tblData[[#This Row],[NSW Test Day Number]]&gt;0,ISNUMBER(tblData[Tests])),(tblData[Tests]-tblData[[#This Row],[NSW Test Per Capita]])^2,"")</f>
        <v/>
      </c>
      <c r="CQ114" s="39">
        <f ca="1">IF(AND(tblData[Day '# NSW]&gt;0,ISNUMBER(tblData[[#This Row],[Day '# NSW]])),NSWLogestB*NSWLogestM^tblData[[#This Row],[Day '# NSW]]/$CR$9,"")</f>
        <v>10206061464066.613</v>
      </c>
      <c r="CR114" s="39" t="str">
        <f ca="1">IF(AND(ISNUMBER(tblData[NSW]),tblData[Date]&gt;StartDt2NSW),(tblData[NSW]/$CR$9-tblData[[#This Row],[NSW Cases LogEst]])^2,"")</f>
        <v/>
      </c>
      <c r="CS114" s="106"/>
      <c r="CT114" s="11"/>
      <c r="CV114" s="25"/>
      <c r="CW114" s="25"/>
      <c r="CZ114" s="25"/>
      <c r="DA114" s="25"/>
      <c r="DB114" s="25"/>
      <c r="DC114" s="25"/>
      <c r="DD114" s="25"/>
      <c r="DE114" s="25"/>
      <c r="DH114" s="25"/>
      <c r="DI114" s="25"/>
      <c r="DJ114" s="25"/>
      <c r="DK114" s="25"/>
      <c r="DL114" s="25"/>
      <c r="DM114" s="25"/>
      <c r="DN114" s="25"/>
      <c r="DO114" s="25"/>
      <c r="DP114" s="25"/>
      <c r="DQ114" s="25"/>
      <c r="DV114" s="25"/>
      <c r="DW114" s="25"/>
      <c r="DX114" s="25"/>
      <c r="DY114" s="25"/>
      <c r="DZ114" s="25"/>
      <c r="EB114" s="25"/>
      <c r="EC114" s="25"/>
      <c r="ED114" s="25"/>
      <c r="EE114" s="25"/>
      <c r="EK114"/>
      <c r="EL114"/>
      <c r="EM114"/>
      <c r="EN114"/>
      <c r="EO114"/>
      <c r="EP114"/>
      <c r="EQ114"/>
      <c r="ER114"/>
      <c r="ES114"/>
      <c r="ET114"/>
      <c r="EU114" s="25" t="s">
        <v>176</v>
      </c>
      <c r="EV114" s="69">
        <v>43911.866319444445</v>
      </c>
      <c r="EW114" s="26">
        <v>43852</v>
      </c>
      <c r="EX114" s="26">
        <v>43852</v>
      </c>
      <c r="EY114" s="25">
        <v>4</v>
      </c>
      <c r="EZ114" s="25">
        <v>0.2221429979133962</v>
      </c>
      <c r="FA114" s="71">
        <v>2.744154619604968E-6</v>
      </c>
      <c r="FB114" s="21">
        <v>1537.6493038446686</v>
      </c>
      <c r="FC114" s="82">
        <v>80951.341563025548</v>
      </c>
      <c r="FD114" s="82">
        <v>2094.0856057837377</v>
      </c>
      <c r="FE114" s="83">
        <v>1.4172506691092213E-4</v>
      </c>
      <c r="FF114" s="84">
        <v>2.744154619604968E-3</v>
      </c>
      <c r="FG114" s="26">
        <v>43910</v>
      </c>
      <c r="FH114" s="25" t="s">
        <v>1032</v>
      </c>
      <c r="FI114" s="84"/>
      <c r="FJ114" s="84">
        <v>81250</v>
      </c>
      <c r="FK114" s="25" t="s">
        <v>670</v>
      </c>
      <c r="FL114" s="26">
        <v>43910</v>
      </c>
      <c r="FM114" s="25">
        <v>59</v>
      </c>
      <c r="FN114" s="25" t="s">
        <v>1031</v>
      </c>
      <c r="FO114"/>
      <c r="FP114" s="25" t="s">
        <v>672</v>
      </c>
      <c r="FR114" s="25" t="s">
        <v>1058</v>
      </c>
      <c r="FS114" s="19">
        <v>564.50120087504206</v>
      </c>
      <c r="FT114" s="72">
        <v>43886</v>
      </c>
      <c r="FU114" s="25">
        <v>25</v>
      </c>
      <c r="FV114" s="142">
        <v>43875</v>
      </c>
      <c r="FW114" s="25">
        <v>36</v>
      </c>
    </row>
    <row r="115" spans="2:222" x14ac:dyDescent="0.25">
      <c r="B115" s="26">
        <f t="shared" si="4"/>
        <v>44142</v>
      </c>
      <c r="L115" s="12" t="str">
        <f>IF(ISNUMBER(tblData[[#This Row],[NSW]]),tblData[[#This Row],[New South Wales]]/$L$9,"")</f>
        <v/>
      </c>
      <c r="N115" s="44" t="str">
        <f>IF(ISNUMBER(tblData[Italy]),tblData[Italy]/$N$9,"")</f>
        <v/>
      </c>
      <c r="P115" s="106" t="str">
        <f>IF(ISNUMBER(tblData[US]),tblData[US]/$P$9,"")</f>
        <v/>
      </c>
      <c r="Q115" s="44"/>
      <c r="R115" s="19" t="str">
        <f>IF(ISNUMBER(tblData[SKorea]),tblData[SKorea]/$R$9,"")</f>
        <v/>
      </c>
      <c r="S115" s="44"/>
      <c r="T115" s="12" t="str">
        <f>IF(ISNUMBER(tblData[UK]),tblData[UK]/$T$9,"")</f>
        <v/>
      </c>
      <c r="V115" s="20" t="str">
        <f>IF(ISNUMBER(tblData[China]),tblData[China]/$V$9,"")</f>
        <v/>
      </c>
      <c r="W115" s="20"/>
      <c r="X115" s="20" t="str">
        <f>IF(ISNUMBER(tblData[Singapore]),tblData[Singapore]/$X$9,"")</f>
        <v/>
      </c>
      <c r="Y115" s="20"/>
      <c r="Z115" s="20" t="str">
        <f>IF(AND(LEN(tblData[Generic])&gt;0,ISNUMBER(tblData[Generic])),tblData[Generic]/$Z$9,"")</f>
        <v/>
      </c>
      <c r="AA115" s="25">
        <f ca="1">IF(tblData[[#This Row],[Date]]&lt;StartDt2Italy,"",tblData[[#This Row],[Date]]-ItalyStart)</f>
        <v>282</v>
      </c>
      <c r="AB115" s="25">
        <f ca="1">IF(tblData[[#This Row],[Date]]&lt;=StartDt2US,"",tblData[[#This Row],[Date]]-USStart)</f>
        <v>290</v>
      </c>
      <c r="AC115" s="25">
        <f ca="1">IF(tblData[[#This Row],[Date]]&lt;StartDt2China,"",tblData[[#This Row],[Date]]-ChinaStart)</f>
        <v>290</v>
      </c>
      <c r="AD115" s="25">
        <f>IF(tblData[[#This Row],[Date]]&lt;=SKoreaStart,"",tblData[[#This Row],[Date]]-SKoreaStart)</f>
        <v>290</v>
      </c>
      <c r="AE115" s="25">
        <f ca="1">IF(tblData[[#This Row],[Date]]&lt;=StartDt2UK,"",tblData[[#This Row],[Date]]-UKStart)</f>
        <v>282</v>
      </c>
      <c r="AF115" s="25">
        <f>IF(tblData[[#This Row],[Date]]&lt;StartDt2Singapore,"",tblData[[#This Row],[Date]]-SingaporeStart)</f>
        <v>289</v>
      </c>
      <c r="AG115" s="25">
        <f ca="1">IF(tblData[[#This Row],[Date]]&lt;StartDt2Generic,"",tblData[[#This Row],[Date]]-GenericStart)</f>
        <v>290</v>
      </c>
      <c r="AH115" s="25">
        <f ca="1">IF(tblData[Date]&gt;StartDt2Au,tblData[Date]-AuStart,"")</f>
        <v>287</v>
      </c>
      <c r="AI115" s="25">
        <f>IF(tblData[New South Wales]&gt;=0,SUM(tblData[[#This Row],[Australian Capital Territory]:[Western Australia]]),"")</f>
        <v>0</v>
      </c>
      <c r="AJ115" s="12">
        <f>IF(ISNUMBER(tblData[Au]),tblData[Au]/$AE$9,"")</f>
        <v>0</v>
      </c>
      <c r="AK115" s="39">
        <f ca="1">IF(ISNUMBER(tblData[[#This Row],[Day'# Aust]]),betaAu/(deltaAu+betaPodeltaAu*EXP(-betaAu*tblData[[#This Row],[Day'# Aust]])),"")</f>
        <v>6179.670690828204</v>
      </c>
      <c r="AL115" s="63">
        <f ca="1">IF(ISNUMBER(tblData[Day'# Aust]),tblData[Au LogiP(t)]/$AJ$9,"")</f>
        <v>2436.3943742423135</v>
      </c>
      <c r="AM115" s="11" t="str">
        <f ca="1">IF(AND(tblData[Date]&gt;StartDt2Au,ISNUMBER(tblData[NSW])),(tblData[[#This Row],[Au LogiP(t)]]-tblData[[#This Row],[Au]])^2,"")</f>
        <v/>
      </c>
      <c r="AN115" s="11">
        <f ca="1">IF(AND(ISNUMBER(tblData[Au]),tblData[Date]&gt;StartDt2Au),(tblData[Au]-AVERAGE(tblData[Au]))^2,"")</f>
        <v>196564.33811020709</v>
      </c>
      <c r="AO115" s="11">
        <f>tblData[[#This Row],[Date]]-Au100dt</f>
        <v>238</v>
      </c>
      <c r="AP115" s="25">
        <f ca="1">IF(tblData[Date]&gt;StartDt2NSW,tblData[Date]-StartDt2NSW,"")</f>
        <v>287</v>
      </c>
      <c r="AQ115" s="25" t="str">
        <f>IF(tblData[[#This Row],[New South Wales]]&gt;0,tblData[[#This Row],[New South Wales]],"")</f>
        <v/>
      </c>
      <c r="AR115" s="11">
        <f ca="1">IF(tblData[Date]&gt;StartDt2NSW,betaNSW/(deltaNSW+betaPodeltaNSW*EXP(-betaNSW*tblData[[#This Row],[Day '# NSW]])),"")</f>
        <v>3000.259969010252</v>
      </c>
      <c r="AS115" s="12" t="str">
        <f ca="1">IF(AND(ISNUMBER(tblData[NSW]),tblData[Date]&gt;StartDt2NSW),(tblData[[#This Row],[NSW LogiP(t)]]-tblData[[#This Row],[NSW]])^2,"")</f>
        <v/>
      </c>
      <c r="AT115" s="39">
        <f ca="1">IF(AND(tblData[Date]&gt;StartDt2NSW,ISNUMBER(tblData[Day'# Aust])),tblData[NSW LogiP(t)]/$AR$9,"")</f>
        <v>3713.1930309532818</v>
      </c>
      <c r="AU115" s="11">
        <f>tblData[[#This Row],[Date]]-NSW100dt+1</f>
        <v>242</v>
      </c>
      <c r="AV115" s="11" t="str">
        <f ca="1">IF(AND(ISNUMBER(tblData[NSW]),tblData[Date]&gt;StartDt2NSW),(tblData[NSW]-AVERAGE(tblData[NSW]))^2,"")</f>
        <v/>
      </c>
      <c r="AW115" s="39">
        <f ca="1">IF(AND(tblData[Date]&gt;StartDt2Italy,ISNUMBER(tblData[Days'# Italy])),betaItaly/(deltaItaly+betaPodeltaItaly*EXP(-betaItaly*tblData[Days'# Italy])),"")</f>
        <v>97269.773664435765</v>
      </c>
      <c r="AX115" s="11" t="str">
        <f ca="1">IF(AND(tblData[Date]&gt;StartDt2Italy,ISNUMBER(tblData[Italy])),(tblData[[#This Row],[Italy LogiP(t)]]-tblData[[#This Row],[Italy]])^2,"")</f>
        <v/>
      </c>
      <c r="AY115" s="39">
        <f ca="1">IF(AND(tblData[Date]&gt;StartDt2Italy,ISNUMBER(tblData[Days'# Italy])),tblData[[#This Row],[Italy LogiP(t)]]/$AW$9,"")</f>
        <v>16081.635721986569</v>
      </c>
      <c r="AZ115" s="39" t="str">
        <f ca="1">IF(AND(ISNUMBER(tblData[Italy]),tblData[Date]&gt;StartDt2Italy),(tblData[Italy]-AVERAGE(tblData[Italy]))^2,"")</f>
        <v/>
      </c>
      <c r="BA115" s="11">
        <f>tblData[[#This Row],[Date]]-Italy100dt+1</f>
        <v>255</v>
      </c>
      <c r="BB115" s="11">
        <f ca="1">IF(AND(tblData[Date]&gt;StartDt2US,ISNUMBER(tblData[[#This Row],[Days'# US]])),betaUS/(deltaUS+betaPodeltaUS*EXP(-betaUS*tblData[Days'# US])),"")</f>
        <v>633176.40153317607</v>
      </c>
      <c r="BC115" s="11" t="str">
        <f ca="1">IF(AND(tblData[Date]&gt;StartDt2US,ISNUMBER(tblData[US])),(tblData[[#This Row],[US LogiP(t)]]-tblData[US])^2,"")</f>
        <v/>
      </c>
      <c r="BD115" s="137">
        <f ca="1">IF(AND(tblData[Date]&gt;=StartDt2US,ISNUMBER(tblData[[#This Row],[Days'# US]])),tblData[[#This Row],[US LogiP(t)]]/$BB$9,"")</f>
        <v>19232.170107958522</v>
      </c>
      <c r="BE115" s="137" t="str">
        <f ca="1">IF(AND(ISNUMBER(tblData[US]),tblData[Date]&gt;StartDt2US),(tblData[US]-AVERAGE(tblData[US]))^2,"")</f>
        <v/>
      </c>
      <c r="BF115" s="11">
        <f>tblData[[#This Row],[Date]]-US100dt+1</f>
        <v>239</v>
      </c>
      <c r="BG115" s="20">
        <f ca="1">IF(tblData[Date]&gt;StartDt2SKorea,betaSKorea/(deltaSKorea+betaPodeltaSKorea*EXP(-betaSKorea*(tblData[Date]-StartDt2SKorea))),"")</f>
        <v>9037.3342829253143</v>
      </c>
      <c r="BH115" s="20" t="str">
        <f ca="1">IF(AND(tblData[Date]&gt;StartDt2SKorea,ISNUMBER(tblData[SKorea])),(tblData[[#This Row],[SKorea LogiP(t)]]-tblData[[#This Row],[SKorea]])^2,"")</f>
        <v/>
      </c>
      <c r="BI115" s="20">
        <f ca="1">IF(tblData[Date]&gt;StartDt2SKorea,tblData[[#This Row],[SKorea LogiP(t)]]/$BG$9,"")</f>
        <v>1758.2362418142636</v>
      </c>
      <c r="BJ115" s="137" t="str">
        <f ca="1">IF(AND(ISNUMBER(tblData[SKorea]),tblData[Date]&gt;StartDt2SKorea),(tblData[SKorea]-AVERAGE(tblData[SKorea]))^2,"")</f>
        <v/>
      </c>
      <c r="BK115" s="11">
        <f>tblData[[#This Row],[Date]]-SKorea100dt+1</f>
        <v>260</v>
      </c>
      <c r="BL115" s="137">
        <f ca="1">IF(AND(tblData[Date]&gt;StartDt2UK,ISNUMBER(tblData[Days'# UK])),betaUK/(deltaUK+betaPodeltaUK*EXP(-betaUK*tblData[Days'# UK])),"")</f>
        <v>74551.8422995648</v>
      </c>
      <c r="BM115" s="71" t="str">
        <f ca="1">IF(AND(tblData[Date]&gt;StartDt2UK,ISNUMBER(tblData[UK])),(tblData[[#This Row],[UK LogiP(t)]]-tblData[[#This Row],[UK]])^2,"")</f>
        <v/>
      </c>
      <c r="BN115" s="71">
        <f ca="1">IF(ISNUMBER(tblData[Days'# UK]),tblData[[#This Row],[UK LogiP(t)]]/$BL$9,"")</f>
        <v>11220.927498429379</v>
      </c>
      <c r="BO115" s="137" t="str">
        <f ca="1">IF(AND(ISNUMBER(tblData[UK]),tblData[Date]&gt;StartDt2UK),(tblData[UK]-AVERAGE(tblData[UK]))^2,"")</f>
        <v/>
      </c>
      <c r="BP115" s="11">
        <f>tblData[[#This Row],[Date]]-UK100dt</f>
        <v>240</v>
      </c>
      <c r="BQ115" s="11">
        <f ca="1">IF(ISNUMBER(tblData[Days'# China]),betaChina/(deltaChina+betaPodeltaChina*EXP(-betaChina*tblData[Days'# China])),"")</f>
        <v>81223.951297127758</v>
      </c>
      <c r="BR115" s="11" t="str">
        <f>IF(ISNUMBER(tblData[China]),(tblData[[#This Row],[China LogiP(t)]]-tblData[[#This Row],[China]])^2,"")</f>
        <v/>
      </c>
      <c r="BS115" s="11">
        <f ca="1">tblData[[#This Row],[China LogiP(t)]]/$BQ$9</f>
        <v>564.32022211747142</v>
      </c>
      <c r="BT115" s="137" t="str">
        <f ca="1">IF(AND(ISNUMBER(tblData[China]),tblData[Date]&gt;StartDt2China),(tblData[China]-AVERAGE(tblData[China]))^2,"")</f>
        <v/>
      </c>
      <c r="BU115" s="11">
        <f>tblData[[#This Row],[Date]]-China100dt</f>
        <v>290</v>
      </c>
      <c r="BV115" s="106">
        <f>IF(ISNUMBER(tblData[Day'# Singapore]),betaSingapore/(deltaSingapore+betaPodeltaSingapore*EXP(-betaSingapore*tblData[Day'# Singapore])),"")</f>
        <v>140717.02829858541</v>
      </c>
      <c r="BW115" s="11" t="str">
        <f>IF(AND(ISNUMBER(tblData[Singapore]),tblData[Date]&gt;=StartDt2Singapore),(tblData[[#This Row],[Singapore LogiP(t)]]-tblData[[#This Row],[Singapore]])^2,"")</f>
        <v/>
      </c>
      <c r="BX115" s="106">
        <f>IF(ISNUMBER(tblData[Day'# Singapore]),tblData[Singapore LogiP(t)]/$BV$9,"")</f>
        <v>240541.92871553064</v>
      </c>
      <c r="BY115" s="106" t="str">
        <f>IF(AND(ISNUMBER(tblData[Singapore]),tblData[Date]&gt;StartDt2Singapore),(tblData[Singapore]-AVERAGE(tblData[Singapore]))^2,"")</f>
        <v/>
      </c>
      <c r="BZ115" s="11">
        <f>tblData[[#This Row],[Date]]-Singapore100dt+1</f>
        <v>271</v>
      </c>
      <c r="CA115" s="11">
        <f ca="1">IF(AND(tblData[Date]&gt;StartDt2Generic,ISNUMBER(tblData[Day'# Generic])),betaGeneric/(deltaGeneric+betaPodeltaGeneric*EXP(-betaGeneric*tblData[Day'# Generic])),"")</f>
        <v>3547.52135303557</v>
      </c>
      <c r="CB115" s="106" t="str">
        <f ca="1">IF(AND(ISNUMBER(tblData[Generic]),tblData[Date]&gt;StartDt2Generic),(tblData[Generic LogiP(t)]-tblData[[#This Row],[Generic]])^2,"")</f>
        <v/>
      </c>
      <c r="CC115" s="11" t="str">
        <f ca="1">IF(AND(ISNUMBER(tblData[Generic]),tblData[Date]&gt;StartDt2Generic),tblData[Generic LogiP(t)]/$CA$9,"")</f>
        <v/>
      </c>
      <c r="CD115" s="106" t="str">
        <f ca="1">IF(AND(ISNUMBER(tblData[Generic]),tblData[Date]&gt;StartDt2Generic),(tblData[Generic]-AVERAGE(tblData[Generic]))^2,"")</f>
        <v/>
      </c>
      <c r="CE115" s="11">
        <f>tblData[[#This Row],[Date]]-Generic100dt+1</f>
        <v>232</v>
      </c>
      <c r="CF115" s="11"/>
      <c r="CG115" s="11"/>
      <c r="CH115" s="11" t="str">
        <f>IF(ISNUMBER(tblData[[#This Row],[Tests]]),tblData[[#This Row],[Tests]]-CF114,"")</f>
        <v/>
      </c>
      <c r="CI115" s="11" t="str">
        <f>IF(ISNUMBER(tblData[[#This Row],[NSW Under Investigation'']]),tblData[[#This Row],[NSW Under Investigation'']]-CG114,"")</f>
        <v/>
      </c>
      <c r="CJ115" s="11">
        <f>IF(tblData[[#This Row],[Date]]&gt;myData!TestsStart,tblData[[#This Row],[Date]]-myData!TestsStart,"")</f>
        <v>247</v>
      </c>
      <c r="CK115" s="11">
        <f>IF(AND(tblData[[#This Row],[NSW Test Day Number]]&gt;0,ISNUMBER(tblData[[#This Row],[NSW Test Day Number]])),betaTests/(deltaTests+betaPodeltaTests*EXP(-betaTests*tblData[[#This Row],[NSW Test Day Number]])),"")</f>
        <v>127232.33861535614</v>
      </c>
      <c r="CL115" s="11" t="str">
        <f>IF(tblData[Tests]&gt;0,(tblData[[#This Row],[Tests]]-tblData[[#This Row],[NSW Test Logi]])^2,"")</f>
        <v/>
      </c>
      <c r="CM115" s="106" t="str">
        <f>IF(AND(ISNUMBER(tblData[Tests]),tblData[Date]&gt;StartDt2Tests),(tblData[Tests]-AVERAGE(tblData[Tests]))^2,"")</f>
        <v/>
      </c>
      <c r="CN115" s="11" t="str">
        <f>IF(ISNUMBER(tblData[Tests]),tblData[Tests]/$CN$9/100,"")</f>
        <v/>
      </c>
      <c r="CO115" s="106">
        <f ca="1">IF(AND(tblData[[#This Row],[NSW Test Day Number]]&gt;0,ISNUMBER(tblData[[#This Row],[NSW Test Day Number]])),TestsLogestB*TestsLogestM^tblData[[#This Row],[NSW Test Day Number]],"")</f>
        <v>1.3548795352130988E+16</v>
      </c>
      <c r="CP115" s="11" t="str">
        <f>IF(AND(tblData[[#This Row],[NSW Test Day Number]]&gt;0,ISNUMBER(tblData[Tests])),(tblData[Tests]-tblData[[#This Row],[NSW Test Per Capita]])^2,"")</f>
        <v/>
      </c>
      <c r="CQ115" s="39">
        <f ca="1">IF(AND(tblData[Day '# NSW]&gt;0,ISNUMBER(tblData[[#This Row],[Day '# NSW]])),NSWLogestB*NSWLogestM^tblData[[#This Row],[Day '# NSW]]/$CR$9,"")</f>
        <v>21585263942988.262</v>
      </c>
      <c r="CR115" s="39" t="str">
        <f ca="1">IF(AND(ISNUMBER(tblData[NSW]),tblData[Date]&gt;StartDt2NSW),(tblData[NSW]/$CR$9-tblData[[#This Row],[NSW Cases LogEst]])^2,"")</f>
        <v/>
      </c>
      <c r="CS115" s="106"/>
      <c r="CT115" s="11"/>
      <c r="CW115" s="25"/>
      <c r="CX115"/>
      <c r="DL115" s="25"/>
      <c r="DR115"/>
      <c r="DS115"/>
      <c r="DT115"/>
      <c r="DU115"/>
      <c r="DW115" s="25"/>
      <c r="DX115" s="25"/>
      <c r="EB115" s="25"/>
      <c r="EC115" s="25"/>
      <c r="ED115" s="25"/>
      <c r="EE115" s="25"/>
      <c r="EK115"/>
      <c r="EL115"/>
      <c r="EM115"/>
      <c r="EN115"/>
      <c r="EO115"/>
      <c r="EP115"/>
      <c r="EQ115"/>
      <c r="ER115"/>
      <c r="ES115"/>
      <c r="ET115"/>
      <c r="EU115" s="25" t="s">
        <v>176</v>
      </c>
      <c r="EV115" s="69">
        <v>43912.32671296296</v>
      </c>
      <c r="EW115" s="26">
        <v>43852</v>
      </c>
      <c r="EX115" s="26">
        <v>43852</v>
      </c>
      <c r="EY115" s="25">
        <v>4</v>
      </c>
      <c r="EZ115" s="25">
        <v>0.2221429979133962</v>
      </c>
      <c r="FA115" s="71">
        <v>2.7441363716222279E-6</v>
      </c>
      <c r="FB115" s="21">
        <v>1537.6493038446686</v>
      </c>
      <c r="FC115" s="82">
        <v>80951.879873985206</v>
      </c>
      <c r="FD115" s="82">
        <v>2077.0848925572823</v>
      </c>
      <c r="FE115" s="83">
        <v>1.4172508515890487E-4</v>
      </c>
      <c r="FF115" s="84">
        <v>2.7441363716222281E-3</v>
      </c>
      <c r="FG115" s="26">
        <v>43911</v>
      </c>
      <c r="FH115" s="25" t="s">
        <v>1032</v>
      </c>
      <c r="FI115" s="84"/>
      <c r="FJ115" s="84">
        <v>81304</v>
      </c>
      <c r="FK115" s="25" t="s">
        <v>670</v>
      </c>
      <c r="FL115" s="26">
        <v>43911</v>
      </c>
      <c r="FM115" s="25">
        <v>60</v>
      </c>
      <c r="FN115" s="25" t="s">
        <v>1031</v>
      </c>
      <c r="FO115"/>
      <c r="FP115" s="25" t="s">
        <v>672</v>
      </c>
      <c r="FQ115"/>
      <c r="FR115" s="25" t="s">
        <v>1075</v>
      </c>
      <c r="FS115" s="19">
        <v>564.87637705777752</v>
      </c>
      <c r="FT115" s="72">
        <v>43886</v>
      </c>
      <c r="FU115" s="25">
        <v>25</v>
      </c>
      <c r="FV115" s="142">
        <v>43875</v>
      </c>
      <c r="FW115" s="25">
        <v>37</v>
      </c>
    </row>
    <row r="116" spans="2:222" x14ac:dyDescent="0.25">
      <c r="B116" s="26">
        <f t="shared" si="4"/>
        <v>44149</v>
      </c>
      <c r="L116" s="12" t="str">
        <f>IF(ISNUMBER(tblData[[#This Row],[NSW]]),tblData[[#This Row],[New South Wales]]/$L$9,"")</f>
        <v/>
      </c>
      <c r="N116" s="44" t="str">
        <f>IF(ISNUMBER(tblData[Italy]),tblData[Italy]/$N$9,"")</f>
        <v/>
      </c>
      <c r="P116" s="106" t="str">
        <f>IF(ISNUMBER(tblData[US]),tblData[US]/$P$9,"")</f>
        <v/>
      </c>
      <c r="Q116" s="44"/>
      <c r="R116" s="19" t="str">
        <f>IF(ISNUMBER(tblData[SKorea]),tblData[SKorea]/$R$9,"")</f>
        <v/>
      </c>
      <c r="S116" s="44"/>
      <c r="T116" s="12" t="str">
        <f>IF(ISNUMBER(tblData[UK]),tblData[UK]/$T$9,"")</f>
        <v/>
      </c>
      <c r="V116" s="20" t="str">
        <f>IF(ISNUMBER(tblData[China]),tblData[China]/$V$9,"")</f>
        <v/>
      </c>
      <c r="W116" s="20"/>
      <c r="X116" s="20" t="str">
        <f>IF(ISNUMBER(tblData[Singapore]),tblData[Singapore]/$X$9,"")</f>
        <v/>
      </c>
      <c r="Y116" s="20"/>
      <c r="Z116" s="20" t="str">
        <f>IF(AND(LEN(tblData[Generic])&gt;0,ISNUMBER(tblData[Generic])),tblData[Generic]/$Z$9,"")</f>
        <v/>
      </c>
      <c r="AA116" s="25">
        <f ca="1">IF(tblData[[#This Row],[Date]]&lt;StartDt2Italy,"",tblData[[#This Row],[Date]]-ItalyStart)</f>
        <v>289</v>
      </c>
      <c r="AB116" s="25">
        <f ca="1">IF(tblData[[#This Row],[Date]]&lt;=StartDt2US,"",tblData[[#This Row],[Date]]-USStart)</f>
        <v>297</v>
      </c>
      <c r="AC116" s="25">
        <f ca="1">IF(tblData[[#This Row],[Date]]&lt;StartDt2China,"",tblData[[#This Row],[Date]]-ChinaStart)</f>
        <v>297</v>
      </c>
      <c r="AD116" s="25">
        <f>IF(tblData[[#This Row],[Date]]&lt;=SKoreaStart,"",tblData[[#This Row],[Date]]-SKoreaStart)</f>
        <v>297</v>
      </c>
      <c r="AE116" s="25">
        <f ca="1">IF(tblData[[#This Row],[Date]]&lt;=StartDt2UK,"",tblData[[#This Row],[Date]]-UKStart)</f>
        <v>289</v>
      </c>
      <c r="AF116" s="25">
        <f>IF(tblData[[#This Row],[Date]]&lt;StartDt2Singapore,"",tblData[[#This Row],[Date]]-SingaporeStart)</f>
        <v>296</v>
      </c>
      <c r="AG116" s="25">
        <f ca="1">IF(tblData[[#This Row],[Date]]&lt;StartDt2Generic,"",tblData[[#This Row],[Date]]-GenericStart)</f>
        <v>297</v>
      </c>
      <c r="AH116" s="25">
        <f ca="1">IF(tblData[Date]&gt;StartDt2Au,tblData[Date]-AuStart,"")</f>
        <v>294</v>
      </c>
      <c r="AI116" s="25">
        <f>IF(tblData[New South Wales]&gt;=0,SUM(tblData[[#This Row],[Australian Capital Territory]:[Western Australia]]),"")</f>
        <v>0</v>
      </c>
      <c r="AJ116" s="12">
        <f>IF(ISNUMBER(tblData[Au]),tblData[Au]/$AE$9,"")</f>
        <v>0</v>
      </c>
      <c r="AK116" s="39">
        <f ca="1">IF(ISNUMBER(tblData[[#This Row],[Day'# Aust]]),betaAu/(deltaAu+betaPodeltaAu*EXP(-betaAu*tblData[[#This Row],[Day'# Aust]])),"")</f>
        <v>6179.670690828204</v>
      </c>
      <c r="AL116" s="63">
        <f ca="1">IF(ISNUMBER(tblData[Day'# Aust]),tblData[Au LogiP(t)]/$AJ$9,"")</f>
        <v>2436.3943742423135</v>
      </c>
      <c r="AM116" s="11" t="str">
        <f ca="1">IF(AND(tblData[Date]&gt;StartDt2Au,ISNUMBER(tblData[NSW])),(tblData[[#This Row],[Au LogiP(t)]]-tblData[[#This Row],[Au]])^2,"")</f>
        <v/>
      </c>
      <c r="AN116" s="11">
        <f ca="1">IF(AND(ISNUMBER(tblData[Au]),tblData[Date]&gt;StartDt2Au),(tblData[Au]-AVERAGE(tblData[Au]))^2,"")</f>
        <v>196564.33811020709</v>
      </c>
      <c r="AO116" s="11">
        <f>tblData[[#This Row],[Date]]-Au100dt</f>
        <v>245</v>
      </c>
      <c r="AP116" s="25">
        <f ca="1">IF(tblData[Date]&gt;StartDt2NSW,tblData[Date]-StartDt2NSW,"")</f>
        <v>294</v>
      </c>
      <c r="AQ116" s="25" t="str">
        <f>IF(tblData[[#This Row],[New South Wales]]&gt;0,tblData[[#This Row],[New South Wales]],"")</f>
        <v/>
      </c>
      <c r="AR116" s="11">
        <f ca="1">IF(tblData[Date]&gt;StartDt2NSW,betaNSW/(deltaNSW+betaPodeltaNSW*EXP(-betaNSW*tblData[[#This Row],[Day '# NSW]])),"")</f>
        <v>3000.259969010252</v>
      </c>
      <c r="AS116" s="12" t="str">
        <f ca="1">IF(AND(ISNUMBER(tblData[NSW]),tblData[Date]&gt;StartDt2NSW),(tblData[[#This Row],[NSW LogiP(t)]]-tblData[[#This Row],[NSW]])^2,"")</f>
        <v/>
      </c>
      <c r="AT116" s="39">
        <f ca="1">IF(AND(tblData[Date]&gt;StartDt2NSW,ISNUMBER(tblData[Day'# Aust])),tblData[NSW LogiP(t)]/$AR$9,"")</f>
        <v>3713.1930309532818</v>
      </c>
      <c r="AU116" s="11">
        <f>tblData[[#This Row],[Date]]-NSW100dt+1</f>
        <v>249</v>
      </c>
      <c r="AV116" s="11" t="str">
        <f ca="1">IF(AND(ISNUMBER(tblData[NSW]),tblData[Date]&gt;StartDt2NSW),(tblData[NSW]-AVERAGE(tblData[NSW]))^2,"")</f>
        <v/>
      </c>
      <c r="AW116" s="39">
        <f ca="1">IF(AND(tblData[Date]&gt;StartDt2Italy,ISNUMBER(tblData[Days'# Italy])),betaItaly/(deltaItaly+betaPodeltaItaly*EXP(-betaItaly*tblData[Days'# Italy])),"")</f>
        <v>97269.773664435765</v>
      </c>
      <c r="AX116" s="11" t="str">
        <f ca="1">IF(AND(tblData[Date]&gt;StartDt2Italy,ISNUMBER(tblData[Italy])),(tblData[[#This Row],[Italy LogiP(t)]]-tblData[[#This Row],[Italy]])^2,"")</f>
        <v/>
      </c>
      <c r="AY116" s="39">
        <f ca="1">IF(AND(tblData[Date]&gt;StartDt2Italy,ISNUMBER(tblData[Days'# Italy])),tblData[[#This Row],[Italy LogiP(t)]]/$AW$9,"")</f>
        <v>16081.635721986569</v>
      </c>
      <c r="AZ116" s="39" t="str">
        <f ca="1">IF(AND(ISNUMBER(tblData[Italy]),tblData[Date]&gt;StartDt2Italy),(tblData[Italy]-AVERAGE(tblData[Italy]))^2,"")</f>
        <v/>
      </c>
      <c r="BA116" s="11">
        <f>tblData[[#This Row],[Date]]-Italy100dt+1</f>
        <v>262</v>
      </c>
      <c r="BB116" s="11">
        <f ca="1">IF(AND(tblData[Date]&gt;StartDt2US,ISNUMBER(tblData[[#This Row],[Days'# US]])),betaUS/(deltaUS+betaPodeltaUS*EXP(-betaUS*tblData[Days'# US])),"")</f>
        <v>633176.40153317607</v>
      </c>
      <c r="BC116" s="11" t="str">
        <f ca="1">IF(AND(tblData[Date]&gt;StartDt2US,ISNUMBER(tblData[US])),(tblData[[#This Row],[US LogiP(t)]]-tblData[US])^2,"")</f>
        <v/>
      </c>
      <c r="BD116" s="137">
        <f ca="1">IF(AND(tblData[Date]&gt;=StartDt2US,ISNUMBER(tblData[[#This Row],[Days'# US]])),tblData[[#This Row],[US LogiP(t)]]/$BB$9,"")</f>
        <v>19232.170107958522</v>
      </c>
      <c r="BE116" s="137" t="str">
        <f ca="1">IF(AND(ISNUMBER(tblData[US]),tblData[Date]&gt;StartDt2US),(tblData[US]-AVERAGE(tblData[US]))^2,"")</f>
        <v/>
      </c>
      <c r="BF116" s="11">
        <f>tblData[[#This Row],[Date]]-US100dt+1</f>
        <v>246</v>
      </c>
      <c r="BG116" s="20">
        <f ca="1">IF(tblData[Date]&gt;StartDt2SKorea,betaSKorea/(deltaSKorea+betaPodeltaSKorea*EXP(-betaSKorea*(tblData[Date]-StartDt2SKorea))),"")</f>
        <v>9037.3342829253143</v>
      </c>
      <c r="BH116" s="20" t="str">
        <f ca="1">IF(AND(tblData[Date]&gt;StartDt2SKorea,ISNUMBER(tblData[SKorea])),(tblData[[#This Row],[SKorea LogiP(t)]]-tblData[[#This Row],[SKorea]])^2,"")</f>
        <v/>
      </c>
      <c r="BI116" s="20">
        <f ca="1">IF(tblData[Date]&gt;StartDt2SKorea,tblData[[#This Row],[SKorea LogiP(t)]]/$BG$9,"")</f>
        <v>1758.2362418142636</v>
      </c>
      <c r="BJ116" s="137" t="str">
        <f ca="1">IF(AND(ISNUMBER(tblData[SKorea]),tblData[Date]&gt;StartDt2SKorea),(tblData[SKorea]-AVERAGE(tblData[SKorea]))^2,"")</f>
        <v/>
      </c>
      <c r="BK116" s="11">
        <f>tblData[[#This Row],[Date]]-SKorea100dt+1</f>
        <v>267</v>
      </c>
      <c r="BL116" s="137">
        <f ca="1">IF(AND(tblData[Date]&gt;StartDt2UK,ISNUMBER(tblData[Days'# UK])),betaUK/(deltaUK+betaPodeltaUK*EXP(-betaUK*tblData[Days'# UK])),"")</f>
        <v>74551.8422995648</v>
      </c>
      <c r="BM116" s="71" t="str">
        <f ca="1">IF(AND(tblData[Date]&gt;StartDt2UK,ISNUMBER(tblData[UK])),(tblData[[#This Row],[UK LogiP(t)]]-tblData[[#This Row],[UK]])^2,"")</f>
        <v/>
      </c>
      <c r="BN116" s="71">
        <f ca="1">IF(ISNUMBER(tblData[Days'# UK]),tblData[[#This Row],[UK LogiP(t)]]/$BL$9,"")</f>
        <v>11220.927498429379</v>
      </c>
      <c r="BO116" s="137" t="str">
        <f ca="1">IF(AND(ISNUMBER(tblData[UK]),tblData[Date]&gt;StartDt2UK),(tblData[UK]-AVERAGE(tblData[UK]))^2,"")</f>
        <v/>
      </c>
      <c r="BP116" s="11">
        <f>tblData[[#This Row],[Date]]-UK100dt</f>
        <v>247</v>
      </c>
      <c r="BQ116" s="11">
        <f ca="1">IF(ISNUMBER(tblData[Days'# China]),betaChina/(deltaChina+betaPodeltaChina*EXP(-betaChina*tblData[Days'# China])),"")</f>
        <v>81223.951297127758</v>
      </c>
      <c r="BR116" s="11" t="str">
        <f>IF(ISNUMBER(tblData[China]),(tblData[[#This Row],[China LogiP(t)]]-tblData[[#This Row],[China]])^2,"")</f>
        <v/>
      </c>
      <c r="BS116" s="11">
        <f ca="1">tblData[[#This Row],[China LogiP(t)]]/$BQ$9</f>
        <v>564.32022211747142</v>
      </c>
      <c r="BT116" s="137" t="str">
        <f ca="1">IF(AND(ISNUMBER(tblData[China]),tblData[Date]&gt;StartDt2China),(tblData[China]-AVERAGE(tblData[China]))^2,"")</f>
        <v/>
      </c>
      <c r="BU116" s="11">
        <f>tblData[[#This Row],[Date]]-China100dt</f>
        <v>297</v>
      </c>
      <c r="BV116" s="106">
        <f>IF(ISNUMBER(tblData[Day'# Singapore]),betaSingapore/(deltaSingapore+betaPodeltaSingapore*EXP(-betaSingapore*tblData[Day'# Singapore])),"")</f>
        <v>140717.23016200823</v>
      </c>
      <c r="BW116" s="11" t="str">
        <f>IF(AND(ISNUMBER(tblData[Singapore]),tblData[Date]&gt;=StartDt2Singapore),(tblData[[#This Row],[Singapore LogiP(t)]]-tblData[[#This Row],[Singapore]])^2,"")</f>
        <v/>
      </c>
      <c r="BX116" s="106">
        <f>IF(ISNUMBER(tblData[Day'# Singapore]),tblData[Singapore LogiP(t)]/$BV$9,"")</f>
        <v>240542.27378121065</v>
      </c>
      <c r="BY116" s="106" t="str">
        <f>IF(AND(ISNUMBER(tblData[Singapore]),tblData[Date]&gt;StartDt2Singapore),(tblData[Singapore]-AVERAGE(tblData[Singapore]))^2,"")</f>
        <v/>
      </c>
      <c r="BZ116" s="11">
        <f>tblData[[#This Row],[Date]]-Singapore100dt+1</f>
        <v>278</v>
      </c>
      <c r="CA116" s="11">
        <f ca="1">IF(AND(tblData[Date]&gt;StartDt2Generic,ISNUMBER(tblData[Day'# Generic])),betaGeneric/(deltaGeneric+betaPodeltaGeneric*EXP(-betaGeneric*tblData[Day'# Generic])),"")</f>
        <v>3547.52135303557</v>
      </c>
      <c r="CB116" s="106" t="str">
        <f ca="1">IF(AND(ISNUMBER(tblData[Generic]),tblData[Date]&gt;StartDt2Generic),(tblData[Generic LogiP(t)]-tblData[[#This Row],[Generic]])^2,"")</f>
        <v/>
      </c>
      <c r="CC116" s="11" t="str">
        <f ca="1">IF(AND(ISNUMBER(tblData[Generic]),tblData[Date]&gt;StartDt2Generic),tblData[Generic LogiP(t)]/$CA$9,"")</f>
        <v/>
      </c>
      <c r="CD116" s="106" t="str">
        <f ca="1">IF(AND(ISNUMBER(tblData[Generic]),tblData[Date]&gt;StartDt2Generic),(tblData[Generic]-AVERAGE(tblData[Generic]))^2,"")</f>
        <v/>
      </c>
      <c r="CE116" s="11">
        <f>tblData[[#This Row],[Date]]-Generic100dt+1</f>
        <v>239</v>
      </c>
      <c r="CF116" s="11"/>
      <c r="CG116" s="11"/>
      <c r="CH116" s="11" t="str">
        <f>IF(ISNUMBER(tblData[[#This Row],[Tests]]),tblData[[#This Row],[Tests]]-CF115,"")</f>
        <v/>
      </c>
      <c r="CI116" s="11" t="str">
        <f>IF(ISNUMBER(tblData[[#This Row],[NSW Under Investigation'']]),tblData[[#This Row],[NSW Under Investigation'']]-CG115,"")</f>
        <v/>
      </c>
      <c r="CJ116" s="11">
        <f>IF(tblData[[#This Row],[Date]]&gt;myData!TestsStart,tblData[[#This Row],[Date]]-myData!TestsStart,"")</f>
        <v>254</v>
      </c>
      <c r="CK116" s="11">
        <f>IF(AND(tblData[[#This Row],[NSW Test Day Number]]&gt;0,ISNUMBER(tblData[[#This Row],[NSW Test Day Number]])),betaTests/(deltaTests+betaPodeltaTests*EXP(-betaTests*tblData[[#This Row],[NSW Test Day Number]])),"")</f>
        <v>127232.33861535614</v>
      </c>
      <c r="CL116" s="11" t="str">
        <f>IF(tblData[Tests]&gt;0,(tblData[[#This Row],[Tests]]-tblData[[#This Row],[NSW Test Logi]])^2,"")</f>
        <v/>
      </c>
      <c r="CM116" s="106" t="str">
        <f>IF(AND(ISNUMBER(tblData[Tests]),tblData[Date]&gt;StartDt2Tests),(tblData[Tests]-AVERAGE(tblData[Tests]))^2,"")</f>
        <v/>
      </c>
      <c r="CN116" s="11" t="str">
        <f>IF(ISNUMBER(tblData[Tests]),tblData[Tests]/$CN$9/100,"")</f>
        <v/>
      </c>
      <c r="CO116" s="106">
        <f ca="1">IF(AND(tblData[[#This Row],[NSW Test Day Number]]&gt;0,ISNUMBER(tblData[[#This Row],[NSW Test Day Number]])),TestsLogestB*TestsLogestM^tblData[[#This Row],[NSW Test Day Number]],"")</f>
        <v>3.0335982967318948E+16</v>
      </c>
      <c r="CP116" s="11" t="str">
        <f>IF(AND(tblData[[#This Row],[NSW Test Day Number]]&gt;0,ISNUMBER(tblData[Tests])),(tblData[Tests]-tblData[[#This Row],[NSW Test Per Capita]])^2,"")</f>
        <v/>
      </c>
      <c r="CQ116" s="39">
        <f ca="1">IF(AND(tblData[Day '# NSW]&gt;0,ISNUMBER(tblData[[#This Row],[Day '# NSW]])),NSWLogestB*NSWLogestM^tblData[[#This Row],[Day '# NSW]]/$CR$9,"")</f>
        <v>45651657216536.258</v>
      </c>
      <c r="CR116" s="39" t="str">
        <f ca="1">IF(AND(ISNUMBER(tblData[NSW]),tblData[Date]&gt;StartDt2NSW),(tblData[NSW]/$CR$9-tblData[[#This Row],[NSW Cases LogEst]])^2,"")</f>
        <v/>
      </c>
      <c r="CS116" s="106"/>
      <c r="CT116" s="11"/>
      <c r="CW116" s="25"/>
      <c r="CX116"/>
      <c r="DL116" s="25"/>
      <c r="DR116"/>
      <c r="DS116"/>
      <c r="DT116"/>
      <c r="DU116"/>
      <c r="DW116" s="25"/>
      <c r="DX116" s="25"/>
      <c r="EB116" s="25"/>
      <c r="EC116" s="25"/>
      <c r="ED116" s="25"/>
      <c r="EE116" s="25"/>
      <c r="EK116"/>
      <c r="EL116"/>
      <c r="EM116"/>
      <c r="EN116"/>
      <c r="EO116"/>
      <c r="EP116"/>
      <c r="EQ116"/>
      <c r="ER116"/>
      <c r="ES116"/>
      <c r="ET116"/>
      <c r="EU116" s="25" t="s">
        <v>176</v>
      </c>
      <c r="EV116" s="69">
        <v>43912.588449074072</v>
      </c>
      <c r="EW116" s="26">
        <v>43852</v>
      </c>
      <c r="EX116" s="26">
        <v>43852</v>
      </c>
      <c r="EY116" s="25">
        <v>4</v>
      </c>
      <c r="EZ116" s="25">
        <v>0.2221429979133962</v>
      </c>
      <c r="FA116" s="71">
        <v>2.744135355706393E-6</v>
      </c>
      <c r="FB116" s="21">
        <v>1537.6493038446686</v>
      </c>
      <c r="FC116" s="82">
        <v>80951.909843460453</v>
      </c>
      <c r="FD116" s="82">
        <v>2077.087790047718</v>
      </c>
      <c r="FE116" s="83">
        <v>1.4172508617482069E-4</v>
      </c>
      <c r="FF116" s="84">
        <v>2.7441353557063931E-3</v>
      </c>
      <c r="FG116" s="26">
        <v>43911</v>
      </c>
      <c r="FH116" s="25" t="s">
        <v>1032</v>
      </c>
      <c r="FI116" s="84"/>
      <c r="FJ116" s="84">
        <v>81305</v>
      </c>
      <c r="FK116" s="25" t="s">
        <v>670</v>
      </c>
      <c r="FL116" s="26">
        <v>43911</v>
      </c>
      <c r="FM116" s="25">
        <v>60</v>
      </c>
      <c r="FN116" s="25" t="s">
        <v>1031</v>
      </c>
      <c r="FO116" s="25"/>
      <c r="FP116" s="25" t="s">
        <v>672</v>
      </c>
      <c r="FR116" s="25" t="s">
        <v>1075</v>
      </c>
      <c r="FS116" s="19">
        <v>564.88332476486516</v>
      </c>
      <c r="FT116" s="72">
        <v>43912</v>
      </c>
      <c r="FU116" s="25">
        <v>0</v>
      </c>
      <c r="FV116" s="142">
        <v>43878</v>
      </c>
      <c r="FW116" s="25">
        <v>34</v>
      </c>
      <c r="FZ116" s="25"/>
      <c r="GA116" s="25"/>
      <c r="GB116" s="25"/>
      <c r="GC116" s="25"/>
      <c r="GD116" s="25"/>
    </row>
    <row r="117" spans="2:222" x14ac:dyDescent="0.25">
      <c r="B117" s="26">
        <f t="shared" si="4"/>
        <v>44156</v>
      </c>
      <c r="L117" s="12" t="str">
        <f>IF(ISNUMBER(tblData[[#This Row],[NSW]]),tblData[[#This Row],[New South Wales]]/$L$9,"")</f>
        <v/>
      </c>
      <c r="N117" s="44" t="str">
        <f>IF(ISNUMBER(tblData[Italy]),tblData[Italy]/$N$9,"")</f>
        <v/>
      </c>
      <c r="P117" s="106" t="str">
        <f>IF(ISNUMBER(tblData[US]),tblData[US]/$P$9,"")</f>
        <v/>
      </c>
      <c r="Q117" s="44"/>
      <c r="R117" s="19" t="str">
        <f>IF(ISNUMBER(tblData[SKorea]),tblData[SKorea]/$R$9,"")</f>
        <v/>
      </c>
      <c r="S117" s="44"/>
      <c r="T117" s="12" t="str">
        <f>IF(ISNUMBER(tblData[UK]),tblData[UK]/$T$9,"")</f>
        <v/>
      </c>
      <c r="V117" s="20" t="str">
        <f>IF(ISNUMBER(tblData[China]),tblData[China]/$V$9,"")</f>
        <v/>
      </c>
      <c r="W117" s="20"/>
      <c r="X117" s="20" t="str">
        <f>IF(ISNUMBER(tblData[Singapore]),tblData[Singapore]/$X$9,"")</f>
        <v/>
      </c>
      <c r="Y117" s="20"/>
      <c r="Z117" s="20" t="str">
        <f>IF(AND(LEN(tblData[Generic])&gt;0,ISNUMBER(tblData[Generic])),tblData[Generic]/$Z$9,"")</f>
        <v/>
      </c>
      <c r="AA117" s="25">
        <f ca="1">IF(tblData[[#This Row],[Date]]&lt;StartDt2Italy,"",tblData[[#This Row],[Date]]-ItalyStart)</f>
        <v>296</v>
      </c>
      <c r="AB117" s="25">
        <f ca="1">IF(tblData[[#This Row],[Date]]&lt;=StartDt2US,"",tblData[[#This Row],[Date]]-USStart)</f>
        <v>304</v>
      </c>
      <c r="AC117" s="25">
        <f ca="1">IF(tblData[[#This Row],[Date]]&lt;StartDt2China,"",tblData[[#This Row],[Date]]-ChinaStart)</f>
        <v>304</v>
      </c>
      <c r="AD117" s="25">
        <f>IF(tblData[[#This Row],[Date]]&lt;=SKoreaStart,"",tblData[[#This Row],[Date]]-SKoreaStart)</f>
        <v>304</v>
      </c>
      <c r="AE117" s="25">
        <f ca="1">IF(tblData[[#This Row],[Date]]&lt;=StartDt2UK,"",tblData[[#This Row],[Date]]-UKStart)</f>
        <v>296</v>
      </c>
      <c r="AF117" s="25">
        <f>IF(tblData[[#This Row],[Date]]&lt;StartDt2Singapore,"",tblData[[#This Row],[Date]]-SingaporeStart)</f>
        <v>303</v>
      </c>
      <c r="AG117" s="25">
        <f ca="1">IF(tblData[[#This Row],[Date]]&lt;StartDt2Generic,"",tblData[[#This Row],[Date]]-GenericStart)</f>
        <v>304</v>
      </c>
      <c r="AH117" s="25">
        <f ca="1">IF(tblData[Date]&gt;StartDt2Au,tblData[Date]-AuStart,"")</f>
        <v>301</v>
      </c>
      <c r="AI117" s="25">
        <f>IF(tblData[New South Wales]&gt;=0,SUM(tblData[[#This Row],[Australian Capital Territory]:[Western Australia]]),"")</f>
        <v>0</v>
      </c>
      <c r="AJ117" s="12">
        <f>IF(ISNUMBER(tblData[Au]),tblData[Au]/$AE$9,"")</f>
        <v>0</v>
      </c>
      <c r="AK117" s="39">
        <f ca="1">IF(ISNUMBER(tblData[[#This Row],[Day'# Aust]]),betaAu/(deltaAu+betaPodeltaAu*EXP(-betaAu*tblData[[#This Row],[Day'# Aust]])),"")</f>
        <v>6179.670690828204</v>
      </c>
      <c r="AL117" s="63">
        <f ca="1">IF(ISNUMBER(tblData[Day'# Aust]),tblData[Au LogiP(t)]/$AJ$9,"")</f>
        <v>2436.3943742423135</v>
      </c>
      <c r="AM117" s="11" t="str">
        <f ca="1">IF(AND(tblData[Date]&gt;StartDt2Au,ISNUMBER(tblData[NSW])),(tblData[[#This Row],[Au LogiP(t)]]-tblData[[#This Row],[Au]])^2,"")</f>
        <v/>
      </c>
      <c r="AN117" s="11">
        <f ca="1">IF(AND(ISNUMBER(tblData[Au]),tblData[Date]&gt;StartDt2Au),(tblData[Au]-AVERAGE(tblData[Au]))^2,"")</f>
        <v>196564.33811020709</v>
      </c>
      <c r="AO117" s="11">
        <f>tblData[[#This Row],[Date]]-Au100dt</f>
        <v>252</v>
      </c>
      <c r="AP117" s="25">
        <f ca="1">IF(tblData[Date]&gt;StartDt2NSW,tblData[Date]-StartDt2NSW,"")</f>
        <v>301</v>
      </c>
      <c r="AQ117" s="25" t="str">
        <f>IF(tblData[[#This Row],[New South Wales]]&gt;0,tblData[[#This Row],[New South Wales]],"")</f>
        <v/>
      </c>
      <c r="AR117" s="11">
        <f ca="1">IF(tblData[Date]&gt;StartDt2NSW,betaNSW/(deltaNSW+betaPodeltaNSW*EXP(-betaNSW*tblData[[#This Row],[Day '# NSW]])),"")</f>
        <v>3000.259969010252</v>
      </c>
      <c r="AS117" s="12" t="str">
        <f ca="1">IF(AND(ISNUMBER(tblData[NSW]),tblData[Date]&gt;StartDt2NSW),(tblData[[#This Row],[NSW LogiP(t)]]-tblData[[#This Row],[NSW]])^2,"")</f>
        <v/>
      </c>
      <c r="AT117" s="39">
        <f ca="1">IF(AND(tblData[Date]&gt;StartDt2NSW,ISNUMBER(tblData[Day'# Aust])),tblData[NSW LogiP(t)]/$AR$9,"")</f>
        <v>3713.1930309532818</v>
      </c>
      <c r="AU117" s="11">
        <f>tblData[[#This Row],[Date]]-NSW100dt+1</f>
        <v>256</v>
      </c>
      <c r="AV117" s="11" t="str">
        <f ca="1">IF(AND(ISNUMBER(tblData[NSW]),tblData[Date]&gt;StartDt2NSW),(tblData[NSW]-AVERAGE(tblData[NSW]))^2,"")</f>
        <v/>
      </c>
      <c r="AW117" s="39">
        <f ca="1">IF(AND(tblData[Date]&gt;StartDt2Italy,ISNUMBER(tblData[Days'# Italy])),betaItaly/(deltaItaly+betaPodeltaItaly*EXP(-betaItaly*tblData[Days'# Italy])),"")</f>
        <v>97269.773664435765</v>
      </c>
      <c r="AX117" s="11" t="str">
        <f ca="1">IF(AND(tblData[Date]&gt;StartDt2Italy,ISNUMBER(tblData[Italy])),(tblData[[#This Row],[Italy LogiP(t)]]-tblData[[#This Row],[Italy]])^2,"")</f>
        <v/>
      </c>
      <c r="AY117" s="39">
        <f ca="1">IF(AND(tblData[Date]&gt;StartDt2Italy,ISNUMBER(tblData[Days'# Italy])),tblData[[#This Row],[Italy LogiP(t)]]/$AW$9,"")</f>
        <v>16081.635721986569</v>
      </c>
      <c r="AZ117" s="39" t="str">
        <f ca="1">IF(AND(ISNUMBER(tblData[Italy]),tblData[Date]&gt;StartDt2Italy),(tblData[Italy]-AVERAGE(tblData[Italy]))^2,"")</f>
        <v/>
      </c>
      <c r="BA117" s="11">
        <f>tblData[[#This Row],[Date]]-Italy100dt+1</f>
        <v>269</v>
      </c>
      <c r="BB117" s="11">
        <f ca="1">IF(AND(tblData[Date]&gt;StartDt2US,ISNUMBER(tblData[[#This Row],[Days'# US]])),betaUS/(deltaUS+betaPodeltaUS*EXP(-betaUS*tblData[Days'# US])),"")</f>
        <v>633176.40153317607</v>
      </c>
      <c r="BC117" s="11" t="str">
        <f ca="1">IF(AND(tblData[Date]&gt;StartDt2US,ISNUMBER(tblData[US])),(tblData[[#This Row],[US LogiP(t)]]-tblData[US])^2,"")</f>
        <v/>
      </c>
      <c r="BD117" s="137">
        <f ca="1">IF(AND(tblData[Date]&gt;=StartDt2US,ISNUMBER(tblData[[#This Row],[Days'# US]])),tblData[[#This Row],[US LogiP(t)]]/$BB$9,"")</f>
        <v>19232.170107958522</v>
      </c>
      <c r="BE117" s="137" t="str">
        <f ca="1">IF(AND(ISNUMBER(tblData[US]),tblData[Date]&gt;StartDt2US),(tblData[US]-AVERAGE(tblData[US]))^2,"")</f>
        <v/>
      </c>
      <c r="BF117" s="11">
        <f>tblData[[#This Row],[Date]]-US100dt+1</f>
        <v>253</v>
      </c>
      <c r="BG117" s="20">
        <f ca="1">IF(tblData[Date]&gt;StartDt2SKorea,betaSKorea/(deltaSKorea+betaPodeltaSKorea*EXP(-betaSKorea*(tblData[Date]-StartDt2SKorea))),"")</f>
        <v>9037.3342829253143</v>
      </c>
      <c r="BH117" s="20" t="str">
        <f ca="1">IF(AND(tblData[Date]&gt;StartDt2SKorea,ISNUMBER(tblData[SKorea])),(tblData[[#This Row],[SKorea LogiP(t)]]-tblData[[#This Row],[SKorea]])^2,"")</f>
        <v/>
      </c>
      <c r="BI117" s="20">
        <f ca="1">IF(tblData[Date]&gt;StartDt2SKorea,tblData[[#This Row],[SKorea LogiP(t)]]/$BG$9,"")</f>
        <v>1758.2362418142636</v>
      </c>
      <c r="BJ117" s="137" t="str">
        <f ca="1">IF(AND(ISNUMBER(tblData[SKorea]),tblData[Date]&gt;StartDt2SKorea),(tblData[SKorea]-AVERAGE(tblData[SKorea]))^2,"")</f>
        <v/>
      </c>
      <c r="BK117" s="11">
        <f>tblData[[#This Row],[Date]]-SKorea100dt+1</f>
        <v>274</v>
      </c>
      <c r="BL117" s="137">
        <f ca="1">IF(AND(tblData[Date]&gt;StartDt2UK,ISNUMBER(tblData[Days'# UK])),betaUK/(deltaUK+betaPodeltaUK*EXP(-betaUK*tblData[Days'# UK])),"")</f>
        <v>74551.8422995648</v>
      </c>
      <c r="BM117" s="71" t="str">
        <f ca="1">IF(AND(tblData[Date]&gt;StartDt2UK,ISNUMBER(tblData[UK])),(tblData[[#This Row],[UK LogiP(t)]]-tblData[[#This Row],[UK]])^2,"")</f>
        <v/>
      </c>
      <c r="BN117" s="71">
        <f ca="1">IF(ISNUMBER(tblData[Days'# UK]),tblData[[#This Row],[UK LogiP(t)]]/$BL$9,"")</f>
        <v>11220.927498429379</v>
      </c>
      <c r="BO117" s="137" t="str">
        <f ca="1">IF(AND(ISNUMBER(tblData[UK]),tblData[Date]&gt;StartDt2UK),(tblData[UK]-AVERAGE(tblData[UK]))^2,"")</f>
        <v/>
      </c>
      <c r="BP117" s="11">
        <f>tblData[[#This Row],[Date]]-UK100dt</f>
        <v>254</v>
      </c>
      <c r="BQ117" s="11">
        <f ca="1">IF(ISNUMBER(tblData[Days'# China]),betaChina/(deltaChina+betaPodeltaChina*EXP(-betaChina*tblData[Days'# China])),"")</f>
        <v>81223.951297127758</v>
      </c>
      <c r="BR117" s="11" t="str">
        <f>IF(ISNUMBER(tblData[China]),(tblData[[#This Row],[China LogiP(t)]]-tblData[[#This Row],[China]])^2,"")</f>
        <v/>
      </c>
      <c r="BS117" s="11">
        <f ca="1">tblData[[#This Row],[China LogiP(t)]]/$BQ$9</f>
        <v>564.32022211747142</v>
      </c>
      <c r="BT117" s="137" t="str">
        <f ca="1">IF(AND(ISNUMBER(tblData[China]),tblData[Date]&gt;StartDt2China),(tblData[China]-AVERAGE(tblData[China]))^2,"")</f>
        <v/>
      </c>
      <c r="BU117" s="11">
        <f>tblData[[#This Row],[Date]]-China100dt</f>
        <v>304</v>
      </c>
      <c r="BV117" s="106">
        <f>IF(ISNUMBER(tblData[Day'# Singapore]),betaSingapore/(deltaSingapore+betaPodeltaSingapore*EXP(-betaSingapore*tblData[Day'# Singapore])),"")</f>
        <v>140717.34580055511</v>
      </c>
      <c r="BW117" s="11" t="str">
        <f>IF(AND(ISNUMBER(tblData[Singapore]),tblData[Date]&gt;=StartDt2Singapore),(tblData[[#This Row],[Singapore LogiP(t)]]-tblData[[#This Row],[Singapore]])^2,"")</f>
        <v/>
      </c>
      <c r="BX117" s="106">
        <f>IF(ISNUMBER(tblData[Day'# Singapore]),tblData[Singapore LogiP(t)]/$BV$9,"")</f>
        <v>240542.47145394038</v>
      </c>
      <c r="BY117" s="106" t="str">
        <f>IF(AND(ISNUMBER(tblData[Singapore]),tblData[Date]&gt;StartDt2Singapore),(tblData[Singapore]-AVERAGE(tblData[Singapore]))^2,"")</f>
        <v/>
      </c>
      <c r="BZ117" s="11">
        <f>tblData[[#This Row],[Date]]-Singapore100dt+1</f>
        <v>285</v>
      </c>
      <c r="CA117" s="11">
        <f ca="1">IF(AND(tblData[Date]&gt;StartDt2Generic,ISNUMBER(tblData[Day'# Generic])),betaGeneric/(deltaGeneric+betaPodeltaGeneric*EXP(-betaGeneric*tblData[Day'# Generic])),"")</f>
        <v>3547.52135303557</v>
      </c>
      <c r="CB117" s="106" t="str">
        <f ca="1">IF(AND(ISNUMBER(tblData[Generic]),tblData[Date]&gt;StartDt2Generic),(tblData[Generic LogiP(t)]-tblData[[#This Row],[Generic]])^2,"")</f>
        <v/>
      </c>
      <c r="CC117" s="11" t="str">
        <f ca="1">IF(AND(ISNUMBER(tblData[Generic]),tblData[Date]&gt;StartDt2Generic),tblData[Generic LogiP(t)]/$CA$9,"")</f>
        <v/>
      </c>
      <c r="CD117" s="106" t="str">
        <f ca="1">IF(AND(ISNUMBER(tblData[Generic]),tblData[Date]&gt;StartDt2Generic),(tblData[Generic]-AVERAGE(tblData[Generic]))^2,"")</f>
        <v/>
      </c>
      <c r="CE117" s="11">
        <f>tblData[[#This Row],[Date]]-Generic100dt+1</f>
        <v>246</v>
      </c>
      <c r="CF117" s="11"/>
      <c r="CG117" s="11"/>
      <c r="CH117" s="11" t="str">
        <f>IF(ISNUMBER(tblData[[#This Row],[Tests]]),tblData[[#This Row],[Tests]]-CF116,"")</f>
        <v/>
      </c>
      <c r="CI117" s="11" t="str">
        <f>IF(ISNUMBER(tblData[[#This Row],[NSW Under Investigation'']]),tblData[[#This Row],[NSW Under Investigation'']]-CG116,"")</f>
        <v/>
      </c>
      <c r="CJ117" s="11">
        <f>IF(tblData[[#This Row],[Date]]&gt;myData!TestsStart,tblData[[#This Row],[Date]]-myData!TestsStart,"")</f>
        <v>261</v>
      </c>
      <c r="CK117" s="11">
        <f>IF(AND(tblData[[#This Row],[NSW Test Day Number]]&gt;0,ISNUMBER(tblData[[#This Row],[NSW Test Day Number]])),betaTests/(deltaTests+betaPodeltaTests*EXP(-betaTests*tblData[[#This Row],[NSW Test Day Number]])),"")</f>
        <v>127232.33861535614</v>
      </c>
      <c r="CL117" s="11" t="str">
        <f>IF(tblData[Tests]&gt;0,(tblData[[#This Row],[Tests]]-tblData[[#This Row],[NSW Test Logi]])^2,"")</f>
        <v/>
      </c>
      <c r="CM117" s="106" t="str">
        <f>IF(AND(ISNUMBER(tblData[Tests]),tblData[Date]&gt;StartDt2Tests),(tblData[Tests]-AVERAGE(tblData[Tests]))^2,"")</f>
        <v/>
      </c>
      <c r="CN117" s="11" t="str">
        <f>IF(ISNUMBER(tblData[Tests]),tblData[Tests]/$CN$9/100,"")</f>
        <v/>
      </c>
      <c r="CO117" s="106">
        <f ca="1">IF(AND(tblData[[#This Row],[NSW Test Day Number]]&gt;0,ISNUMBER(tblData[[#This Row],[NSW Test Day Number]])),TestsLogestB*TestsLogestM^tblData[[#This Row],[NSW Test Day Number]],"")</f>
        <v>6.7922781227094312E+16</v>
      </c>
      <c r="CP117" s="11" t="str">
        <f>IF(AND(tblData[[#This Row],[NSW Test Day Number]]&gt;0,ISNUMBER(tblData[Tests])),(tblData[Tests]-tblData[[#This Row],[NSW Test Per Capita]])^2,"")</f>
        <v/>
      </c>
      <c r="CQ117" s="39">
        <f ca="1">IF(AND(tblData[Day '# NSW]&gt;0,ISNUMBER(tblData[[#This Row],[Day '# NSW]])),NSWLogestB*NSWLogestM^tblData[[#This Row],[Day '# NSW]]/$CR$9,"")</f>
        <v>96550767788647.562</v>
      </c>
      <c r="CR117" s="39" t="str">
        <f ca="1">IF(AND(ISNUMBER(tblData[NSW]),tblData[Date]&gt;StartDt2NSW),(tblData[NSW]/$CR$9-tblData[[#This Row],[NSW Cases LogEst]])^2,"")</f>
        <v/>
      </c>
      <c r="CS117" s="106"/>
      <c r="CT117" s="11"/>
      <c r="CW117" s="25"/>
      <c r="CX117"/>
      <c r="DL117" s="25"/>
      <c r="DR117"/>
      <c r="DS117"/>
      <c r="DT117"/>
      <c r="DU117"/>
      <c r="DW117" s="25"/>
      <c r="DX117" s="25"/>
      <c r="EB117" s="25"/>
      <c r="EC117" s="25"/>
      <c r="ED117" s="25"/>
      <c r="EE117" s="25"/>
      <c r="EK117"/>
      <c r="EL117"/>
      <c r="EM117"/>
      <c r="EN117"/>
      <c r="EO117"/>
      <c r="EP117"/>
      <c r="EQ117"/>
      <c r="ER117"/>
      <c r="ES117"/>
      <c r="ET117"/>
      <c r="EU117" s="25" t="s">
        <v>176</v>
      </c>
      <c r="EV117" s="69">
        <v>43912.787581018521</v>
      </c>
      <c r="EW117" s="26">
        <v>43852</v>
      </c>
      <c r="EX117" s="26">
        <v>43852</v>
      </c>
      <c r="EY117" s="25">
        <v>4</v>
      </c>
      <c r="EZ117" s="25">
        <v>0.2221429979133962</v>
      </c>
      <c r="FA117" s="71">
        <v>2.7437387950754286E-6</v>
      </c>
      <c r="FB117" s="21">
        <v>1537.6493038446686</v>
      </c>
      <c r="FC117" s="82">
        <v>80963.610060880164</v>
      </c>
      <c r="FD117" s="82">
        <v>2060.619161619702</v>
      </c>
      <c r="FE117" s="83">
        <v>1.4172548273545167E-4</v>
      </c>
      <c r="FF117" s="84">
        <v>2.7437387950754286E-3</v>
      </c>
      <c r="FG117" s="26">
        <v>43911</v>
      </c>
      <c r="FH117" s="25" t="s">
        <v>1032</v>
      </c>
      <c r="FI117" s="84">
        <v>80963.609812570081</v>
      </c>
      <c r="FJ117" s="84">
        <v>81348</v>
      </c>
      <c r="FK117" s="25" t="s">
        <v>1127</v>
      </c>
      <c r="FL117" s="26">
        <v>43912</v>
      </c>
      <c r="FM117" s="25">
        <v>61</v>
      </c>
      <c r="FN117" s="25" t="s">
        <v>1128</v>
      </c>
      <c r="FO117" s="25"/>
      <c r="FP117" s="25" t="s">
        <v>1129</v>
      </c>
      <c r="FQ117"/>
      <c r="FR117" s="25" t="s">
        <v>1130</v>
      </c>
      <c r="FS117" s="19">
        <v>565.18207616963593</v>
      </c>
      <c r="FT117" s="72">
        <v>43912</v>
      </c>
      <c r="FU117" s="25">
        <v>0</v>
      </c>
      <c r="FV117" s="142">
        <v>43883</v>
      </c>
      <c r="FW117" s="25">
        <v>29</v>
      </c>
      <c r="FX117" s="25"/>
      <c r="FY117" s="25"/>
      <c r="FZ117" s="25"/>
      <c r="GA117" s="25"/>
      <c r="GB117" s="25"/>
      <c r="GC117" s="25"/>
      <c r="GD117" s="25"/>
      <c r="GE117" s="25"/>
      <c r="GF117" s="25"/>
    </row>
    <row r="118" spans="2:222" s="25" customFormat="1" x14ac:dyDescent="0.25">
      <c r="B118" s="26"/>
      <c r="P118" s="106"/>
      <c r="T118" s="11"/>
      <c r="W118" s="11"/>
      <c r="X118" s="11"/>
      <c r="Y118" s="11"/>
      <c r="Z118" s="11"/>
      <c r="AA118" s="20"/>
      <c r="AB118" s="11"/>
      <c r="AC118" s="11"/>
      <c r="AD118" s="11"/>
      <c r="AE118" s="11"/>
      <c r="AF118" s="11"/>
      <c r="AG118" s="11"/>
      <c r="AH118" s="11"/>
      <c r="AI118" s="11"/>
      <c r="AJ118" s="11"/>
      <c r="AK118" s="11"/>
      <c r="AL118" s="11"/>
      <c r="AU118" s="39"/>
      <c r="AV118" s="39"/>
      <c r="AY118" s="11"/>
      <c r="AZ118" s="11"/>
      <c r="BC118" s="137"/>
      <c r="BH118" s="137"/>
      <c r="BP118" s="11"/>
      <c r="BR118" s="106"/>
      <c r="BU118" s="106"/>
      <c r="BX118"/>
      <c r="BZ118" s="11"/>
      <c r="CA118"/>
      <c r="CB118"/>
      <c r="CC118"/>
      <c r="CF118"/>
      <c r="CG118"/>
      <c r="CK118" s="39"/>
      <c r="CN118"/>
      <c r="CP118"/>
      <c r="CQ118"/>
      <c r="CR118"/>
      <c r="CS118"/>
      <c r="CT118"/>
      <c r="CU118"/>
      <c r="CV118"/>
      <c r="CW118"/>
      <c r="CX118"/>
      <c r="CY118"/>
      <c r="DA118"/>
      <c r="DB118"/>
      <c r="DC118"/>
      <c r="DD118"/>
      <c r="DE118"/>
      <c r="DH118"/>
      <c r="DI118"/>
      <c r="DJ118"/>
      <c r="DK118"/>
      <c r="DL118"/>
      <c r="DO118"/>
      <c r="DP118"/>
      <c r="DQ118"/>
      <c r="EJ118"/>
      <c r="EU118" s="25" t="s">
        <v>176</v>
      </c>
      <c r="EV118" s="69">
        <v>43912.862349537034</v>
      </c>
      <c r="EW118" s="26">
        <v>43852</v>
      </c>
      <c r="EX118" s="26">
        <v>43852</v>
      </c>
      <c r="EY118" s="25">
        <v>4</v>
      </c>
      <c r="EZ118" s="25">
        <v>0.2221429979133962</v>
      </c>
      <c r="FA118" s="71">
        <v>2.7437378104594008E-6</v>
      </c>
      <c r="FB118" s="21">
        <v>1537.6493038446686</v>
      </c>
      <c r="FC118" s="82">
        <v>80963.639115430429</v>
      </c>
      <c r="FD118" s="82">
        <v>2060.6222776666727</v>
      </c>
      <c r="FE118" s="83">
        <v>1.4172548372006768E-4</v>
      </c>
      <c r="FF118" s="84">
        <v>2.743737810459401E-3</v>
      </c>
      <c r="FG118" s="26">
        <v>43911</v>
      </c>
      <c r="FH118" s="25" t="s">
        <v>1032</v>
      </c>
      <c r="FI118" s="84">
        <v>80963.638867120171</v>
      </c>
      <c r="FJ118" s="84">
        <v>81349</v>
      </c>
      <c r="FK118" t="s">
        <v>1127</v>
      </c>
      <c r="FL118" s="26">
        <v>43912</v>
      </c>
      <c r="FM118" s="25">
        <v>61</v>
      </c>
      <c r="FN118" s="25" t="s">
        <v>1128</v>
      </c>
      <c r="FO118"/>
      <c r="FP118" s="25" t="s">
        <v>1129</v>
      </c>
      <c r="FR118" s="25" t="s">
        <v>1130</v>
      </c>
      <c r="FS118" s="19">
        <v>565.1890238767237</v>
      </c>
      <c r="FT118" s="72">
        <v>43912</v>
      </c>
      <c r="FU118" s="25">
        <v>0</v>
      </c>
      <c r="FV118" s="142">
        <v>43883</v>
      </c>
      <c r="FW118" s="25">
        <v>29</v>
      </c>
      <c r="GC118"/>
      <c r="GD118"/>
      <c r="GE118"/>
      <c r="GF118"/>
      <c r="GG118"/>
      <c r="GH118"/>
      <c r="GI118"/>
      <c r="GJ118"/>
      <c r="GK118"/>
      <c r="GL118"/>
      <c r="GM118"/>
      <c r="GN118"/>
      <c r="GO118"/>
      <c r="GP118"/>
      <c r="GQ118"/>
      <c r="GR118"/>
      <c r="GS118"/>
      <c r="GT118"/>
      <c r="GU118"/>
      <c r="GV118"/>
      <c r="GW118"/>
      <c r="GX118"/>
      <c r="GY118"/>
      <c r="GZ118"/>
      <c r="HA118"/>
    </row>
    <row r="119" spans="2:222" s="25" customFormat="1" x14ac:dyDescent="0.25">
      <c r="B119" s="26"/>
      <c r="P119" s="106"/>
      <c r="T119" s="11"/>
      <c r="W119" s="11"/>
      <c r="X119" s="11"/>
      <c r="Y119" s="11"/>
      <c r="Z119" s="11"/>
      <c r="AA119" s="20"/>
      <c r="AB119" s="11"/>
      <c r="AC119" s="11"/>
      <c r="AD119" s="11"/>
      <c r="AE119" s="11"/>
      <c r="AF119" s="11"/>
      <c r="AG119" s="11"/>
      <c r="AH119" s="11"/>
      <c r="AI119" s="11"/>
      <c r="AJ119" s="11"/>
      <c r="AK119" s="11"/>
      <c r="AL119" s="11"/>
      <c r="AU119" s="39"/>
      <c r="AV119" s="39"/>
      <c r="AY119" s="11"/>
      <c r="AZ119" s="11"/>
      <c r="BC119" s="137"/>
      <c r="BH119" s="137"/>
      <c r="BP119" s="11"/>
      <c r="BR119" s="106"/>
      <c r="BU119" s="106"/>
      <c r="BX119"/>
      <c r="BZ119" s="11"/>
      <c r="CA119"/>
      <c r="CB119"/>
      <c r="CC119"/>
      <c r="CF119"/>
      <c r="CG119"/>
      <c r="CK119" s="39"/>
      <c r="CN119"/>
      <c r="CO119"/>
      <c r="CP119"/>
      <c r="CQ119"/>
      <c r="CR119"/>
      <c r="CS119"/>
      <c r="CT119"/>
      <c r="CU119"/>
      <c r="CV119"/>
      <c r="CW119"/>
      <c r="CY119"/>
      <c r="CZ119"/>
      <c r="DA119"/>
      <c r="DB119"/>
      <c r="DE119"/>
      <c r="DH119"/>
      <c r="DI119"/>
      <c r="DJ119"/>
      <c r="DK119"/>
      <c r="DL119"/>
      <c r="DM119"/>
      <c r="DN119"/>
      <c r="DO119"/>
      <c r="DP119"/>
      <c r="DQ119"/>
      <c r="EJ119"/>
      <c r="EU119" s="25" t="s">
        <v>176</v>
      </c>
      <c r="EV119" s="69">
        <v>43913.581712962965</v>
      </c>
      <c r="EW119" s="26">
        <v>43852</v>
      </c>
      <c r="EX119" s="26">
        <v>43852</v>
      </c>
      <c r="EY119" s="25">
        <v>4</v>
      </c>
      <c r="EZ119" s="25">
        <v>0.2221429979133962</v>
      </c>
      <c r="FA119" s="81">
        <v>2.7437378104594008E-6</v>
      </c>
      <c r="FB119" s="21">
        <v>1537.6493038446686</v>
      </c>
      <c r="FC119" s="82">
        <v>80963.639115430429</v>
      </c>
      <c r="FD119" s="82">
        <v>2077.1062416181903</v>
      </c>
      <c r="FE119" s="83">
        <v>1.4172548372006768E-4</v>
      </c>
      <c r="FF119" s="84">
        <v>2.743737810459401E-3</v>
      </c>
      <c r="FG119" s="26">
        <v>43911</v>
      </c>
      <c r="FH119" s="25" t="s">
        <v>1032</v>
      </c>
      <c r="FI119" s="84">
        <v>80963.638867120171</v>
      </c>
      <c r="FJ119" s="84">
        <v>81305</v>
      </c>
      <c r="FK119" s="25" t="s">
        <v>1127</v>
      </c>
      <c r="FL119" s="26">
        <v>43911</v>
      </c>
      <c r="FM119" s="25">
        <v>60</v>
      </c>
      <c r="FN119" s="25" t="s">
        <v>1128</v>
      </c>
      <c r="FP119" s="25" t="s">
        <v>1129</v>
      </c>
      <c r="FR119" s="25" t="s">
        <v>1266</v>
      </c>
      <c r="FS119" s="19">
        <v>564.88332476486516</v>
      </c>
      <c r="FT119" s="72">
        <v>43912</v>
      </c>
      <c r="FU119" s="25">
        <v>-1</v>
      </c>
      <c r="FV119" s="142">
        <v>43913</v>
      </c>
      <c r="FW119" s="25">
        <v>1</v>
      </c>
      <c r="GC119"/>
      <c r="GD119"/>
      <c r="GE119"/>
      <c r="GF119"/>
      <c r="GG119"/>
      <c r="GH119"/>
      <c r="GI119"/>
      <c r="GJ119"/>
      <c r="GK119"/>
      <c r="GL119"/>
      <c r="GM119"/>
      <c r="GN119"/>
      <c r="GO119"/>
      <c r="GP119"/>
      <c r="GQ119"/>
      <c r="GR119"/>
      <c r="GS119"/>
      <c r="GT119"/>
      <c r="GU119"/>
      <c r="GV119"/>
      <c r="GW119"/>
      <c r="GX119"/>
      <c r="GY119"/>
      <c r="GZ119"/>
      <c r="HA119"/>
    </row>
    <row r="120" spans="2:222" s="25" customFormat="1" x14ac:dyDescent="0.25">
      <c r="B120" s="26"/>
      <c r="P120" s="106"/>
      <c r="T120" s="11"/>
      <c r="W120" s="11"/>
      <c r="X120" s="11"/>
      <c r="Y120" s="11"/>
      <c r="Z120" s="11"/>
      <c r="AA120" s="20"/>
      <c r="AB120" s="11"/>
      <c r="AC120" s="11"/>
      <c r="AD120" s="11"/>
      <c r="AE120" s="11"/>
      <c r="AF120" s="11"/>
      <c r="AG120" s="11"/>
      <c r="AH120" s="11"/>
      <c r="AI120" s="11"/>
      <c r="AJ120" s="11"/>
      <c r="AK120" s="11"/>
      <c r="AL120" s="11"/>
      <c r="AU120" s="39"/>
      <c r="AV120" s="39"/>
      <c r="AY120" s="11"/>
      <c r="AZ120" s="11"/>
      <c r="BC120" s="137"/>
      <c r="BH120" s="137"/>
      <c r="BP120" s="11"/>
      <c r="BR120" s="106"/>
      <c r="BU120" s="106"/>
      <c r="BZ120" s="11"/>
      <c r="CK120" s="39"/>
      <c r="CN120"/>
      <c r="CO120"/>
      <c r="CP120"/>
      <c r="CQ120"/>
      <c r="CR120"/>
      <c r="CS120"/>
      <c r="CT120"/>
      <c r="CU120"/>
      <c r="CV120"/>
      <c r="CW120"/>
      <c r="CY120"/>
      <c r="CZ120"/>
      <c r="DA120"/>
      <c r="DB120"/>
      <c r="DE120"/>
      <c r="DH120"/>
      <c r="DI120"/>
      <c r="DJ120"/>
      <c r="DK120"/>
      <c r="DL120"/>
      <c r="DM120"/>
      <c r="DN120"/>
      <c r="DO120"/>
      <c r="DP120"/>
      <c r="EJ120"/>
      <c r="EU120" s="25" t="s">
        <v>176</v>
      </c>
      <c r="EV120" s="69">
        <v>43913.686747685184</v>
      </c>
      <c r="EW120" s="26">
        <v>43852</v>
      </c>
      <c r="EX120" s="26">
        <v>43852</v>
      </c>
      <c r="EY120" s="25">
        <v>4</v>
      </c>
      <c r="EZ120" s="25">
        <v>0.2221429979133962</v>
      </c>
      <c r="FA120" s="81">
        <v>2.7436905724700776E-6</v>
      </c>
      <c r="FB120" s="21">
        <v>1537.6493038446686</v>
      </c>
      <c r="FC120" s="82">
        <v>80965.033062531642</v>
      </c>
      <c r="FD120" s="82">
        <v>2060.7809258065713</v>
      </c>
      <c r="FE120" s="83">
        <v>1.4172553095805702E-4</v>
      </c>
      <c r="FF120" s="84">
        <v>2.7436905724700774E-3</v>
      </c>
      <c r="FG120" s="26">
        <v>43912</v>
      </c>
      <c r="FH120" s="25" t="s">
        <v>1032</v>
      </c>
      <c r="FI120" s="84">
        <v>80965.03281421274</v>
      </c>
      <c r="FJ120" s="84">
        <v>81397</v>
      </c>
      <c r="FK120" s="25" t="s">
        <v>1127</v>
      </c>
      <c r="FL120" s="26">
        <v>43912</v>
      </c>
      <c r="FM120" s="25">
        <v>61</v>
      </c>
      <c r="FN120" s="25" t="s">
        <v>1128</v>
      </c>
      <c r="FP120" s="25" t="s">
        <v>1129</v>
      </c>
      <c r="FQ120"/>
      <c r="FR120" s="25" t="s">
        <v>1130</v>
      </c>
      <c r="FS120" s="19">
        <v>565.52251381693293</v>
      </c>
      <c r="FT120" s="72">
        <v>43912</v>
      </c>
      <c r="FU120" s="25">
        <v>-1</v>
      </c>
      <c r="FV120" s="142">
        <v>43913</v>
      </c>
      <c r="FW120" s="25">
        <v>0</v>
      </c>
      <c r="GC120"/>
      <c r="GD120"/>
      <c r="GE120"/>
      <c r="GF120"/>
      <c r="GG120"/>
      <c r="GH120"/>
      <c r="GI120"/>
      <c r="GJ120"/>
      <c r="GK120"/>
      <c r="GL120"/>
      <c r="GM120"/>
      <c r="GN120"/>
      <c r="GO120"/>
      <c r="GP120"/>
      <c r="GQ120"/>
      <c r="GR120"/>
      <c r="GS120"/>
      <c r="GT120"/>
      <c r="GU120"/>
      <c r="GV120"/>
      <c r="GW120"/>
      <c r="GX120"/>
      <c r="GY120"/>
      <c r="GZ120"/>
    </row>
    <row r="121" spans="2:222" s="25" customFormat="1" x14ac:dyDescent="0.25">
      <c r="B121" s="26"/>
      <c r="P121" s="106"/>
      <c r="T121" s="11"/>
      <c r="W121" s="11"/>
      <c r="X121" s="11"/>
      <c r="Y121" s="11"/>
      <c r="Z121" s="11"/>
      <c r="AA121" s="20"/>
      <c r="AB121" s="11"/>
      <c r="AC121" s="11"/>
      <c r="AD121" s="11"/>
      <c r="AE121" s="11"/>
      <c r="AF121" s="11"/>
      <c r="AG121" s="11"/>
      <c r="AH121" s="11"/>
      <c r="AI121" s="11"/>
      <c r="AJ121" s="11"/>
      <c r="AK121" s="11"/>
      <c r="AL121" s="11"/>
      <c r="AU121" s="39"/>
      <c r="AV121" s="39"/>
      <c r="AY121" s="11"/>
      <c r="AZ121" s="11"/>
      <c r="BC121" s="137"/>
      <c r="BH121" s="137"/>
      <c r="BP121" s="11"/>
      <c r="BR121" s="106"/>
      <c r="BU121" s="106"/>
      <c r="BZ121" s="11"/>
      <c r="CK121" s="39"/>
      <c r="EJ121"/>
      <c r="EU121" s="25" t="s">
        <v>176</v>
      </c>
      <c r="EV121" s="69">
        <v>43913.916203703702</v>
      </c>
      <c r="EW121" s="26">
        <v>43852</v>
      </c>
      <c r="EX121" s="26">
        <v>43852</v>
      </c>
      <c r="EY121" s="25">
        <v>4</v>
      </c>
      <c r="EZ121" s="25">
        <v>0.2221429979133962</v>
      </c>
      <c r="FA121" s="25">
        <v>2.7432177917623539E-6</v>
      </c>
      <c r="FB121" s="21">
        <v>1537.6493038446686</v>
      </c>
      <c r="FC121" s="82">
        <v>80978.987005870425</v>
      </c>
      <c r="FD121" s="82">
        <v>2045.0311506785802</v>
      </c>
      <c r="FE121" s="83">
        <v>1.4172600373876473E-4</v>
      </c>
      <c r="FF121" s="84">
        <v>2.7432177917623541E-3</v>
      </c>
      <c r="FG121" s="26">
        <v>43912</v>
      </c>
      <c r="FH121" s="25" t="s">
        <v>1032</v>
      </c>
      <c r="FI121" s="84">
        <v>80978.9867574651</v>
      </c>
      <c r="FJ121" s="84">
        <v>81454</v>
      </c>
      <c r="FK121" s="25" t="s">
        <v>1127</v>
      </c>
      <c r="FL121" s="26">
        <v>43913</v>
      </c>
      <c r="FM121" s="25">
        <v>62</v>
      </c>
      <c r="FN121" s="25" t="s">
        <v>1128</v>
      </c>
      <c r="FP121" s="25" t="s">
        <v>1129</v>
      </c>
      <c r="FR121" s="25" t="s">
        <v>1327</v>
      </c>
      <c r="FS121" s="19">
        <v>565.91853312093133</v>
      </c>
      <c r="FT121" s="72">
        <v>43912</v>
      </c>
      <c r="FU121" s="25">
        <v>-1</v>
      </c>
      <c r="FV121" s="142">
        <v>43913</v>
      </c>
      <c r="FW121" s="25">
        <v>0</v>
      </c>
      <c r="GC121"/>
      <c r="GD121"/>
      <c r="GE121"/>
      <c r="GF121"/>
      <c r="GG121"/>
      <c r="GH121"/>
      <c r="GI121"/>
      <c r="GJ121"/>
      <c r="GK121"/>
      <c r="GL121"/>
      <c r="GM121"/>
      <c r="GN121"/>
      <c r="GO121"/>
      <c r="GP121"/>
      <c r="GQ121"/>
      <c r="GR121"/>
      <c r="GS121"/>
      <c r="GT121"/>
      <c r="GU121"/>
      <c r="GV121"/>
      <c r="GW121"/>
      <c r="GX121"/>
      <c r="GY121"/>
      <c r="GZ121"/>
      <c r="HA121"/>
    </row>
    <row r="122" spans="2:222" s="25" customFormat="1" x14ac:dyDescent="0.25">
      <c r="B122" s="26"/>
      <c r="P122" s="106"/>
      <c r="T122" s="11"/>
      <c r="W122" s="11"/>
      <c r="X122" s="11"/>
      <c r="Y122" s="11"/>
      <c r="Z122" s="11"/>
      <c r="AA122" s="20"/>
      <c r="AB122" s="11"/>
      <c r="AC122" s="11"/>
      <c r="AD122" s="11"/>
      <c r="AE122" s="11"/>
      <c r="AF122" s="11"/>
      <c r="AG122" s="11"/>
      <c r="AH122" s="11"/>
      <c r="AI122" s="11"/>
      <c r="AJ122" s="11"/>
      <c r="AK122" s="11"/>
      <c r="AL122" s="11"/>
      <c r="AU122" s="39"/>
      <c r="AV122" s="39"/>
      <c r="AY122" s="11"/>
      <c r="AZ122" s="11"/>
      <c r="BC122" s="137"/>
      <c r="BH122" s="137"/>
      <c r="BP122" s="11"/>
      <c r="BR122" s="106"/>
      <c r="BU122" s="106"/>
      <c r="BZ122" s="11"/>
      <c r="CK122" s="39"/>
      <c r="EJ122"/>
      <c r="EU122" s="25" t="s">
        <v>176</v>
      </c>
      <c r="EV122" s="69">
        <v>43914.307893518519</v>
      </c>
      <c r="EW122" s="26">
        <v>43852</v>
      </c>
      <c r="EX122" s="26">
        <v>43852</v>
      </c>
      <c r="EY122" s="25">
        <v>4</v>
      </c>
      <c r="EZ122" s="25">
        <v>0.2221429979133962</v>
      </c>
      <c r="FA122" s="25">
        <v>2.7432177917623539E-6</v>
      </c>
      <c r="FB122" s="21">
        <v>1537.6493038446686</v>
      </c>
      <c r="FC122" s="82">
        <v>80978.987005870425</v>
      </c>
      <c r="FD122" s="82">
        <v>2060.8075886844472</v>
      </c>
      <c r="FE122" s="83">
        <v>1.4172600373876473E-4</v>
      </c>
      <c r="FF122" s="84">
        <v>2.7432177917623541E-3</v>
      </c>
      <c r="FG122" s="26">
        <v>43912</v>
      </c>
      <c r="FH122" s="25" t="s">
        <v>1032</v>
      </c>
      <c r="FI122" s="84">
        <v>80978.9867574651</v>
      </c>
      <c r="FJ122" s="84">
        <v>81397</v>
      </c>
      <c r="FK122" t="s">
        <v>1127</v>
      </c>
      <c r="FL122" s="26">
        <v>43912</v>
      </c>
      <c r="FM122" s="25">
        <v>61</v>
      </c>
      <c r="FN122" s="25" t="s">
        <v>1128</v>
      </c>
      <c r="FP122" s="25" t="s">
        <v>1129</v>
      </c>
      <c r="FQ122"/>
      <c r="FR122" s="25" t="s">
        <v>1130</v>
      </c>
      <c r="FS122" s="19">
        <v>565.52251381693293</v>
      </c>
      <c r="FT122" s="72">
        <v>43912</v>
      </c>
      <c r="FU122" s="25">
        <v>-1</v>
      </c>
      <c r="FV122" s="142">
        <v>43913</v>
      </c>
      <c r="FW122">
        <v>0</v>
      </c>
      <c r="FX122"/>
      <c r="FY122"/>
      <c r="GC122"/>
      <c r="GD122"/>
      <c r="GE122"/>
      <c r="GF122"/>
      <c r="GG122"/>
      <c r="GH122"/>
      <c r="GI122"/>
      <c r="GJ122"/>
      <c r="GK122"/>
      <c r="GL122"/>
      <c r="GM122"/>
      <c r="GN122"/>
      <c r="GO122"/>
      <c r="GP122"/>
      <c r="GQ122"/>
      <c r="GR122"/>
      <c r="GS122"/>
      <c r="GT122"/>
      <c r="GU122"/>
      <c r="GV122"/>
      <c r="GW122"/>
      <c r="GX122"/>
      <c r="GY122"/>
      <c r="GZ122"/>
    </row>
    <row r="123" spans="2:222" s="25" customFormat="1" x14ac:dyDescent="0.25">
      <c r="B123" s="26"/>
      <c r="P123" s="106"/>
      <c r="T123" s="11"/>
      <c r="V123" s="25">
        <f>709/2.54</f>
        <v>279.1338582677165</v>
      </c>
      <c r="W123" s="11">
        <f>2626/6.64</f>
        <v>395.48192771084337</v>
      </c>
      <c r="X123" s="11"/>
      <c r="Y123" s="11"/>
      <c r="Z123" s="11"/>
      <c r="AA123" s="20"/>
      <c r="AB123" s="11"/>
      <c r="AC123" s="11"/>
      <c r="AD123" s="11"/>
      <c r="AE123" s="11"/>
      <c r="AF123" s="11"/>
      <c r="AG123" s="11"/>
      <c r="AH123" s="11"/>
      <c r="AI123" s="11"/>
      <c r="AJ123" s="11"/>
      <c r="AK123" s="11"/>
      <c r="AL123" s="11"/>
      <c r="AU123" s="39"/>
      <c r="AV123" s="39"/>
      <c r="AY123" s="11"/>
      <c r="AZ123" s="11"/>
      <c r="BC123" s="137"/>
      <c r="BH123" s="137"/>
      <c r="BP123" s="11"/>
      <c r="BR123" s="106"/>
      <c r="BU123" s="106"/>
      <c r="BZ123" s="11"/>
      <c r="CK123" s="39"/>
      <c r="EJ123"/>
      <c r="EU123" s="26" t="s">
        <v>176</v>
      </c>
      <c r="EV123" s="69">
        <v>43914.462754629632</v>
      </c>
      <c r="EW123" s="26">
        <v>43852</v>
      </c>
      <c r="EX123" s="26">
        <v>43852</v>
      </c>
      <c r="EY123" s="25">
        <v>4</v>
      </c>
      <c r="EZ123" s="25">
        <v>0.2221429979133962</v>
      </c>
      <c r="FA123" s="25">
        <v>2.7432177917623539E-6</v>
      </c>
      <c r="FB123" s="21">
        <v>1537.6493038446686</v>
      </c>
      <c r="FC123" s="82">
        <v>80978.987005870425</v>
      </c>
      <c r="FD123" s="82">
        <v>2060.8075886844472</v>
      </c>
      <c r="FE123" s="83">
        <v>1.4172600373876473E-4</v>
      </c>
      <c r="FF123" s="84">
        <v>2.7432177917623541E-3</v>
      </c>
      <c r="FG123" s="26">
        <v>43912</v>
      </c>
      <c r="FH123" s="25" t="s">
        <v>1032</v>
      </c>
      <c r="FI123" s="84">
        <v>80978.9867574651</v>
      </c>
      <c r="FJ123" s="84">
        <v>81397</v>
      </c>
      <c r="FK123" s="84" t="s">
        <v>1127</v>
      </c>
      <c r="FL123" s="26">
        <v>43912</v>
      </c>
      <c r="FM123" s="25">
        <v>61</v>
      </c>
      <c r="FN123" s="25" t="s">
        <v>1128</v>
      </c>
      <c r="FO123"/>
      <c r="FP123" s="25" t="s">
        <v>1129</v>
      </c>
      <c r="FR123" s="25" t="s">
        <v>1130</v>
      </c>
      <c r="FS123" s="19">
        <v>565.52251381693293</v>
      </c>
      <c r="FT123" s="72">
        <v>43912</v>
      </c>
      <c r="FU123" s="25">
        <v>-2</v>
      </c>
      <c r="FV123" s="142">
        <v>43913</v>
      </c>
      <c r="FW123">
        <v>0</v>
      </c>
      <c r="FX123"/>
      <c r="FY123"/>
      <c r="FZ123"/>
      <c r="GC123"/>
      <c r="GD123"/>
      <c r="GE123"/>
      <c r="GF123"/>
      <c r="GG123"/>
      <c r="GH123"/>
      <c r="GI123"/>
      <c r="GJ123"/>
      <c r="GK123"/>
      <c r="GL123"/>
      <c r="GM123"/>
      <c r="GN123"/>
      <c r="GO123"/>
      <c r="GP123"/>
      <c r="GQ123"/>
      <c r="GR123"/>
      <c r="GS123"/>
      <c r="GT123"/>
      <c r="GU123"/>
      <c r="GV123"/>
      <c r="GW123"/>
      <c r="GX123"/>
      <c r="GY123"/>
      <c r="GZ123"/>
    </row>
    <row r="124" spans="2:222" s="25" customFormat="1" x14ac:dyDescent="0.25">
      <c r="B124" s="26"/>
      <c r="P124" s="106"/>
      <c r="T124" s="11"/>
      <c r="W124" s="11"/>
      <c r="X124" s="11"/>
      <c r="Y124" s="11"/>
      <c r="Z124" s="11"/>
      <c r="AA124" s="20"/>
      <c r="AB124" s="11"/>
      <c r="AC124" s="11"/>
      <c r="AD124" s="11"/>
      <c r="AE124" s="11"/>
      <c r="AF124" s="11"/>
      <c r="AG124" s="11"/>
      <c r="AH124" s="11"/>
      <c r="AI124" s="11"/>
      <c r="AJ124" s="11"/>
      <c r="AK124" s="11"/>
      <c r="AL124" s="11"/>
      <c r="AU124" s="39"/>
      <c r="AV124" s="39"/>
      <c r="AY124" s="11"/>
      <c r="AZ124" s="11"/>
      <c r="BC124" s="137"/>
      <c r="BH124" s="137"/>
      <c r="BP124" s="11"/>
      <c r="BR124" s="106"/>
      <c r="BU124" s="106"/>
      <c r="BZ124" s="11"/>
      <c r="CK124" s="39"/>
      <c r="EJ124"/>
      <c r="EU124" s="26" t="s">
        <v>176</v>
      </c>
      <c r="EV124" s="69">
        <v>43915.87363425926</v>
      </c>
      <c r="EW124" s="26">
        <v>43852</v>
      </c>
      <c r="EX124" s="26">
        <v>43852</v>
      </c>
      <c r="EY124" s="25">
        <v>4</v>
      </c>
      <c r="EZ124">
        <v>0.2221429979133962</v>
      </c>
      <c r="FA124" s="25">
        <v>2.7432177917623539E-6</v>
      </c>
      <c r="FB124" s="21">
        <v>1537.6493038446686</v>
      </c>
      <c r="FC124" s="82">
        <v>80978.987005870425</v>
      </c>
      <c r="FD124" s="82">
        <v>2044.3563776813351</v>
      </c>
      <c r="FE124" s="83">
        <v>1.4172600373876473E-4</v>
      </c>
      <c r="FF124" s="84">
        <v>2.7432177917623541E-3</v>
      </c>
      <c r="FG124" s="26">
        <v>43914</v>
      </c>
      <c r="FH124" s="26" t="s">
        <v>1032</v>
      </c>
      <c r="FI124" s="84">
        <v>80978.9867574651</v>
      </c>
      <c r="FJ124" s="84">
        <v>81397</v>
      </c>
      <c r="FK124" s="84" t="s">
        <v>1127</v>
      </c>
      <c r="FL124" s="26">
        <v>43913</v>
      </c>
      <c r="FM124" s="25">
        <v>62</v>
      </c>
      <c r="FN124" t="s">
        <v>1128</v>
      </c>
      <c r="FP124" s="25" t="s">
        <v>1129</v>
      </c>
      <c r="FR124" s="25" t="s">
        <v>1327</v>
      </c>
      <c r="FS124" s="19">
        <v>565.52251381693293</v>
      </c>
      <c r="FT124" s="72">
        <v>43912</v>
      </c>
      <c r="FU124" s="25">
        <v>-3</v>
      </c>
      <c r="FV124" s="142">
        <v>43912</v>
      </c>
      <c r="FW124">
        <v>-3</v>
      </c>
      <c r="FX124"/>
      <c r="FY124"/>
      <c r="FZ124"/>
      <c r="GA124"/>
      <c r="GB124"/>
      <c r="GC124"/>
      <c r="GD124"/>
      <c r="GE124"/>
      <c r="GF124"/>
      <c r="GG124"/>
      <c r="GH124"/>
      <c r="GI124"/>
      <c r="GJ124"/>
      <c r="GK124"/>
      <c r="GL124"/>
      <c r="GM124"/>
      <c r="GN124"/>
      <c r="GO124"/>
      <c r="GP124"/>
      <c r="GQ124"/>
      <c r="GR124"/>
      <c r="GS124"/>
      <c r="GT124"/>
      <c r="GU124"/>
      <c r="GV124"/>
      <c r="GW124"/>
      <c r="GX124"/>
      <c r="GY124"/>
      <c r="GZ124"/>
    </row>
    <row r="125" spans="2:222" x14ac:dyDescent="0.25">
      <c r="B125" t="s">
        <v>190</v>
      </c>
      <c r="BR125" s="106"/>
      <c r="BX125" s="25"/>
      <c r="CA125" s="25"/>
      <c r="CB125" s="25"/>
      <c r="CC125" s="25"/>
      <c r="CF125" s="25"/>
      <c r="CG125" s="25"/>
      <c r="CN125" s="25"/>
      <c r="CO125" s="25"/>
      <c r="CP125" s="25"/>
      <c r="CQ125" s="25"/>
      <c r="CR125" s="25"/>
      <c r="CS125" s="25"/>
      <c r="CT125" s="25"/>
      <c r="CU125" s="25"/>
      <c r="CV125" s="25"/>
      <c r="CW125" s="25"/>
      <c r="CZ125" s="25"/>
      <c r="DA125" s="25"/>
      <c r="DB125" s="25"/>
      <c r="DC125" s="25"/>
      <c r="DD125" s="25"/>
      <c r="DE125" s="25"/>
      <c r="DH125" s="25"/>
      <c r="DI125" s="25"/>
      <c r="DJ125" s="25"/>
      <c r="DK125" s="25"/>
      <c r="DL125" s="25"/>
      <c r="DM125" s="25"/>
      <c r="DN125" s="25"/>
      <c r="DO125" s="25"/>
      <c r="DP125" s="25"/>
      <c r="DQ125" s="25"/>
      <c r="EK125" s="25"/>
      <c r="EL125" s="25"/>
      <c r="EM125" s="25"/>
      <c r="EN125" s="25"/>
      <c r="EO125" s="25"/>
      <c r="EP125" s="25"/>
      <c r="ER125" s="25"/>
      <c r="ES125" s="25"/>
      <c r="ET125" s="25"/>
      <c r="EU125" s="26" t="s">
        <v>176</v>
      </c>
      <c r="EV125" s="69">
        <v>43916.89912037037</v>
      </c>
      <c r="EW125" s="26">
        <v>43852</v>
      </c>
      <c r="EX125" s="26">
        <v>43852</v>
      </c>
      <c r="EY125" s="25">
        <v>4</v>
      </c>
      <c r="EZ125" s="25">
        <v>0.2221429979133962</v>
      </c>
      <c r="FA125" s="81">
        <v>2.7419658379043434E-6</v>
      </c>
      <c r="FB125" s="21">
        <v>1537.6493038446686</v>
      </c>
      <c r="FC125" s="82">
        <v>81015.961191981085</v>
      </c>
      <c r="FD125" s="82">
        <v>2021.5829170643694</v>
      </c>
      <c r="FE125" s="83">
        <v>1.4172725569262275E-4</v>
      </c>
      <c r="FF125" s="84">
        <v>2.7419658379043434E-3</v>
      </c>
      <c r="FG125" s="26">
        <v>43915</v>
      </c>
      <c r="FH125" s="84" t="s">
        <v>1032</v>
      </c>
      <c r="FI125" s="84">
        <v>81015.961191981085</v>
      </c>
      <c r="FJ125" s="84">
        <v>81661</v>
      </c>
      <c r="FK125" t="s">
        <v>1127</v>
      </c>
      <c r="FL125" s="26">
        <v>43915</v>
      </c>
      <c r="FM125" s="25">
        <v>64</v>
      </c>
      <c r="FN125" s="25" t="s">
        <v>1128</v>
      </c>
      <c r="FO125" s="25"/>
      <c r="FP125" s="72" t="s">
        <v>1129</v>
      </c>
      <c r="FR125" s="72" t="s">
        <v>1566</v>
      </c>
      <c r="FS125" s="19">
        <v>567.35670848808377</v>
      </c>
      <c r="FT125" s="72">
        <v>43912</v>
      </c>
      <c r="FU125" s="25">
        <v>-4</v>
      </c>
      <c r="FV125" s="142">
        <v>43912</v>
      </c>
      <c r="FW125">
        <v>-4</v>
      </c>
      <c r="GK125" s="26" t="s">
        <v>153</v>
      </c>
      <c r="GL125" s="69">
        <v>43918.531284722223</v>
      </c>
      <c r="GM125" s="26">
        <v>43855</v>
      </c>
      <c r="GN125" s="26">
        <v>43903</v>
      </c>
      <c r="GO125">
        <v>1</v>
      </c>
      <c r="GP125">
        <v>0.2246812154486027</v>
      </c>
      <c r="GQ125" s="81">
        <v>4.7873000600838505E-5</v>
      </c>
      <c r="GR125">
        <v>85.61351503796898</v>
      </c>
      <c r="GS125">
        <v>4693.2762231049155</v>
      </c>
      <c r="GT125" s="83">
        <v>31.104564909230334</v>
      </c>
      <c r="GU125" s="26">
        <v>2.5764932031341467E-3</v>
      </c>
      <c r="GV125">
        <v>4.7873000600838503E-2</v>
      </c>
      <c r="GW125" s="26">
        <v>43917</v>
      </c>
      <c r="GX125" s="84" t="s">
        <v>1796</v>
      </c>
      <c r="GY125">
        <v>4693.2762231049155</v>
      </c>
      <c r="GZ125" s="26">
        <v>1405</v>
      </c>
      <c r="HA125" s="25" t="s">
        <v>1797</v>
      </c>
      <c r="HB125" s="26">
        <v>43917</v>
      </c>
      <c r="HC125">
        <v>63</v>
      </c>
      <c r="HD125" t="s">
        <v>1798</v>
      </c>
      <c r="HF125" s="72" t="s">
        <v>1799</v>
      </c>
      <c r="HH125" s="72" t="s">
        <v>1800</v>
      </c>
      <c r="HI125">
        <v>1738.8613861386139</v>
      </c>
      <c r="HM125" s="25"/>
      <c r="HN125" t="s">
        <v>1650</v>
      </c>
    </row>
    <row r="126" spans="2:222" x14ac:dyDescent="0.25">
      <c r="B126" s="15" t="s">
        <v>191</v>
      </c>
      <c r="BR126" s="106"/>
      <c r="BX126" s="25"/>
      <c r="CA126" s="25"/>
      <c r="CB126" s="25"/>
      <c r="CC126" s="25"/>
      <c r="CF126" s="25"/>
      <c r="CG126" s="25"/>
      <c r="CN126" s="25"/>
      <c r="CO126" s="25"/>
      <c r="CP126" s="25"/>
      <c r="CQ126" s="25"/>
      <c r="CR126" s="25"/>
      <c r="CS126" s="25"/>
      <c r="CT126" s="25"/>
      <c r="CU126" s="25"/>
      <c r="CV126" s="25"/>
      <c r="CW126" s="25"/>
      <c r="CZ126" s="25"/>
      <c r="DA126" s="25"/>
      <c r="DB126" s="25"/>
      <c r="DC126" s="25"/>
      <c r="DD126" s="25"/>
      <c r="DE126" s="25"/>
      <c r="DH126" s="25"/>
      <c r="DI126" s="25"/>
      <c r="DJ126" s="25"/>
      <c r="DK126" s="25"/>
      <c r="DL126" s="25"/>
      <c r="DM126" s="25"/>
      <c r="DN126" s="25"/>
      <c r="DO126" s="25"/>
      <c r="DP126" s="25"/>
      <c r="DQ126" s="25"/>
      <c r="EK126" s="25"/>
      <c r="EL126" s="25"/>
      <c r="EM126" s="25"/>
      <c r="EN126" s="25"/>
      <c r="EO126" s="25"/>
      <c r="EP126" s="25"/>
      <c r="ER126" s="25"/>
      <c r="ES126" s="25"/>
      <c r="ET126" s="25"/>
      <c r="EU126" s="26" t="s">
        <v>176</v>
      </c>
      <c r="EV126" s="69">
        <v>43918.900983796295</v>
      </c>
      <c r="EW126" s="26">
        <v>43852</v>
      </c>
      <c r="EX126" s="26">
        <v>43852</v>
      </c>
      <c r="EY126" s="25">
        <v>4</v>
      </c>
      <c r="EZ126" s="25">
        <v>0.94828892292093736</v>
      </c>
      <c r="FA126" s="81">
        <v>1.4233401180346329E-5</v>
      </c>
      <c r="FB126" s="21">
        <v>1.2266031119106437E-2</v>
      </c>
      <c r="FC126" s="82">
        <v>66624.196908771701</v>
      </c>
      <c r="FD126" s="82">
        <v>12710.229945295172</v>
      </c>
      <c r="FE126" s="83">
        <v>77.310153473887254</v>
      </c>
      <c r="FF126" s="84">
        <v>1.423340118034633E-2</v>
      </c>
      <c r="FG126" s="26">
        <v>43917</v>
      </c>
      <c r="FH126" s="84" t="s">
        <v>1854</v>
      </c>
      <c r="FI126" s="84">
        <v>66624.196908771701</v>
      </c>
      <c r="FJ126" s="84">
        <v>81897</v>
      </c>
      <c r="FK126" t="s">
        <v>1855</v>
      </c>
      <c r="FL126" s="26">
        <v>43917</v>
      </c>
      <c r="FM126" s="25">
        <v>66</v>
      </c>
      <c r="FN126" s="25" t="s">
        <v>1856</v>
      </c>
      <c r="FO126" s="25"/>
      <c r="FP126" s="72" t="s">
        <v>1857</v>
      </c>
      <c r="FR126" s="72" t="s">
        <v>1858</v>
      </c>
      <c r="FS126" s="19">
        <v>568.99636736077935</v>
      </c>
      <c r="FT126" s="72">
        <v>43912</v>
      </c>
      <c r="FU126" s="25">
        <v>-6</v>
      </c>
      <c r="FV126" s="142">
        <v>43912</v>
      </c>
      <c r="FW126">
        <v>-6</v>
      </c>
      <c r="GK126" s="26" t="s">
        <v>153</v>
      </c>
      <c r="GL126" s="69">
        <v>43918.534849537034</v>
      </c>
      <c r="GM126" s="26">
        <v>43855</v>
      </c>
      <c r="GN126" s="26">
        <v>43896</v>
      </c>
      <c r="GO126">
        <v>1</v>
      </c>
      <c r="GP126">
        <v>0.21961303049949057</v>
      </c>
      <c r="GQ126" s="81">
        <v>4.2162609644628427E-5</v>
      </c>
      <c r="GR126">
        <v>19.270795902934754</v>
      </c>
      <c r="GS126">
        <v>5208.715313177242</v>
      </c>
      <c r="GT126" s="83">
        <v>25.827367665119393</v>
      </c>
      <c r="GU126" s="26">
        <v>1.1353995162232643E-2</v>
      </c>
      <c r="GV126">
        <v>4.2162609644628431E-2</v>
      </c>
      <c r="GW126" s="26">
        <v>43917</v>
      </c>
      <c r="GX126" s="84" t="s">
        <v>1801</v>
      </c>
      <c r="GY126">
        <v>5208.715313177242</v>
      </c>
      <c r="GZ126" s="26">
        <v>1405</v>
      </c>
      <c r="HA126" s="25" t="s">
        <v>1802</v>
      </c>
      <c r="HB126" s="26">
        <v>43917</v>
      </c>
      <c r="HC126">
        <v>63</v>
      </c>
      <c r="HD126" t="s">
        <v>1803</v>
      </c>
      <c r="HF126" s="72" t="s">
        <v>1804</v>
      </c>
      <c r="HH126" s="72" t="s">
        <v>1805</v>
      </c>
      <c r="HI126">
        <v>1738.8613861386139</v>
      </c>
      <c r="HM126" s="25"/>
      <c r="HN126" t="s">
        <v>1650</v>
      </c>
    </row>
    <row r="127" spans="2:222" x14ac:dyDescent="0.25">
      <c r="BR127" s="106"/>
      <c r="CN127" s="25"/>
      <c r="CO127" s="25"/>
      <c r="CP127" s="25"/>
      <c r="CQ127" s="25"/>
      <c r="CR127" s="25"/>
      <c r="CS127" s="25"/>
      <c r="CT127" s="25"/>
      <c r="CU127" s="25"/>
      <c r="CV127" s="25"/>
      <c r="CW127" s="25"/>
      <c r="CZ127" s="25"/>
      <c r="DA127" s="25"/>
      <c r="DB127" s="25"/>
      <c r="DC127" s="25"/>
      <c r="DD127" s="25"/>
      <c r="DE127" s="25"/>
      <c r="DH127" s="25"/>
      <c r="DI127" s="25"/>
      <c r="DJ127" s="25"/>
      <c r="DK127" s="25"/>
      <c r="DL127" s="25"/>
      <c r="DM127" s="25"/>
      <c r="DN127" s="25"/>
      <c r="DO127" s="25"/>
      <c r="DP127" s="25"/>
      <c r="EK127" s="25"/>
      <c r="EL127" s="25"/>
      <c r="EM127" s="25"/>
      <c r="EN127" s="25"/>
      <c r="EO127" s="25"/>
      <c r="EP127" s="25"/>
      <c r="ER127" s="25"/>
      <c r="ES127" s="25"/>
      <c r="ET127" s="25"/>
      <c r="EU127" s="69" t="s">
        <v>176</v>
      </c>
      <c r="EV127" s="69">
        <v>43919.682939814818</v>
      </c>
      <c r="EW127" s="26">
        <v>43852</v>
      </c>
      <c r="EX127" s="26">
        <v>43852</v>
      </c>
      <c r="EY127" s="25">
        <v>4</v>
      </c>
      <c r="EZ127" s="25">
        <v>0.22086046237004009</v>
      </c>
      <c r="FA127" s="25">
        <v>2.7225251030594298E-6</v>
      </c>
      <c r="FB127" s="21">
        <v>1564.3318847176652</v>
      </c>
      <c r="FC127" s="82">
        <v>81123.388769436424</v>
      </c>
      <c r="FD127" s="82">
        <v>1977.7306086429485</v>
      </c>
      <c r="FE127" s="83">
        <v>1.3846264444291679E-4</v>
      </c>
      <c r="FF127" s="84">
        <v>2.7225251030594299E-3</v>
      </c>
      <c r="FG127" s="26">
        <v>43918</v>
      </c>
      <c r="FH127" s="26" t="s">
        <v>1937</v>
      </c>
      <c r="FI127" s="84">
        <v>81123.388769436424</v>
      </c>
      <c r="FJ127" s="84">
        <v>81999</v>
      </c>
      <c r="FK127" s="26" t="s">
        <v>1938</v>
      </c>
      <c r="FL127" s="26">
        <v>43918</v>
      </c>
      <c r="FM127" s="25">
        <v>67</v>
      </c>
      <c r="FN127" s="25" t="s">
        <v>1939</v>
      </c>
      <c r="FO127" s="25"/>
      <c r="FP127" s="25" t="s">
        <v>1940</v>
      </c>
      <c r="FQ127" s="72"/>
      <c r="FR127" s="25" t="s">
        <v>1941</v>
      </c>
      <c r="FS127" s="19">
        <v>569.70503348372392</v>
      </c>
      <c r="FT127" s="72">
        <v>43912</v>
      </c>
      <c r="FU127" s="25">
        <v>-7</v>
      </c>
      <c r="FV127" s="142">
        <v>43912</v>
      </c>
      <c r="FW127">
        <v>-7</v>
      </c>
      <c r="GK127" s="26" t="s">
        <v>153</v>
      </c>
      <c r="GL127" s="69">
        <v>43918.535995370374</v>
      </c>
      <c r="GM127" s="26">
        <v>43855</v>
      </c>
      <c r="GN127" s="26">
        <v>43855</v>
      </c>
      <c r="GO127">
        <v>1</v>
      </c>
      <c r="GP127">
        <v>0.18991346451426533</v>
      </c>
      <c r="GQ127" s="81">
        <v>9.9999999973021834E-13</v>
      </c>
      <c r="GR127">
        <v>1.1179771111240787E-2</v>
      </c>
      <c r="GS127">
        <v>189913464565.50049</v>
      </c>
      <c r="GT127" s="83">
        <v>17.418295331308869</v>
      </c>
      <c r="GU127" s="26">
        <v>16.987240849976278</v>
      </c>
      <c r="GV127">
        <v>9.9999999973021841E-10</v>
      </c>
      <c r="GW127" s="26">
        <v>43917</v>
      </c>
      <c r="GX127" s="84" t="s">
        <v>1806</v>
      </c>
      <c r="GY127">
        <v>189913464565.45117</v>
      </c>
      <c r="GZ127" s="26">
        <v>1405</v>
      </c>
      <c r="HA127" s="25" t="s">
        <v>1807</v>
      </c>
      <c r="HB127" s="26">
        <v>43917</v>
      </c>
      <c r="HC127">
        <v>63</v>
      </c>
      <c r="HD127" t="s">
        <v>1808</v>
      </c>
      <c r="HF127" s="72" t="s">
        <v>1809</v>
      </c>
      <c r="HH127" s="72" t="s">
        <v>1810</v>
      </c>
      <c r="HI127">
        <v>1738.8613861386139</v>
      </c>
      <c r="HM127" s="25"/>
      <c r="HN127" t="s">
        <v>1650</v>
      </c>
    </row>
    <row r="128" spans="2:222" x14ac:dyDescent="0.25">
      <c r="BR128" s="106"/>
      <c r="EK128" s="25"/>
      <c r="EL128" s="25"/>
      <c r="EM128" s="25"/>
      <c r="EN128" s="25"/>
      <c r="EO128" s="25"/>
      <c r="EP128" s="25"/>
      <c r="ER128" s="25"/>
      <c r="ES128" s="25"/>
      <c r="ET128" s="25"/>
      <c r="EU128" s="25" t="s">
        <v>176</v>
      </c>
      <c r="EV128" s="69">
        <v>43921.5859375</v>
      </c>
      <c r="EW128" s="26">
        <v>43852</v>
      </c>
      <c r="EX128" s="26">
        <v>43852</v>
      </c>
      <c r="EY128" s="25">
        <v>4</v>
      </c>
      <c r="EZ128" s="25">
        <v>0.22086046237004014</v>
      </c>
      <c r="FA128" s="83">
        <v>2.7200371732727601E-6</v>
      </c>
      <c r="FB128" s="21">
        <v>1564.3318847176652</v>
      </c>
      <c r="FC128" s="82">
        <v>81197.589702165686</v>
      </c>
      <c r="FD128" s="82">
        <v>1946.5658127657914</v>
      </c>
      <c r="FE128" s="83">
        <v>1.3846513237270351E-4</v>
      </c>
      <c r="FF128" s="84">
        <v>2.7200371732727601E-3</v>
      </c>
      <c r="FG128" s="26">
        <v>43920</v>
      </c>
      <c r="FH128" s="25" t="s">
        <v>2038</v>
      </c>
      <c r="FI128" s="84">
        <v>81197.589702165686</v>
      </c>
      <c r="FJ128" s="84">
        <v>82240</v>
      </c>
      <c r="FK128" s="25" t="s">
        <v>1938</v>
      </c>
      <c r="FL128" s="26">
        <v>43921</v>
      </c>
      <c r="FM128" s="25">
        <v>70</v>
      </c>
      <c r="FN128" s="25" t="s">
        <v>2039</v>
      </c>
      <c r="FO128" s="72"/>
      <c r="FP128" s="25" t="s">
        <v>1940</v>
      </c>
      <c r="FR128" s="25" t="s">
        <v>2040</v>
      </c>
      <c r="FS128" s="19">
        <v>571.37943089185796</v>
      </c>
      <c r="FT128" s="72">
        <v>43912</v>
      </c>
      <c r="FU128" s="25">
        <v>-9</v>
      </c>
      <c r="FV128" s="142">
        <v>43912</v>
      </c>
      <c r="FW128">
        <v>-9</v>
      </c>
      <c r="GK128" s="26" t="s">
        <v>48</v>
      </c>
      <c r="GL128" s="69">
        <v>43918.537465277775</v>
      </c>
      <c r="GM128" s="26">
        <v>43855</v>
      </c>
      <c r="GN128" s="26">
        <v>43855</v>
      </c>
      <c r="GO128">
        <v>0</v>
      </c>
      <c r="GP128">
        <v>0.18796673986065748</v>
      </c>
      <c r="GQ128" s="81">
        <v>9.9999999926047507E-13</v>
      </c>
      <c r="GR128">
        <v>2.8958004495633259E-2</v>
      </c>
      <c r="GS128">
        <v>187966739999.66357</v>
      </c>
      <c r="GT128" s="83">
        <v>54.09763879805417</v>
      </c>
      <c r="GU128" s="26">
        <v>6.4910114883424752</v>
      </c>
      <c r="GV128">
        <v>9.9999999926047516E-10</v>
      </c>
      <c r="GW128" s="26">
        <v>43917</v>
      </c>
      <c r="GX128" s="84" t="s">
        <v>1811</v>
      </c>
      <c r="GY128">
        <v>187966739999.62927</v>
      </c>
      <c r="GZ128" s="26">
        <v>3167</v>
      </c>
      <c r="HA128" s="25" t="s">
        <v>1812</v>
      </c>
      <c r="HB128" s="26">
        <v>43917</v>
      </c>
      <c r="HC128">
        <v>63</v>
      </c>
      <c r="HD128" t="s">
        <v>1813</v>
      </c>
      <c r="HF128" s="72" t="s">
        <v>1814</v>
      </c>
      <c r="HH128" s="72" t="s">
        <v>1815</v>
      </c>
      <c r="HI128">
        <v>1248.6200914682227</v>
      </c>
      <c r="HM128" s="25"/>
      <c r="HN128" t="s">
        <v>1651</v>
      </c>
    </row>
    <row r="129" spans="2:179" x14ac:dyDescent="0.25">
      <c r="B129" s="13" t="s">
        <v>169</v>
      </c>
      <c r="C129" s="16" t="s">
        <v>170</v>
      </c>
      <c r="D129" s="33"/>
      <c r="BR129" s="106"/>
      <c r="EK129" s="25"/>
      <c r="EL129" s="25"/>
      <c r="EM129" s="25"/>
      <c r="EN129" s="25"/>
      <c r="EO129" s="25"/>
      <c r="EP129" s="25"/>
      <c r="ER129" s="25"/>
      <c r="ES129" s="25"/>
      <c r="ET129" s="25"/>
      <c r="EU129" s="25" t="s">
        <v>176</v>
      </c>
      <c r="EV129" s="69">
        <v>43922.849675925929</v>
      </c>
      <c r="EW129" s="26">
        <v>43852</v>
      </c>
      <c r="EX129" s="26">
        <v>43852</v>
      </c>
      <c r="EY129" s="82">
        <v>4</v>
      </c>
      <c r="EZ129" s="82">
        <v>0.22086046237004014</v>
      </c>
      <c r="FA129" s="84">
        <v>2.7200335546735049E-6</v>
      </c>
      <c r="FB129" s="26">
        <v>1564.3318847176652</v>
      </c>
      <c r="FC129" s="81">
        <v>81197.69772345724</v>
      </c>
      <c r="FD129" s="81">
        <v>1946.8700102123714</v>
      </c>
      <c r="FE129" s="84">
        <v>1.3846513599130277E-4</v>
      </c>
      <c r="FF129" s="84">
        <v>2.7200335546735048E-3</v>
      </c>
      <c r="FG129" s="26">
        <v>43921</v>
      </c>
      <c r="FH129" s="26" t="s">
        <v>2038</v>
      </c>
      <c r="FI129" s="83">
        <v>81197.69772345724</v>
      </c>
      <c r="FJ129" s="83">
        <v>82279</v>
      </c>
      <c r="FK129" s="72" t="s">
        <v>1938</v>
      </c>
      <c r="FL129" s="26">
        <v>43921</v>
      </c>
      <c r="FM129" s="25">
        <v>70</v>
      </c>
      <c r="FN129" s="25" t="s">
        <v>2102</v>
      </c>
      <c r="FO129" s="72"/>
      <c r="FP129" s="72" t="s">
        <v>1940</v>
      </c>
      <c r="FR129" s="25" t="s">
        <v>2103</v>
      </c>
      <c r="FS129" s="19">
        <v>571.65039146827792</v>
      </c>
      <c r="FT129" s="72">
        <v>43912</v>
      </c>
      <c r="FU129" s="25">
        <v>-10</v>
      </c>
      <c r="FV129" s="149"/>
    </row>
    <row r="130" spans="2:179" x14ac:dyDescent="0.25">
      <c r="BR130" s="106"/>
      <c r="EK130" s="25"/>
      <c r="EL130" s="25"/>
      <c r="EM130" s="25"/>
      <c r="EN130" s="25"/>
      <c r="EO130" s="25"/>
      <c r="EP130" s="25"/>
      <c r="ER130" s="25"/>
      <c r="ES130" s="25"/>
      <c r="ET130" s="25"/>
      <c r="EU130" s="25" t="s">
        <v>957</v>
      </c>
      <c r="EV130" s="69">
        <v>43911.866331018522</v>
      </c>
      <c r="EW130" s="26">
        <v>43852</v>
      </c>
      <c r="EX130" s="26">
        <v>43880</v>
      </c>
      <c r="EY130" s="25">
        <v>5</v>
      </c>
      <c r="EZ130" s="25">
        <v>0.32566109072274135</v>
      </c>
      <c r="FA130" s="71">
        <v>3.9144727914542807E-5</v>
      </c>
      <c r="FB130" s="21">
        <v>174.6164952155498</v>
      </c>
      <c r="FC130" s="82">
        <v>8319.4112738168697</v>
      </c>
      <c r="FD130" s="82">
        <v>139.72665717739883</v>
      </c>
      <c r="FE130" s="83">
        <v>1.8258628724312283E-3</v>
      </c>
      <c r="FF130" s="84">
        <v>3.9144727914542807E-2</v>
      </c>
      <c r="FG130" s="26">
        <v>43910</v>
      </c>
      <c r="FH130" s="25" t="s">
        <v>1033</v>
      </c>
      <c r="FI130" s="84"/>
      <c r="FJ130" s="84">
        <v>8652</v>
      </c>
      <c r="FK130" t="s">
        <v>1034</v>
      </c>
      <c r="FL130" s="26">
        <v>43910</v>
      </c>
      <c r="FM130" s="25">
        <v>59</v>
      </c>
      <c r="FN130" s="25" t="s">
        <v>1035</v>
      </c>
      <c r="FO130" s="25"/>
      <c r="FP130" s="25" t="s">
        <v>1036</v>
      </c>
      <c r="FQ130" t="s">
        <v>966</v>
      </c>
      <c r="FR130" s="25" t="s">
        <v>1059</v>
      </c>
      <c r="FS130" s="19">
        <v>1683.2684824902724</v>
      </c>
      <c r="FT130" s="72">
        <v>43890</v>
      </c>
      <c r="FU130" s="25">
        <v>21</v>
      </c>
      <c r="FV130" s="142">
        <v>43889</v>
      </c>
      <c r="FW130">
        <v>22</v>
      </c>
    </row>
    <row r="131" spans="2:179" x14ac:dyDescent="0.25">
      <c r="BR131" s="106"/>
      <c r="EK131" s="25"/>
      <c r="EL131" s="25"/>
      <c r="EM131" s="25"/>
      <c r="EN131" s="25"/>
      <c r="EO131" s="25"/>
      <c r="EP131" s="25"/>
      <c r="ER131" s="25"/>
      <c r="ES131" s="25"/>
      <c r="ET131" s="25"/>
      <c r="EU131" s="25" t="s">
        <v>957</v>
      </c>
      <c r="EV131" s="69"/>
      <c r="EW131" s="26">
        <v>43852</v>
      </c>
      <c r="EY131" s="25">
        <v>5</v>
      </c>
      <c r="EZ131" s="25">
        <v>0.33457917057724718</v>
      </c>
      <c r="FA131" s="71">
        <v>4.0721909397092568E-5</v>
      </c>
      <c r="FB131" s="21">
        <v>161.50151869158597</v>
      </c>
      <c r="FC131" s="82">
        <v>8216.19554512184</v>
      </c>
      <c r="FD131" s="82">
        <v>148.73667220847148</v>
      </c>
      <c r="FE131" s="83">
        <v>2.0309562598725215E-3</v>
      </c>
      <c r="FF131" s="84">
        <v>4.0721909397092568E-2</v>
      </c>
      <c r="FG131" s="26">
        <v>43910</v>
      </c>
      <c r="FH131" s="25" t="s">
        <v>990</v>
      </c>
      <c r="FI131" s="84"/>
      <c r="FJ131" s="84">
        <v>8652</v>
      </c>
      <c r="FK131" s="25" t="s">
        <v>991</v>
      </c>
      <c r="FL131" s="26">
        <v>43910</v>
      </c>
      <c r="FM131" s="25">
        <v>59</v>
      </c>
      <c r="FN131" s="25" t="s">
        <v>992</v>
      </c>
      <c r="FO131" s="25"/>
      <c r="FP131" s="25" t="s">
        <v>993</v>
      </c>
      <c r="FQ131" s="25" t="s">
        <v>966</v>
      </c>
      <c r="FR131" s="25" t="s">
        <v>994</v>
      </c>
      <c r="FS131" s="19">
        <v>1683.2684824902724</v>
      </c>
      <c r="FT131" s="72">
        <v>43890</v>
      </c>
      <c r="FU131" s="25">
        <v>20</v>
      </c>
      <c r="FV131" s="142">
        <v>43889</v>
      </c>
      <c r="FW131">
        <v>21</v>
      </c>
    </row>
    <row r="132" spans="2:179" x14ac:dyDescent="0.25">
      <c r="BR132" s="106"/>
      <c r="EK132" s="25"/>
      <c r="EL132" s="25"/>
      <c r="EM132" s="25"/>
      <c r="EN132" s="25"/>
      <c r="EO132" s="25"/>
      <c r="EP132" s="25"/>
      <c r="ER132" s="25"/>
      <c r="ES132" s="25"/>
      <c r="ET132" s="25"/>
      <c r="EU132" s="25" t="s">
        <v>957</v>
      </c>
      <c r="EV132" s="69">
        <v>43912.32671296296</v>
      </c>
      <c r="EW132" s="26">
        <v>43852</v>
      </c>
      <c r="EX132" s="26">
        <v>43880</v>
      </c>
      <c r="EY132" s="25">
        <v>5</v>
      </c>
      <c r="EZ132" s="25">
        <v>0.32050342361704887</v>
      </c>
      <c r="FA132" s="71">
        <v>3.8255187244755717E-5</v>
      </c>
      <c r="FB132" s="21">
        <v>182.78805705771839</v>
      </c>
      <c r="FC132" s="82">
        <v>8378.0382923360467</v>
      </c>
      <c r="FD132" s="82">
        <v>160.37089883020292</v>
      </c>
      <c r="FE132" s="25">
        <v>1.7151603737940299E-3</v>
      </c>
      <c r="FF132" s="84">
        <v>3.8255187244755719E-2</v>
      </c>
      <c r="FG132" s="26">
        <v>43911</v>
      </c>
      <c r="FH132" s="25" t="s">
        <v>1076</v>
      </c>
      <c r="FI132" s="84"/>
      <c r="FJ132" s="84">
        <v>8799</v>
      </c>
      <c r="FK132" t="s">
        <v>1077</v>
      </c>
      <c r="FL132" s="26">
        <v>43911</v>
      </c>
      <c r="FM132" s="25">
        <v>60</v>
      </c>
      <c r="FN132" s="25" t="s">
        <v>1078</v>
      </c>
      <c r="FO132"/>
      <c r="FP132" s="25" t="s">
        <v>1079</v>
      </c>
      <c r="FQ132" t="s">
        <v>966</v>
      </c>
      <c r="FR132" s="25" t="s">
        <v>1080</v>
      </c>
      <c r="FS132" s="19">
        <v>1711.8677042801557</v>
      </c>
      <c r="FT132" s="72">
        <v>43890</v>
      </c>
      <c r="FU132" s="25">
        <v>21</v>
      </c>
      <c r="FV132" s="142">
        <v>43889</v>
      </c>
      <c r="FW132">
        <v>23</v>
      </c>
    </row>
    <row r="133" spans="2:179" x14ac:dyDescent="0.25">
      <c r="BR133" s="106"/>
      <c r="EK133" s="25"/>
      <c r="EL133" s="25"/>
      <c r="EM133" s="25"/>
      <c r="EN133" s="25"/>
      <c r="EO133" s="25"/>
      <c r="EP133" s="25"/>
      <c r="ER133" s="25"/>
      <c r="ES133" s="25"/>
      <c r="ET133" s="25"/>
      <c r="EU133" s="25" t="s">
        <v>957</v>
      </c>
      <c r="EV133" s="69">
        <v>43912.588761574072</v>
      </c>
      <c r="EW133" s="26">
        <v>43852</v>
      </c>
      <c r="EX133" s="26">
        <v>43880</v>
      </c>
      <c r="EY133" s="25">
        <v>5</v>
      </c>
      <c r="EZ133" s="25">
        <v>0.32050342361704887</v>
      </c>
      <c r="FA133" s="71">
        <v>3.8255187244755717E-5</v>
      </c>
      <c r="FB133" s="21">
        <v>182.78805705771839</v>
      </c>
      <c r="FC133" s="82">
        <v>8378.0382923360467</v>
      </c>
      <c r="FD133" s="82">
        <v>160.37089883020292</v>
      </c>
      <c r="FE133" s="25">
        <v>1.7151603737940299E-3</v>
      </c>
      <c r="FF133" s="84">
        <v>3.8255187244755719E-2</v>
      </c>
      <c r="FG133" s="26">
        <v>43911</v>
      </c>
      <c r="FH133" s="25" t="s">
        <v>1076</v>
      </c>
      <c r="FI133" s="84"/>
      <c r="FJ133" s="84">
        <v>8799</v>
      </c>
      <c r="FK133" s="25" t="s">
        <v>1077</v>
      </c>
      <c r="FL133" s="26">
        <v>43911</v>
      </c>
      <c r="FM133" s="25">
        <v>60</v>
      </c>
      <c r="FN133" s="25" t="s">
        <v>1078</v>
      </c>
      <c r="FO133"/>
      <c r="FP133" s="25" t="s">
        <v>1079</v>
      </c>
      <c r="FQ133" s="25" t="s">
        <v>966</v>
      </c>
      <c r="FR133" s="25" t="s">
        <v>1080</v>
      </c>
      <c r="FS133" s="19">
        <v>1711.8677042801557</v>
      </c>
      <c r="FT133" s="72">
        <v>43891</v>
      </c>
      <c r="FU133" s="25">
        <v>21</v>
      </c>
      <c r="FV133" s="142">
        <v>43890</v>
      </c>
      <c r="FW133">
        <v>22</v>
      </c>
    </row>
    <row r="134" spans="2:179" x14ac:dyDescent="0.25">
      <c r="BR134" s="106"/>
      <c r="EK134" s="25"/>
      <c r="EL134" s="25"/>
      <c r="EM134" s="25"/>
      <c r="EN134" s="25"/>
      <c r="EO134" s="25"/>
      <c r="EP134" s="25"/>
      <c r="ER134" s="25"/>
      <c r="ES134" s="25"/>
      <c r="ET134" s="25"/>
      <c r="EU134" s="25" t="s">
        <v>957</v>
      </c>
      <c r="EV134" s="69">
        <v>43913.581724537034</v>
      </c>
      <c r="EW134" s="26">
        <v>43852</v>
      </c>
      <c r="EX134" s="26">
        <v>43880</v>
      </c>
      <c r="EY134" s="25">
        <v>5</v>
      </c>
      <c r="EZ134" s="25">
        <v>0.32049770084288381</v>
      </c>
      <c r="FA134" s="81">
        <v>3.8254432735924097E-5</v>
      </c>
      <c r="FB134" s="21">
        <v>182.80037759483983</v>
      </c>
      <c r="FC134" s="82">
        <v>8378.0539383586201</v>
      </c>
      <c r="FD134" s="82">
        <v>160.3709022384939</v>
      </c>
      <c r="FE134" s="25">
        <v>1.7150116439525903E-3</v>
      </c>
      <c r="FF134" s="84">
        <v>3.8254432735924097E-2</v>
      </c>
      <c r="FG134" s="26">
        <v>43911</v>
      </c>
      <c r="FH134" s="25" t="s">
        <v>1076</v>
      </c>
      <c r="FI134" s="84">
        <v>8378.0539383586201</v>
      </c>
      <c r="FJ134" s="84">
        <v>8799</v>
      </c>
      <c r="FK134" s="25" t="s">
        <v>1077</v>
      </c>
      <c r="FL134" s="26">
        <v>43911</v>
      </c>
      <c r="FM134" s="25">
        <v>60</v>
      </c>
      <c r="FN134" s="25" t="s">
        <v>1267</v>
      </c>
      <c r="FO134"/>
      <c r="FP134" s="25" t="s">
        <v>1079</v>
      </c>
      <c r="FQ134" s="25" t="s">
        <v>1131</v>
      </c>
      <c r="FR134" s="25" t="s">
        <v>1268</v>
      </c>
      <c r="FS134" s="19">
        <v>1711.8677042801557</v>
      </c>
      <c r="FT134" s="72">
        <v>43892</v>
      </c>
      <c r="FU134" s="25">
        <v>21</v>
      </c>
      <c r="FV134" s="142">
        <v>43891</v>
      </c>
      <c r="FW134">
        <v>21</v>
      </c>
    </row>
    <row r="135" spans="2:179" x14ac:dyDescent="0.25">
      <c r="BR135" s="106"/>
      <c r="EK135" s="25"/>
      <c r="EL135" s="25"/>
      <c r="EM135" s="25"/>
      <c r="EN135" s="25"/>
      <c r="EO135" s="25"/>
      <c r="EP135" s="25"/>
      <c r="ER135" s="25"/>
      <c r="ES135" s="25"/>
      <c r="ET135" s="25"/>
      <c r="EU135" s="25" t="s">
        <v>957</v>
      </c>
      <c r="EV135" s="69">
        <v>43912.787604166668</v>
      </c>
      <c r="EW135" s="26">
        <v>43852</v>
      </c>
      <c r="EX135" s="26">
        <v>43880</v>
      </c>
      <c r="EY135" s="25">
        <v>5</v>
      </c>
      <c r="EZ135" s="25">
        <v>0.31530859841320269</v>
      </c>
      <c r="FA135" s="71">
        <v>3.7372701209800403E-5</v>
      </c>
      <c r="FB135" s="21">
        <v>191.45875124820066</v>
      </c>
      <c r="FC135" s="82">
        <v>8436.8693780827907</v>
      </c>
      <c r="FD135" s="82">
        <v>180.57430626108624</v>
      </c>
      <c r="FE135" s="25">
        <v>1.6095021287865954E-3</v>
      </c>
      <c r="FF135" s="84">
        <v>3.7372701209800401E-2</v>
      </c>
      <c r="FG135" s="26">
        <v>43912</v>
      </c>
      <c r="FH135" s="25" t="s">
        <v>1132</v>
      </c>
      <c r="FI135" s="84">
        <v>8436.8693780827907</v>
      </c>
      <c r="FJ135" s="84">
        <v>8897</v>
      </c>
      <c r="FK135" s="25" t="s">
        <v>1133</v>
      </c>
      <c r="FL135" s="26">
        <v>43912</v>
      </c>
      <c r="FM135" s="25">
        <v>61</v>
      </c>
      <c r="FN135" s="25" t="s">
        <v>1134</v>
      </c>
      <c r="FO135" s="25"/>
      <c r="FP135" s="25" t="s">
        <v>1135</v>
      </c>
      <c r="FQ135" t="s">
        <v>1131</v>
      </c>
      <c r="FR135" s="25" t="s">
        <v>1136</v>
      </c>
      <c r="FS135" s="19">
        <v>1730.933852140078</v>
      </c>
      <c r="FT135" s="72">
        <v>43891</v>
      </c>
      <c r="FU135" s="25">
        <v>21</v>
      </c>
      <c r="FV135" s="142">
        <v>43890</v>
      </c>
      <c r="FW135">
        <v>22</v>
      </c>
    </row>
    <row r="136" spans="2:179" x14ac:dyDescent="0.25">
      <c r="BR136" s="106"/>
      <c r="EN136" s="69"/>
      <c r="EP136" s="69"/>
      <c r="EQ136" s="26"/>
      <c r="ES136" s="69"/>
      <c r="EU136" s="25" t="s">
        <v>957</v>
      </c>
      <c r="EV136" s="69">
        <v>43913.686759259261</v>
      </c>
      <c r="EW136" s="26">
        <v>43852</v>
      </c>
      <c r="EX136" s="26">
        <v>43880</v>
      </c>
      <c r="EY136" s="25">
        <v>5</v>
      </c>
      <c r="EZ136" s="25">
        <v>0.31530846480479197</v>
      </c>
      <c r="FA136" s="81">
        <v>3.7372683191517248E-5</v>
      </c>
      <c r="FB136" s="21">
        <v>191.45902658948677</v>
      </c>
      <c r="FC136" s="82">
        <v>8436.8698706749492</v>
      </c>
      <c r="FD136" s="82">
        <v>180.57430629595535</v>
      </c>
      <c r="FE136" s="25">
        <v>1.6094990805559013E-3</v>
      </c>
      <c r="FF136" s="84">
        <v>3.737268319151725E-2</v>
      </c>
      <c r="FG136" s="26">
        <v>43912</v>
      </c>
      <c r="FH136" s="25" t="s">
        <v>1132</v>
      </c>
      <c r="FI136" s="84">
        <v>8436.8698706749492</v>
      </c>
      <c r="FJ136" s="84">
        <v>8897</v>
      </c>
      <c r="FK136" s="25" t="s">
        <v>1133</v>
      </c>
      <c r="FL136" s="26">
        <v>43912</v>
      </c>
      <c r="FM136" s="25">
        <v>61</v>
      </c>
      <c r="FN136" s="25" t="s">
        <v>1134</v>
      </c>
      <c r="FO136" s="25"/>
      <c r="FP136" s="25" t="s">
        <v>1135</v>
      </c>
      <c r="FQ136" s="25" t="s">
        <v>1131</v>
      </c>
      <c r="FR136" s="25" t="s">
        <v>1136</v>
      </c>
      <c r="FS136" s="19">
        <v>1730.933852140078</v>
      </c>
      <c r="FT136" s="72">
        <v>43892</v>
      </c>
      <c r="FU136" s="25">
        <v>21</v>
      </c>
      <c r="FV136" s="142">
        <v>43891</v>
      </c>
      <c r="FW136">
        <v>22</v>
      </c>
    </row>
    <row r="137" spans="2:179" x14ac:dyDescent="0.25">
      <c r="BR137" s="106"/>
      <c r="EK137" s="25"/>
      <c r="EL137" s="25"/>
      <c r="EM137" s="25"/>
      <c r="EN137" s="25"/>
      <c r="EO137" s="25"/>
      <c r="EP137" s="25"/>
      <c r="ER137" s="25"/>
      <c r="ES137" s="25"/>
      <c r="ET137" s="25"/>
      <c r="EU137" s="25" t="s">
        <v>957</v>
      </c>
      <c r="EV137" s="69">
        <v>43914.307905092595</v>
      </c>
      <c r="EW137" s="26">
        <v>43852</v>
      </c>
      <c r="EX137" s="26">
        <v>43880</v>
      </c>
      <c r="EY137" s="25">
        <v>5</v>
      </c>
      <c r="EZ137" s="25">
        <v>0.31529909536225609</v>
      </c>
      <c r="FA137" s="25">
        <v>3.7371446043826805E-5</v>
      </c>
      <c r="FB137" s="21">
        <v>191.4796358534154</v>
      </c>
      <c r="FC137" s="82">
        <v>8436.8984543036895</v>
      </c>
      <c r="FD137" s="82">
        <v>180.57431132119893</v>
      </c>
      <c r="FE137" s="25">
        <v>1.6092741304269209E-3</v>
      </c>
      <c r="FF137" s="84">
        <v>3.7371446043826806E-2</v>
      </c>
      <c r="FG137" s="26">
        <v>43912</v>
      </c>
      <c r="FH137" s="25" t="s">
        <v>1132</v>
      </c>
      <c r="FI137" s="84">
        <v>8436.8984543036895</v>
      </c>
      <c r="FJ137" s="84">
        <v>8897</v>
      </c>
      <c r="FK137" s="25" t="s">
        <v>1133</v>
      </c>
      <c r="FL137" s="26">
        <v>43912</v>
      </c>
      <c r="FM137" s="25">
        <v>61</v>
      </c>
      <c r="FN137" s="25" t="s">
        <v>1333</v>
      </c>
      <c r="FO137" s="25"/>
      <c r="FP137" s="25" t="s">
        <v>1135</v>
      </c>
      <c r="FQ137" s="25" t="s">
        <v>1131</v>
      </c>
      <c r="FR137" s="25" t="s">
        <v>1334</v>
      </c>
      <c r="FS137" s="19">
        <v>1730.933852140078</v>
      </c>
      <c r="FT137" s="72">
        <v>43893</v>
      </c>
      <c r="FU137" s="25">
        <v>20</v>
      </c>
      <c r="FV137" s="142">
        <v>43891</v>
      </c>
      <c r="FW137">
        <v>22</v>
      </c>
    </row>
    <row r="138" spans="2:179" x14ac:dyDescent="0.25">
      <c r="EK138" s="25"/>
      <c r="EL138" s="25"/>
      <c r="EM138" s="25"/>
      <c r="EN138" s="25"/>
      <c r="EO138" s="25"/>
      <c r="EP138" s="25"/>
      <c r="ER138" s="25"/>
      <c r="ES138" s="25"/>
      <c r="ET138" s="25"/>
      <c r="EU138" s="26" t="s">
        <v>957</v>
      </c>
      <c r="EV138" s="69">
        <v>43914.462766203702</v>
      </c>
      <c r="EW138" s="26">
        <v>43852</v>
      </c>
      <c r="EX138" s="26">
        <v>43880</v>
      </c>
      <c r="EY138" s="25">
        <v>5</v>
      </c>
      <c r="EZ138" s="25">
        <v>0.31529909536225609</v>
      </c>
      <c r="FA138" s="25">
        <v>3.7371446043826805E-5</v>
      </c>
      <c r="FB138" s="21">
        <v>191.4796358534154</v>
      </c>
      <c r="FC138" s="82">
        <v>8436.8984543036895</v>
      </c>
      <c r="FD138" s="82">
        <v>180.57431132119893</v>
      </c>
      <c r="FE138" s="25">
        <v>1.6092741304269209E-3</v>
      </c>
      <c r="FF138" s="84">
        <v>3.7371446043826806E-2</v>
      </c>
      <c r="FG138" s="26">
        <v>43912</v>
      </c>
      <c r="FH138" s="25" t="s">
        <v>1132</v>
      </c>
      <c r="FI138" s="84">
        <v>8436.8984543036895</v>
      </c>
      <c r="FJ138" s="84">
        <v>8897</v>
      </c>
      <c r="FK138" s="84" t="s">
        <v>1133</v>
      </c>
      <c r="FL138" s="26">
        <v>43912</v>
      </c>
      <c r="FM138" s="25">
        <v>61</v>
      </c>
      <c r="FN138" s="25" t="s">
        <v>1333</v>
      </c>
      <c r="FO138"/>
      <c r="FP138" t="s">
        <v>1135</v>
      </c>
      <c r="FQ138" s="25" t="s">
        <v>1131</v>
      </c>
      <c r="FR138" s="25" t="s">
        <v>1334</v>
      </c>
      <c r="FS138" s="19">
        <v>1730.933852140078</v>
      </c>
      <c r="FT138" s="72">
        <v>43894</v>
      </c>
      <c r="FU138" s="25">
        <v>20</v>
      </c>
      <c r="FV138" s="142">
        <v>43892</v>
      </c>
      <c r="FW138">
        <v>21</v>
      </c>
    </row>
    <row r="139" spans="2:179" x14ac:dyDescent="0.25">
      <c r="EK139" s="25"/>
      <c r="EL139" s="25"/>
      <c r="EM139" s="25"/>
      <c r="EN139" s="25"/>
      <c r="EO139" s="25"/>
      <c r="EP139" s="25"/>
      <c r="ER139" s="25"/>
      <c r="ES139" s="25"/>
      <c r="ET139" s="25"/>
      <c r="EU139" s="25" t="s">
        <v>957</v>
      </c>
      <c r="EV139" s="69">
        <v>43913.916215277779</v>
      </c>
      <c r="EW139" s="26">
        <v>43852</v>
      </c>
      <c r="EX139" s="26">
        <v>43880</v>
      </c>
      <c r="EY139" s="25">
        <v>5</v>
      </c>
      <c r="EZ139" s="25">
        <v>0.31038865067069232</v>
      </c>
      <c r="FA139" s="25">
        <v>3.6548995738742622E-5</v>
      </c>
      <c r="FB139" s="21">
        <v>200.10242498173187</v>
      </c>
      <c r="FC139" s="82">
        <v>8492.3988853043793</v>
      </c>
      <c r="FD139" s="82">
        <v>198.05252918764555</v>
      </c>
      <c r="FE139" s="25">
        <v>1.5145998756406467E-3</v>
      </c>
      <c r="FF139" s="84">
        <v>3.6548995738742623E-2</v>
      </c>
      <c r="FG139" s="26">
        <v>43913</v>
      </c>
      <c r="FH139" s="25" t="s">
        <v>1328</v>
      </c>
      <c r="FI139" s="84">
        <v>8492.3988853043793</v>
      </c>
      <c r="FJ139" s="84">
        <v>8961</v>
      </c>
      <c r="FK139" t="s">
        <v>1329</v>
      </c>
      <c r="FL139" s="26">
        <v>43913</v>
      </c>
      <c r="FM139" s="25">
        <v>62</v>
      </c>
      <c r="FN139" s="25" t="s">
        <v>1330</v>
      </c>
      <c r="FO139" s="25"/>
      <c r="FP139" s="25" t="s">
        <v>1331</v>
      </c>
      <c r="FQ139" t="s">
        <v>1131</v>
      </c>
      <c r="FR139" s="25" t="s">
        <v>1332</v>
      </c>
      <c r="FS139" s="19">
        <v>1743.3852140077822</v>
      </c>
      <c r="FT139" s="72">
        <v>43893</v>
      </c>
      <c r="FU139" s="25">
        <v>20</v>
      </c>
      <c r="FV139" s="142">
        <v>43891</v>
      </c>
      <c r="FW139" s="25">
        <v>22</v>
      </c>
    </row>
    <row r="140" spans="2:179" x14ac:dyDescent="0.25">
      <c r="EK140" s="25"/>
      <c r="EL140" s="25"/>
      <c r="EM140" s="25"/>
      <c r="EN140" s="25"/>
      <c r="EO140" s="25"/>
      <c r="EP140" s="25"/>
      <c r="ER140" s="25"/>
      <c r="ES140" s="25"/>
      <c r="ET140" s="25"/>
      <c r="EU140" s="26" t="s">
        <v>957</v>
      </c>
      <c r="EV140" s="69">
        <v>43915.873668981483</v>
      </c>
      <c r="EW140" s="26">
        <v>43852</v>
      </c>
      <c r="EX140" s="26">
        <v>43880</v>
      </c>
      <c r="EY140" s="25">
        <v>5</v>
      </c>
      <c r="EZ140">
        <v>0.30019712593019904</v>
      </c>
      <c r="FA140" s="25">
        <v>3.4875999994484985E-5</v>
      </c>
      <c r="FB140" s="21">
        <v>219.42182753498074</v>
      </c>
      <c r="FC140" s="82">
        <v>8607.5560837730773</v>
      </c>
      <c r="FD140" s="82">
        <v>234.59788490584211</v>
      </c>
      <c r="FE140" s="25">
        <v>1.3332519082572176E-3</v>
      </c>
      <c r="FF140" s="84">
        <v>3.4875999994484985E-2</v>
      </c>
      <c r="FG140" s="26">
        <v>43915</v>
      </c>
      <c r="FH140" s="26" t="s">
        <v>1493</v>
      </c>
      <c r="FI140" s="84">
        <v>8607.5560837730773</v>
      </c>
      <c r="FJ140" s="84">
        <v>9137</v>
      </c>
      <c r="FK140" s="84" t="s">
        <v>1494</v>
      </c>
      <c r="FL140" s="26">
        <v>43915</v>
      </c>
      <c r="FM140" s="25">
        <v>64</v>
      </c>
      <c r="FN140" s="25" t="s">
        <v>1495</v>
      </c>
      <c r="FO140" s="25"/>
      <c r="FP140" s="25" t="s">
        <v>1496</v>
      </c>
      <c r="FQ140" t="s">
        <v>1131</v>
      </c>
      <c r="FR140" s="25" t="s">
        <v>1497</v>
      </c>
      <c r="FS140" s="19">
        <v>1777.626459143969</v>
      </c>
      <c r="FT140" s="72">
        <v>43896</v>
      </c>
      <c r="FU140" s="25">
        <v>19</v>
      </c>
      <c r="FV140" s="142">
        <v>43893</v>
      </c>
      <c r="FW140">
        <v>22</v>
      </c>
    </row>
    <row r="141" spans="2:179" x14ac:dyDescent="0.25">
      <c r="EK141" s="25"/>
      <c r="EL141" s="25"/>
      <c r="EM141" s="25"/>
      <c r="EN141" s="25"/>
      <c r="EO141" s="25"/>
      <c r="EP141" s="25"/>
      <c r="ER141" s="25"/>
      <c r="ES141" s="25"/>
      <c r="ET141" s="25"/>
      <c r="EU141" s="26" t="s">
        <v>957</v>
      </c>
      <c r="EV141" s="69">
        <v>43916.899131944447</v>
      </c>
      <c r="EW141" s="26">
        <v>43852</v>
      </c>
      <c r="EX141" s="26">
        <v>43880</v>
      </c>
      <c r="EY141" s="25">
        <v>5</v>
      </c>
      <c r="EZ141" s="25">
        <v>0.30019712593019904</v>
      </c>
      <c r="FA141" s="81">
        <v>3.4875999994484985E-5</v>
      </c>
      <c r="FB141" s="21">
        <v>219.42182753498074</v>
      </c>
      <c r="FC141" s="82">
        <v>8607.5560837730773</v>
      </c>
      <c r="FD141" s="82">
        <v>234.59788490584211</v>
      </c>
      <c r="FE141" s="26">
        <v>1.3332519082572176E-3</v>
      </c>
      <c r="FF141" s="84">
        <v>3.4875999994484985E-2</v>
      </c>
      <c r="FG141" s="26">
        <v>43915</v>
      </c>
      <c r="FH141" s="84" t="s">
        <v>1493</v>
      </c>
      <c r="FI141" s="84">
        <v>8607.5560837730773</v>
      </c>
      <c r="FJ141" s="84">
        <v>9137</v>
      </c>
      <c r="FK141" s="25" t="s">
        <v>1494</v>
      </c>
      <c r="FL141" s="26">
        <v>43915</v>
      </c>
      <c r="FM141" s="25">
        <v>64</v>
      </c>
      <c r="FN141" s="25" t="s">
        <v>1495</v>
      </c>
      <c r="FO141" s="25"/>
      <c r="FP141" s="72" t="s">
        <v>1496</v>
      </c>
      <c r="FQ141" s="25" t="s">
        <v>1131</v>
      </c>
      <c r="FR141" s="72" t="s">
        <v>1497</v>
      </c>
      <c r="FS141" s="19">
        <v>1777.626459143969</v>
      </c>
      <c r="FT141" s="72">
        <v>43901</v>
      </c>
      <c r="FU141" s="25">
        <v>15</v>
      </c>
      <c r="FV141" s="142">
        <v>43895</v>
      </c>
      <c r="FW141">
        <v>21</v>
      </c>
    </row>
    <row r="142" spans="2:179" x14ac:dyDescent="0.25">
      <c r="EK142" s="25"/>
      <c r="EL142" s="25"/>
      <c r="EM142" s="25"/>
      <c r="EN142" s="25"/>
      <c r="EO142" s="25"/>
      <c r="EP142" s="25"/>
      <c r="ER142" s="25"/>
      <c r="ES142" s="25"/>
      <c r="ET142" s="25"/>
      <c r="EU142" s="26" t="s">
        <v>957</v>
      </c>
      <c r="EV142" s="69">
        <v>43918.901099537034</v>
      </c>
      <c r="EW142" s="26">
        <v>43852</v>
      </c>
      <c r="EX142" s="26">
        <v>43880</v>
      </c>
      <c r="EY142" s="25">
        <v>5</v>
      </c>
      <c r="EZ142" s="25">
        <v>0.28892478455434589</v>
      </c>
      <c r="FA142" s="81">
        <v>3.3118463909478883E-5</v>
      </c>
      <c r="FB142" s="21">
        <v>244.08243764614269</v>
      </c>
      <c r="FC142" s="82">
        <v>8723.9790270481808</v>
      </c>
      <c r="FD142" s="82">
        <v>271.55130809584188</v>
      </c>
      <c r="FE142" s="26">
        <v>1.1505995755391977E-3</v>
      </c>
      <c r="FF142" s="84">
        <v>3.3118463909478882E-2</v>
      </c>
      <c r="FG142" s="26">
        <v>43917</v>
      </c>
      <c r="FH142" s="84" t="s">
        <v>1817</v>
      </c>
      <c r="FI142" s="84">
        <v>8723.9790270481808</v>
      </c>
      <c r="FJ142" s="84">
        <v>9332</v>
      </c>
      <c r="FK142" t="s">
        <v>1818</v>
      </c>
      <c r="FL142" s="26">
        <v>43917</v>
      </c>
      <c r="FM142" s="25">
        <v>66</v>
      </c>
      <c r="FN142" s="25" t="s">
        <v>1859</v>
      </c>
      <c r="FO142" s="25"/>
      <c r="FP142" s="72" t="s">
        <v>1579</v>
      </c>
      <c r="FQ142" t="s">
        <v>1131</v>
      </c>
      <c r="FR142" s="72" t="s">
        <v>1860</v>
      </c>
      <c r="FS142" s="19">
        <v>1815.5642023346304</v>
      </c>
      <c r="FT142" s="72">
        <v>43918</v>
      </c>
      <c r="FU142" s="25">
        <v>0</v>
      </c>
      <c r="FV142" s="142">
        <v>43899</v>
      </c>
      <c r="FW142">
        <v>19</v>
      </c>
    </row>
    <row r="143" spans="2:179" x14ac:dyDescent="0.25">
      <c r="EK143" s="25"/>
      <c r="EL143" s="25"/>
      <c r="EM143" s="25"/>
      <c r="EN143" s="25"/>
      <c r="EO143" s="25"/>
      <c r="EP143" s="25"/>
      <c r="ER143" s="25"/>
      <c r="ES143" s="25"/>
      <c r="ET143" s="25"/>
      <c r="EU143" s="69" t="s">
        <v>957</v>
      </c>
      <c r="EV143" s="69">
        <v>43919.68309027778</v>
      </c>
      <c r="EW143" s="26">
        <v>43852</v>
      </c>
      <c r="EX143" s="26">
        <v>43880</v>
      </c>
      <c r="EY143" s="25">
        <v>5</v>
      </c>
      <c r="EZ143">
        <v>0.28348873442288769</v>
      </c>
      <c r="FA143" s="25">
        <v>3.2268604542758705E-5</v>
      </c>
      <c r="FB143" s="21">
        <v>256.64767487584066</v>
      </c>
      <c r="FC143" s="82">
        <v>8785.2802573857971</v>
      </c>
      <c r="FD143" s="82">
        <v>292.86260516877491</v>
      </c>
      <c r="FE143" s="83">
        <v>1.0723146906693722E-3</v>
      </c>
      <c r="FF143" s="84">
        <v>3.2268604542758705E-2</v>
      </c>
      <c r="FG143" s="26">
        <v>43918</v>
      </c>
      <c r="FH143" s="26" t="s">
        <v>1942</v>
      </c>
      <c r="FI143" s="84">
        <v>8785.2802573857971</v>
      </c>
      <c r="FJ143" s="84">
        <v>9478</v>
      </c>
      <c r="FK143" s="26" t="s">
        <v>1943</v>
      </c>
      <c r="FL143" s="26">
        <v>43918</v>
      </c>
      <c r="FM143" s="25">
        <v>67</v>
      </c>
      <c r="FN143" s="25" t="s">
        <v>1944</v>
      </c>
      <c r="FO143" s="25"/>
      <c r="FP143" s="25" t="s">
        <v>1945</v>
      </c>
      <c r="FQ143" s="72" t="s">
        <v>1131</v>
      </c>
      <c r="FR143" s="25" t="s">
        <v>1946</v>
      </c>
      <c r="FS143" s="19">
        <v>1843.9688715953309</v>
      </c>
      <c r="FT143" s="72">
        <v>43918</v>
      </c>
      <c r="FU143" s="25">
        <v>-1</v>
      </c>
      <c r="FV143" s="142">
        <v>43904</v>
      </c>
      <c r="FW143">
        <v>15</v>
      </c>
    </row>
    <row r="144" spans="2:179" x14ac:dyDescent="0.25">
      <c r="EK144" s="25"/>
      <c r="EL144" s="25"/>
      <c r="EM144" s="25"/>
      <c r="EN144" s="25"/>
      <c r="EO144" s="25"/>
      <c r="EP144" s="25"/>
      <c r="ER144" s="25"/>
      <c r="ES144" s="25"/>
      <c r="ET144" s="25"/>
      <c r="EU144" s="25" t="s">
        <v>957</v>
      </c>
      <c r="EV144" s="69">
        <v>43921.5859837963</v>
      </c>
      <c r="EW144" s="26">
        <v>43852</v>
      </c>
      <c r="EX144" s="26">
        <v>43880</v>
      </c>
      <c r="EY144">
        <v>5</v>
      </c>
      <c r="EZ144" s="25">
        <v>0.266993349344058</v>
      </c>
      <c r="FA144" s="83">
        <v>2.9756017504010419E-5</v>
      </c>
      <c r="FB144" s="21">
        <v>299.31852033840948</v>
      </c>
      <c r="FC144" s="82">
        <v>8972.7514546620187</v>
      </c>
      <c r="FD144" s="82">
        <v>355.91752082038369</v>
      </c>
      <c r="FE144" s="83">
        <v>8.622480891653508E-4</v>
      </c>
      <c r="FF144" s="84">
        <v>2.9756017504010419E-2</v>
      </c>
      <c r="FG144" s="26">
        <v>43921</v>
      </c>
      <c r="FH144" s="25" t="s">
        <v>2041</v>
      </c>
      <c r="FI144" s="84">
        <v>8972.7514546620187</v>
      </c>
      <c r="FJ144" s="84">
        <v>9786</v>
      </c>
      <c r="FK144" s="25" t="s">
        <v>2042</v>
      </c>
      <c r="FL144" s="26">
        <v>43921</v>
      </c>
      <c r="FM144" s="25">
        <v>70</v>
      </c>
      <c r="FN144" s="25" t="s">
        <v>2043</v>
      </c>
      <c r="FO144" s="72"/>
      <c r="FP144" t="s">
        <v>2044</v>
      </c>
      <c r="FQ144" s="25" t="s">
        <v>1131</v>
      </c>
      <c r="FR144" s="25" t="s">
        <v>2045</v>
      </c>
      <c r="FS144" s="19">
        <v>1903.8910505836577</v>
      </c>
      <c r="FT144" s="72">
        <v>43918</v>
      </c>
      <c r="FU144" s="25">
        <v>-3</v>
      </c>
      <c r="FV144" s="142">
        <v>43916</v>
      </c>
      <c r="FW144">
        <v>5</v>
      </c>
    </row>
    <row r="145" spans="141:179" x14ac:dyDescent="0.25">
      <c r="EK145" s="25"/>
      <c r="EL145" s="25"/>
      <c r="EM145" s="25"/>
      <c r="EN145" s="25"/>
      <c r="EO145" s="25"/>
      <c r="EP145" s="25"/>
      <c r="ER145" s="25"/>
      <c r="ES145" s="25"/>
      <c r="ET145" s="25"/>
      <c r="EU145" s="25" t="s">
        <v>957</v>
      </c>
      <c r="EV145" s="69">
        <v>43922.849756944444</v>
      </c>
      <c r="EW145" s="26">
        <v>43852</v>
      </c>
      <c r="EX145" s="26">
        <v>43880</v>
      </c>
      <c r="EY145" s="82">
        <v>5</v>
      </c>
      <c r="EZ145" s="82">
        <v>0.26699426755941774</v>
      </c>
      <c r="FA145" s="84">
        <v>2.9755923302391593E-5</v>
      </c>
      <c r="FB145" s="26">
        <v>299.31859540813809</v>
      </c>
      <c r="FC145" s="81">
        <v>8972.8107189319999</v>
      </c>
      <c r="FD145" s="81">
        <v>355.91751715940762</v>
      </c>
      <c r="FE145" s="84">
        <v>8.6225102733612693E-4</v>
      </c>
      <c r="FF145" s="84">
        <v>2.9755923302391591E-2</v>
      </c>
      <c r="FG145" s="26">
        <v>43921</v>
      </c>
      <c r="FH145" s="26" t="s">
        <v>2041</v>
      </c>
      <c r="FI145" s="83">
        <v>8972.8107189319999</v>
      </c>
      <c r="FJ145" s="83">
        <v>9786</v>
      </c>
      <c r="FK145" s="72" t="s">
        <v>2042</v>
      </c>
      <c r="FL145" s="26">
        <v>43921</v>
      </c>
      <c r="FM145" s="25">
        <v>70</v>
      </c>
      <c r="FN145" s="25" t="s">
        <v>2043</v>
      </c>
      <c r="FO145" s="72"/>
      <c r="FP145" s="72" t="s">
        <v>2044</v>
      </c>
      <c r="FQ145" s="25" t="s">
        <v>1131</v>
      </c>
      <c r="FR145" t="s">
        <v>2045</v>
      </c>
      <c r="FS145" s="19">
        <v>1903.8910505836577</v>
      </c>
      <c r="FT145" s="72">
        <v>43918</v>
      </c>
      <c r="FU145" s="25">
        <v>-4</v>
      </c>
      <c r="FV145" s="149"/>
    </row>
    <row r="146" spans="141:179" x14ac:dyDescent="0.25">
      <c r="EK146" s="25"/>
      <c r="EL146" s="25"/>
      <c r="EM146" s="25"/>
      <c r="EN146" s="25"/>
      <c r="EO146" s="25"/>
      <c r="EP146" s="25"/>
      <c r="ER146" s="25"/>
      <c r="ES146" s="25"/>
      <c r="ET146" s="25"/>
      <c r="EU146" s="25" t="s">
        <v>937</v>
      </c>
      <c r="EV146" s="69">
        <v>43911.866331018522</v>
      </c>
      <c r="EW146" s="26">
        <v>43860</v>
      </c>
      <c r="EX146" s="26">
        <v>43860</v>
      </c>
      <c r="EY146" s="25">
        <v>6</v>
      </c>
      <c r="EZ146" s="25">
        <v>0.23059524064806408</v>
      </c>
      <c r="FA146" s="25">
        <v>9.9999999999999903E-10</v>
      </c>
      <c r="FB146" s="21">
        <v>3.8070710556030042E-2</v>
      </c>
      <c r="FC146" s="82">
        <v>230595240.64806432</v>
      </c>
      <c r="FD146" s="82">
        <v>70.671251275874369</v>
      </c>
      <c r="FE146" s="12">
        <v>6.0570248687798465</v>
      </c>
      <c r="FF146" s="84">
        <v>9.9999999999999911E-7</v>
      </c>
      <c r="FG146" s="26">
        <v>43910</v>
      </c>
      <c r="FH146" s="25" t="s">
        <v>1037</v>
      </c>
      <c r="FI146" s="84"/>
      <c r="FJ146" s="84">
        <v>4014</v>
      </c>
      <c r="FK146" t="s">
        <v>1038</v>
      </c>
      <c r="FL146" s="26">
        <v>43910</v>
      </c>
      <c r="FM146" s="25">
        <v>51</v>
      </c>
      <c r="FN146" s="25" t="s">
        <v>1039</v>
      </c>
      <c r="FO146" s="25"/>
      <c r="FP146" s="25" t="s">
        <v>1040</v>
      </c>
      <c r="FR146" s="25" t="s">
        <v>1046</v>
      </c>
      <c r="FS146" s="19">
        <v>604.15412402167362</v>
      </c>
      <c r="FT146" s="72">
        <v>43910</v>
      </c>
      <c r="FU146" s="25">
        <v>1</v>
      </c>
      <c r="FV146" s="142">
        <v>43910</v>
      </c>
      <c r="FW146">
        <v>1</v>
      </c>
    </row>
    <row r="147" spans="141:179" x14ac:dyDescent="0.25">
      <c r="EK147" s="25"/>
      <c r="EL147" s="25"/>
      <c r="EM147" s="25"/>
      <c r="EN147" s="25"/>
      <c r="EO147" s="25"/>
      <c r="EP147" s="25"/>
      <c r="ER147" s="25"/>
      <c r="ES147" s="25"/>
      <c r="ET147" s="25"/>
      <c r="EU147" s="25" t="s">
        <v>937</v>
      </c>
      <c r="EV147" s="69"/>
      <c r="EW147" s="26">
        <v>43860</v>
      </c>
      <c r="EY147" s="25">
        <v>6</v>
      </c>
      <c r="EZ147">
        <v>0.24137990934722836</v>
      </c>
      <c r="FA147" s="81">
        <v>9.9999999999999995E-7</v>
      </c>
      <c r="FB147" s="21">
        <v>2.4074005303217398E-2</v>
      </c>
      <c r="FC147" s="82">
        <v>241379.90934722839</v>
      </c>
      <c r="FD147" s="82">
        <v>146.85588583547002</v>
      </c>
      <c r="FE147" s="12">
        <v>10.026577722858754</v>
      </c>
      <c r="FF147" s="84">
        <v>1E-3</v>
      </c>
      <c r="FG147" s="26">
        <v>43910</v>
      </c>
      <c r="FH147" s="25" t="s">
        <v>995</v>
      </c>
      <c r="FI147" s="84"/>
      <c r="FJ147" s="84">
        <v>3269</v>
      </c>
      <c r="FK147" s="25" t="s">
        <v>996</v>
      </c>
      <c r="FL147" s="26">
        <v>43910</v>
      </c>
      <c r="FM147" s="25">
        <v>51</v>
      </c>
      <c r="FN147" s="25" t="s">
        <v>997</v>
      </c>
      <c r="FO147" s="25"/>
      <c r="FP147" s="25" t="s">
        <v>998</v>
      </c>
      <c r="FQ147"/>
      <c r="FR147" s="25" t="s">
        <v>999</v>
      </c>
      <c r="FS147" s="19">
        <v>492.0228777844672</v>
      </c>
      <c r="FT147" s="72">
        <v>43910</v>
      </c>
      <c r="FU147" s="25">
        <v>0</v>
      </c>
      <c r="FV147" s="142">
        <v>43908</v>
      </c>
      <c r="FW147">
        <v>2</v>
      </c>
    </row>
    <row r="148" spans="141:179" x14ac:dyDescent="0.25">
      <c r="EK148" s="25"/>
      <c r="EL148" s="25"/>
      <c r="EM148" s="25"/>
      <c r="EN148" s="25"/>
      <c r="EO148" s="25"/>
      <c r="EP148" s="25"/>
      <c r="ER148" s="25"/>
      <c r="ES148" s="25"/>
      <c r="ET148" s="25"/>
      <c r="EU148" s="25" t="s">
        <v>937</v>
      </c>
      <c r="EV148" s="69">
        <v>43912.326736111114</v>
      </c>
      <c r="EW148" s="26">
        <v>43860</v>
      </c>
      <c r="EX148" s="26">
        <v>43860</v>
      </c>
      <c r="EY148">
        <v>6</v>
      </c>
      <c r="EZ148" s="25">
        <v>0.23552292998723806</v>
      </c>
      <c r="FA148" s="81">
        <v>9.9999999999999903E-10</v>
      </c>
      <c r="FB148" s="21">
        <v>3.0253807305994522E-2</v>
      </c>
      <c r="FC148" s="82">
        <v>235522929.98723829</v>
      </c>
      <c r="FD148" s="82">
        <v>71.58354260153051</v>
      </c>
      <c r="FE148" s="25">
        <v>7.7849021637127134</v>
      </c>
      <c r="FF148" s="84">
        <v>9.9999999999999911E-7</v>
      </c>
      <c r="FG148" s="26">
        <v>43911</v>
      </c>
      <c r="FH148" s="25" t="s">
        <v>1081</v>
      </c>
      <c r="FI148" s="84"/>
      <c r="FJ148" s="84">
        <v>5049</v>
      </c>
      <c r="FK148" s="25" t="s">
        <v>1082</v>
      </c>
      <c r="FL148" s="26">
        <v>43911</v>
      </c>
      <c r="FM148" s="25">
        <v>52</v>
      </c>
      <c r="FN148" s="25" t="s">
        <v>1083</v>
      </c>
      <c r="FO148" s="25"/>
      <c r="FP148" t="s">
        <v>1084</v>
      </c>
      <c r="FR148" t="s">
        <v>1085</v>
      </c>
      <c r="FS148" s="19">
        <v>759.93377483443703</v>
      </c>
      <c r="FT148" s="72">
        <v>43910</v>
      </c>
      <c r="FU148" s="25">
        <v>1</v>
      </c>
      <c r="FV148" s="142">
        <v>43910</v>
      </c>
      <c r="FW148">
        <v>2</v>
      </c>
    </row>
    <row r="149" spans="141:179" x14ac:dyDescent="0.25">
      <c r="EK149" s="25"/>
      <c r="EL149" s="25"/>
      <c r="EM149" s="25"/>
      <c r="EN149" s="25"/>
      <c r="EO149" s="25"/>
      <c r="EP149" s="25"/>
      <c r="ER149" s="25"/>
      <c r="ES149" s="25"/>
      <c r="ET149" s="25"/>
      <c r="EU149" s="25" t="s">
        <v>937</v>
      </c>
      <c r="EV149" s="69">
        <v>43912.588784722226</v>
      </c>
      <c r="EW149" s="26">
        <v>43860</v>
      </c>
      <c r="EX149" s="26">
        <v>43860</v>
      </c>
      <c r="EY149" s="25">
        <v>6</v>
      </c>
      <c r="EZ149">
        <v>0.23594006316216126</v>
      </c>
      <c r="FA149" s="81">
        <v>9.9999999999999903E-10</v>
      </c>
      <c r="FB149" s="21">
        <v>2.9674631046950263E-2</v>
      </c>
      <c r="FC149" s="82">
        <v>235940063.1621615</v>
      </c>
      <c r="FD149" s="82">
        <v>71.927182904252248</v>
      </c>
      <c r="FE149" s="25">
        <v>7.9509013190152125</v>
      </c>
      <c r="FF149" s="84">
        <v>9.9999999999999911E-7</v>
      </c>
      <c r="FG149" s="26">
        <v>43911</v>
      </c>
      <c r="FH149" s="25" t="s">
        <v>1081</v>
      </c>
      <c r="FI149" s="84"/>
      <c r="FJ149" s="84">
        <v>5067</v>
      </c>
      <c r="FK149" s="25" t="s">
        <v>1105</v>
      </c>
      <c r="FL149" s="26">
        <v>43911</v>
      </c>
      <c r="FM149" s="25">
        <v>52</v>
      </c>
      <c r="FN149" s="25" t="s">
        <v>1106</v>
      </c>
      <c r="FO149" s="25"/>
      <c r="FP149" s="25" t="s">
        <v>1107</v>
      </c>
      <c r="FQ149"/>
      <c r="FR149" s="25" t="s">
        <v>1108</v>
      </c>
      <c r="FS149" s="19">
        <v>762.64298615291989</v>
      </c>
      <c r="FT149" s="72">
        <v>43911</v>
      </c>
      <c r="FU149" s="25">
        <v>1</v>
      </c>
      <c r="FV149" s="142">
        <v>43910</v>
      </c>
      <c r="FW149">
        <v>2</v>
      </c>
    </row>
    <row r="150" spans="141:179" x14ac:dyDescent="0.25">
      <c r="EK150" s="25"/>
      <c r="EL150" s="25"/>
      <c r="EM150" s="25"/>
      <c r="EN150" s="25"/>
      <c r="EO150" s="25"/>
      <c r="EP150" s="25"/>
      <c r="ER150" s="25"/>
      <c r="ES150" s="25"/>
      <c r="ET150" s="25"/>
      <c r="EU150" s="25" t="s">
        <v>937</v>
      </c>
      <c r="EV150" s="69">
        <v>43912.787627314814</v>
      </c>
      <c r="EW150" s="26">
        <v>43860</v>
      </c>
      <c r="EX150" s="26">
        <v>43860</v>
      </c>
      <c r="EY150" s="25">
        <v>6</v>
      </c>
      <c r="EZ150" s="25">
        <v>0.23594006316216126</v>
      </c>
      <c r="FA150" s="81">
        <v>9.9999999999999903E-10</v>
      </c>
      <c r="FB150" s="21">
        <v>2.9674631046950263E-2</v>
      </c>
      <c r="FC150" s="82">
        <v>235940063.1621615</v>
      </c>
      <c r="FD150" s="82">
        <v>71.927182904252248</v>
      </c>
      <c r="FE150" s="25">
        <v>7.9509013190152125</v>
      </c>
      <c r="FF150" s="84">
        <v>9.9999999999999911E-7</v>
      </c>
      <c r="FG150" s="26">
        <v>43911</v>
      </c>
      <c r="FH150" s="25" t="s">
        <v>1081</v>
      </c>
      <c r="FI150" s="84">
        <v>235940063.1621615</v>
      </c>
      <c r="FJ150" s="84">
        <v>5067</v>
      </c>
      <c r="FK150" s="25" t="s">
        <v>1105</v>
      </c>
      <c r="FL150" s="26">
        <v>43911</v>
      </c>
      <c r="FM150" s="25">
        <v>52</v>
      </c>
      <c r="FN150" t="s">
        <v>1137</v>
      </c>
      <c r="FO150" s="25"/>
      <c r="FP150" s="25" t="s">
        <v>1107</v>
      </c>
      <c r="FR150" s="25" t="s">
        <v>1138</v>
      </c>
      <c r="FS150" s="19">
        <v>762.64298615291989</v>
      </c>
      <c r="FT150" s="72">
        <v>43911</v>
      </c>
      <c r="FU150" s="25">
        <v>1</v>
      </c>
      <c r="FV150" s="142">
        <v>43910</v>
      </c>
      <c r="FW150">
        <v>2</v>
      </c>
    </row>
    <row r="151" spans="141:179" x14ac:dyDescent="0.25">
      <c r="EK151" s="25"/>
      <c r="EL151" s="25"/>
      <c r="EM151" s="25"/>
      <c r="EN151" s="25"/>
      <c r="EO151" s="25"/>
      <c r="EP151" s="25"/>
      <c r="ER151" s="25"/>
      <c r="ES151" s="25"/>
      <c r="ET151" s="25"/>
      <c r="EU151" s="25" t="s">
        <v>937</v>
      </c>
      <c r="EV151" s="69">
        <v>43913.581747685188</v>
      </c>
      <c r="EW151" s="26">
        <v>43860</v>
      </c>
      <c r="EX151" s="26">
        <v>43860</v>
      </c>
      <c r="EY151" s="25">
        <v>6</v>
      </c>
      <c r="EZ151" s="25">
        <v>0.23594006316216143</v>
      </c>
      <c r="FA151" s="81">
        <v>9.9999999999999655E-12</v>
      </c>
      <c r="FB151" s="21">
        <v>2.9674631046950263E-2</v>
      </c>
      <c r="FC151" s="82">
        <v>23594006316.216225</v>
      </c>
      <c r="FD151" s="82">
        <v>71.926727825145534</v>
      </c>
      <c r="FE151" s="25">
        <v>7.9509013200052188</v>
      </c>
      <c r="FF151" s="84">
        <v>9.9999999999999655E-9</v>
      </c>
      <c r="FG151" s="26">
        <v>43911</v>
      </c>
      <c r="FH151" s="25" t="s">
        <v>1269</v>
      </c>
      <c r="FI151" s="84">
        <v>23594006316.216225</v>
      </c>
      <c r="FJ151" s="84">
        <v>5067</v>
      </c>
      <c r="FK151" s="25" t="s">
        <v>1270</v>
      </c>
      <c r="FL151" s="26">
        <v>43911</v>
      </c>
      <c r="FM151" s="25">
        <v>52</v>
      </c>
      <c r="FN151" t="s">
        <v>1271</v>
      </c>
      <c r="FO151" s="25"/>
      <c r="FP151" s="25" t="s">
        <v>1272</v>
      </c>
      <c r="FR151" s="25" t="s">
        <v>1273</v>
      </c>
      <c r="FS151" s="19">
        <v>762.64298615291989</v>
      </c>
      <c r="FT151" s="72">
        <v>43913</v>
      </c>
      <c r="FU151" s="25">
        <v>0</v>
      </c>
      <c r="FV151" s="142">
        <v>43911</v>
      </c>
      <c r="FW151">
        <v>1</v>
      </c>
    </row>
    <row r="152" spans="141:179" x14ac:dyDescent="0.25">
      <c r="EK152" s="48"/>
      <c r="EL152" s="48"/>
      <c r="EM152" s="48"/>
      <c r="EN152" s="48"/>
      <c r="EO152" s="48"/>
      <c r="EP152" s="48"/>
      <c r="EQ152" s="48"/>
      <c r="ER152" s="48"/>
      <c r="ES152" s="48"/>
      <c r="ET152" s="48"/>
      <c r="EU152" s="25" t="s">
        <v>937</v>
      </c>
      <c r="EV152" s="69">
        <v>43913.686782407407</v>
      </c>
      <c r="EW152" s="26">
        <v>43860</v>
      </c>
      <c r="EX152" s="26">
        <v>43860</v>
      </c>
      <c r="EY152">
        <v>6</v>
      </c>
      <c r="EZ152">
        <v>0.23594006273685905</v>
      </c>
      <c r="FA152" s="81">
        <v>2.1301242429612073E-6</v>
      </c>
      <c r="FB152" s="21">
        <v>2.9674631042839659E-2</v>
      </c>
      <c r="FC152" s="82">
        <v>110763.52166616597</v>
      </c>
      <c r="FD152" s="82">
        <v>87.808162964545772</v>
      </c>
      <c r="FE152" s="25">
        <v>7.9508991766601662</v>
      </c>
      <c r="FF152" s="84">
        <v>2.1301242429612073E-3</v>
      </c>
      <c r="FG152" s="26">
        <v>43912</v>
      </c>
      <c r="FH152" s="25" t="s">
        <v>1307</v>
      </c>
      <c r="FI152" s="84">
        <v>110763.52166616597</v>
      </c>
      <c r="FJ152" s="84">
        <v>5741</v>
      </c>
      <c r="FK152" s="25" t="s">
        <v>1308</v>
      </c>
      <c r="FL152" s="26">
        <v>43912</v>
      </c>
      <c r="FM152" s="25">
        <v>53</v>
      </c>
      <c r="FN152" t="s">
        <v>1309</v>
      </c>
      <c r="FO152" s="25"/>
      <c r="FP152" s="25" t="s">
        <v>1310</v>
      </c>
      <c r="FR152" s="25" t="s">
        <v>1311</v>
      </c>
      <c r="FS152" s="19">
        <v>864.08789885611077</v>
      </c>
      <c r="FT152" s="72">
        <v>43912</v>
      </c>
      <c r="FU152" s="25">
        <v>1</v>
      </c>
      <c r="FV152" s="142">
        <v>43911</v>
      </c>
      <c r="FW152">
        <v>2</v>
      </c>
    </row>
    <row r="153" spans="141:179" x14ac:dyDescent="0.25">
      <c r="EK153" s="25"/>
      <c r="EL153" s="25"/>
      <c r="EM153" s="25"/>
      <c r="EN153" s="25"/>
      <c r="EO153" s="25"/>
      <c r="EP153" s="25"/>
      <c r="ER153" s="25"/>
      <c r="ES153" s="25"/>
      <c r="ET153" s="25"/>
      <c r="EU153" s="25" t="s">
        <v>937</v>
      </c>
      <c r="EV153" s="69">
        <v>43913.916226851848</v>
      </c>
      <c r="EW153" s="26">
        <v>43860</v>
      </c>
      <c r="EX153" s="26">
        <v>43860</v>
      </c>
      <c r="EY153">
        <v>6</v>
      </c>
      <c r="EZ153">
        <v>0.23594006273685905</v>
      </c>
      <c r="FA153" s="25">
        <v>2.1301242429612073E-6</v>
      </c>
      <c r="FB153" s="21">
        <v>2.9674631042839659E-2</v>
      </c>
      <c r="FC153" s="82">
        <v>110763.52166616597</v>
      </c>
      <c r="FD153" s="82">
        <v>87.808162964545772</v>
      </c>
      <c r="FE153" s="25">
        <v>7.9508991766601662</v>
      </c>
      <c r="FF153" s="84">
        <v>2.1301242429612073E-3</v>
      </c>
      <c r="FG153" s="26">
        <v>43912</v>
      </c>
      <c r="FH153" s="25" t="s">
        <v>1307</v>
      </c>
      <c r="FI153" s="84">
        <v>110763.52166616597</v>
      </c>
      <c r="FJ153" s="84">
        <v>5741</v>
      </c>
      <c r="FK153" t="s">
        <v>1308</v>
      </c>
      <c r="FL153" s="26">
        <v>43912</v>
      </c>
      <c r="FM153" s="25">
        <v>53</v>
      </c>
      <c r="FN153" t="s">
        <v>1309</v>
      </c>
      <c r="FO153" s="25"/>
      <c r="FP153" s="25" t="s">
        <v>1310</v>
      </c>
      <c r="FQ153"/>
      <c r="FR153" s="25" t="s">
        <v>1311</v>
      </c>
      <c r="FS153" s="19">
        <v>864.08789885611077</v>
      </c>
      <c r="FT153" s="72">
        <v>43913</v>
      </c>
      <c r="FU153" s="25">
        <v>0</v>
      </c>
      <c r="FV153" s="142">
        <v>43911</v>
      </c>
      <c r="FW153">
        <v>2</v>
      </c>
    </row>
    <row r="154" spans="141:179" x14ac:dyDescent="0.25">
      <c r="EK154" s="25"/>
      <c r="EL154" s="25"/>
      <c r="EM154" s="25"/>
      <c r="EN154" s="25"/>
      <c r="EO154" s="25"/>
      <c r="EP154" s="25"/>
      <c r="ER154" s="25"/>
      <c r="ES154" s="25"/>
      <c r="ET154" s="25"/>
      <c r="EU154" s="26" t="s">
        <v>937</v>
      </c>
      <c r="EV154" s="69">
        <v>43914.462789351855</v>
      </c>
      <c r="EW154" s="26">
        <v>43860</v>
      </c>
      <c r="EX154" s="26">
        <v>43860</v>
      </c>
      <c r="EY154">
        <v>6</v>
      </c>
      <c r="EZ154">
        <v>0.23594006273685905</v>
      </c>
      <c r="FA154" s="25">
        <v>2.1301242429612073E-6</v>
      </c>
      <c r="FB154" s="21">
        <v>2.9674631042839659E-2</v>
      </c>
      <c r="FC154" s="82">
        <v>110763.52166616597</v>
      </c>
      <c r="FD154" s="82">
        <v>87.808162964545772</v>
      </c>
      <c r="FE154" s="25">
        <v>7.9508991766601662</v>
      </c>
      <c r="FF154" s="84">
        <v>2.1301242429612073E-3</v>
      </c>
      <c r="FG154" s="26">
        <v>43912</v>
      </c>
      <c r="FH154" s="25" t="s">
        <v>1307</v>
      </c>
      <c r="FI154" s="84">
        <v>110763.52166616597</v>
      </c>
      <c r="FJ154" s="84">
        <v>5741</v>
      </c>
      <c r="FK154" s="84" t="s">
        <v>1308</v>
      </c>
      <c r="FL154" s="26">
        <v>43912</v>
      </c>
      <c r="FM154" s="25">
        <v>53</v>
      </c>
      <c r="FN154" t="s">
        <v>1309</v>
      </c>
      <c r="FO154" s="25"/>
      <c r="FP154" s="25" t="s">
        <v>1310</v>
      </c>
      <c r="FR154" s="25" t="s">
        <v>1311</v>
      </c>
      <c r="FS154" s="19">
        <v>864.08789885611077</v>
      </c>
      <c r="FT154" s="72">
        <v>43913</v>
      </c>
      <c r="FU154" s="25">
        <v>-1</v>
      </c>
      <c r="FV154" s="142">
        <v>43911</v>
      </c>
      <c r="FW154">
        <v>2</v>
      </c>
    </row>
    <row r="155" spans="141:179" x14ac:dyDescent="0.25">
      <c r="EK155" s="25"/>
      <c r="EL155" s="25"/>
      <c r="EM155" s="25"/>
      <c r="EN155" s="25"/>
      <c r="EO155" s="25"/>
      <c r="EP155" s="25"/>
      <c r="ER155" s="25"/>
      <c r="ES155" s="25"/>
      <c r="ET155" s="25"/>
      <c r="EU155" s="26" t="s">
        <v>937</v>
      </c>
      <c r="EV155" s="69">
        <v>43915.873703703706</v>
      </c>
      <c r="EW155" s="26">
        <v>43860</v>
      </c>
      <c r="EX155" s="26">
        <v>43860</v>
      </c>
      <c r="EY155">
        <v>6</v>
      </c>
      <c r="EZ155">
        <v>0.23594006261087228</v>
      </c>
      <c r="FA155" s="25">
        <v>3.6560031492112057E-6</v>
      </c>
      <c r="FB155" s="21">
        <v>2.9674631041599814E-2</v>
      </c>
      <c r="FC155" s="82">
        <v>64534.972477191957</v>
      </c>
      <c r="FD155" s="82">
        <v>142.9972758907426</v>
      </c>
      <c r="FE155" s="25">
        <v>7.9508976468678538</v>
      </c>
      <c r="FF155" s="84">
        <v>3.6560031492112056E-3</v>
      </c>
      <c r="FG155" s="26">
        <v>43914</v>
      </c>
      <c r="FH155" s="26" t="s">
        <v>1498</v>
      </c>
      <c r="FI155" s="84">
        <v>64534.972477191957</v>
      </c>
      <c r="FJ155" s="84">
        <v>8077</v>
      </c>
      <c r="FK155" s="84" t="s">
        <v>1499</v>
      </c>
      <c r="FL155" s="26">
        <v>43914</v>
      </c>
      <c r="FM155" s="25">
        <v>55</v>
      </c>
      <c r="FN155" t="s">
        <v>1500</v>
      </c>
      <c r="FO155" s="25"/>
      <c r="FP155" s="25" t="s">
        <v>1501</v>
      </c>
      <c r="FQ155"/>
      <c r="FR155" s="25" t="s">
        <v>1502</v>
      </c>
      <c r="FS155" s="19">
        <v>1215.6833232992174</v>
      </c>
      <c r="FT155" s="72">
        <v>43915</v>
      </c>
      <c r="FU155" s="25">
        <v>0</v>
      </c>
      <c r="FV155" s="142">
        <v>43913</v>
      </c>
      <c r="FW155">
        <v>2</v>
      </c>
    </row>
    <row r="156" spans="141:179" x14ac:dyDescent="0.25">
      <c r="EN156" s="69"/>
      <c r="EP156" s="69"/>
      <c r="EQ156" s="26"/>
      <c r="ES156" s="69"/>
      <c r="EU156" s="26" t="s">
        <v>937</v>
      </c>
      <c r="EV156" s="69">
        <v>43916.899143518516</v>
      </c>
      <c r="EW156" s="26">
        <v>43860</v>
      </c>
      <c r="EX156" s="26">
        <v>43860</v>
      </c>
      <c r="EY156">
        <v>6</v>
      </c>
      <c r="EZ156">
        <v>0.23736203305370973</v>
      </c>
      <c r="FA156" s="81">
        <v>1.0775301857048374E-5</v>
      </c>
      <c r="FB156" s="21">
        <v>3.2261693235413211E-2</v>
      </c>
      <c r="FC156" s="82">
        <v>22028.341869461943</v>
      </c>
      <c r="FD156" s="82">
        <v>142.35237698746531</v>
      </c>
      <c r="FE156" s="26">
        <v>7.3573846137647259</v>
      </c>
      <c r="FF156" s="84">
        <v>1.0775301857048374E-2</v>
      </c>
      <c r="FG156" s="26">
        <v>43915</v>
      </c>
      <c r="FH156" s="84" t="s">
        <v>1567</v>
      </c>
      <c r="FI156" s="84">
        <v>22028.341869461943</v>
      </c>
      <c r="FJ156" s="84">
        <v>8365</v>
      </c>
      <c r="FK156" s="25" t="s">
        <v>1568</v>
      </c>
      <c r="FL156" s="26">
        <v>43915</v>
      </c>
      <c r="FM156" s="25">
        <v>56</v>
      </c>
      <c r="FN156" t="s">
        <v>1569</v>
      </c>
      <c r="FO156" s="25"/>
      <c r="FP156" s="72" t="s">
        <v>1570</v>
      </c>
      <c r="FR156" s="72" t="s">
        <v>1571</v>
      </c>
      <c r="FS156" s="19">
        <v>1259.0307043949429</v>
      </c>
      <c r="FT156" s="72">
        <v>43915</v>
      </c>
      <c r="FU156" s="25">
        <v>-1</v>
      </c>
      <c r="FV156" s="142">
        <v>43914</v>
      </c>
      <c r="FW156" s="25">
        <v>2</v>
      </c>
    </row>
    <row r="157" spans="141:179" x14ac:dyDescent="0.25">
      <c r="EK157" s="25"/>
      <c r="EL157" s="25"/>
      <c r="EM157" s="25"/>
      <c r="EN157" s="25"/>
      <c r="EO157" s="25"/>
      <c r="EP157" s="25"/>
      <c r="ER157" s="25"/>
      <c r="ES157" s="25"/>
      <c r="ET157" s="25"/>
      <c r="EU157" s="26" t="s">
        <v>937</v>
      </c>
      <c r="EV157" s="69">
        <v>43918.90116898148</v>
      </c>
      <c r="EW157" s="26">
        <v>43860</v>
      </c>
      <c r="EX157" s="26">
        <v>43860</v>
      </c>
      <c r="EY157">
        <v>6</v>
      </c>
      <c r="EZ157">
        <v>0.21367580546414575</v>
      </c>
      <c r="FA157" s="81">
        <v>2.2841892378130075E-6</v>
      </c>
      <c r="FB157" s="21">
        <v>8.7970151993943466E-2</v>
      </c>
      <c r="FC157" s="82">
        <v>93545.579292164606</v>
      </c>
      <c r="FD157" s="82">
        <v>128.33286028180987</v>
      </c>
      <c r="FE157" s="26">
        <v>2.4289557273742393</v>
      </c>
      <c r="FF157" s="84">
        <v>2.2841892378130074E-3</v>
      </c>
      <c r="FG157" s="26">
        <v>43917</v>
      </c>
      <c r="FH157" s="84" t="s">
        <v>1861</v>
      </c>
      <c r="FI157" s="84">
        <v>93545.579292164606</v>
      </c>
      <c r="FJ157" s="84">
        <v>14745</v>
      </c>
      <c r="FK157" s="25" t="s">
        <v>1862</v>
      </c>
      <c r="FL157" s="26">
        <v>43917</v>
      </c>
      <c r="FM157" s="25">
        <v>58</v>
      </c>
      <c r="FN157" t="s">
        <v>1863</v>
      </c>
      <c r="FO157" s="25"/>
      <c r="FP157" s="72" t="s">
        <v>1864</v>
      </c>
      <c r="FR157" s="72" t="s">
        <v>1865</v>
      </c>
      <c r="FS157" s="19">
        <v>2219.2956050571943</v>
      </c>
      <c r="FT157" s="72">
        <v>43917</v>
      </c>
      <c r="FU157" s="25">
        <v>1</v>
      </c>
      <c r="FV157" s="142">
        <v>43915</v>
      </c>
      <c r="FW157">
        <v>3</v>
      </c>
    </row>
    <row r="158" spans="141:179" x14ac:dyDescent="0.25">
      <c r="EK158" s="25"/>
      <c r="EL158" s="25"/>
      <c r="EM158" s="25"/>
      <c r="EN158" s="25"/>
      <c r="EO158" s="25"/>
      <c r="EP158" s="25"/>
      <c r="ER158" s="25"/>
      <c r="ES158" s="25"/>
      <c r="ET158" s="25"/>
      <c r="EU158" s="69" t="s">
        <v>937</v>
      </c>
      <c r="EV158" s="69">
        <v>43919.683206018519</v>
      </c>
      <c r="EW158" s="26">
        <v>43860</v>
      </c>
      <c r="EX158" s="26">
        <v>43860</v>
      </c>
      <c r="EY158">
        <v>6</v>
      </c>
      <c r="EZ158">
        <v>0.21367580546415826</v>
      </c>
      <c r="FA158" s="25">
        <v>2.2771524099040523E-6</v>
      </c>
      <c r="FB158" s="21">
        <v>8.7970151993943951E-2</v>
      </c>
      <c r="FC158" s="82">
        <v>93834.652671825985</v>
      </c>
      <c r="FD158" s="82">
        <v>127.23403204384789</v>
      </c>
      <c r="FE158" s="83">
        <v>2.4289557344111961</v>
      </c>
      <c r="FF158" s="84">
        <v>2.2771524099040523E-3</v>
      </c>
      <c r="FG158" s="26">
        <v>43918</v>
      </c>
      <c r="FH158" s="26" t="s">
        <v>1947</v>
      </c>
      <c r="FI158" s="84">
        <v>93834.652671825985</v>
      </c>
      <c r="FJ158" s="84">
        <v>17312</v>
      </c>
      <c r="FK158" s="26" t="s">
        <v>1862</v>
      </c>
      <c r="FL158" s="26">
        <v>43918</v>
      </c>
      <c r="FM158" s="25">
        <v>59</v>
      </c>
      <c r="FN158" t="s">
        <v>1948</v>
      </c>
      <c r="FO158" s="25"/>
      <c r="FP158" s="25" t="s">
        <v>1864</v>
      </c>
      <c r="FQ158" s="72"/>
      <c r="FR158" s="25" t="s">
        <v>1949</v>
      </c>
      <c r="FS158" s="19">
        <v>2605.6592414208308</v>
      </c>
      <c r="FT158" s="72">
        <v>43917</v>
      </c>
      <c r="FU158" s="25">
        <v>2</v>
      </c>
      <c r="FV158" s="142">
        <v>43916</v>
      </c>
      <c r="FW158">
        <v>3</v>
      </c>
    </row>
    <row r="159" spans="141:179" x14ac:dyDescent="0.25">
      <c r="EN159" s="69"/>
      <c r="EP159" s="69"/>
      <c r="EQ159" s="26"/>
      <c r="ES159" s="69"/>
      <c r="EU159" s="25" t="s">
        <v>937</v>
      </c>
      <c r="EV159" s="69">
        <v>43921.586018518516</v>
      </c>
      <c r="EW159" s="26">
        <v>43860</v>
      </c>
      <c r="EX159" s="26">
        <v>43860</v>
      </c>
      <c r="EY159">
        <v>6</v>
      </c>
      <c r="EZ159">
        <v>0.21367580546415826</v>
      </c>
      <c r="FA159" s="83">
        <v>2.2771524099040523E-6</v>
      </c>
      <c r="FB159" s="21">
        <v>8.7970151993943951E-2</v>
      </c>
      <c r="FC159" s="82">
        <v>93834.652671825985</v>
      </c>
      <c r="FD159" s="82">
        <v>270.27252226155485</v>
      </c>
      <c r="FE159" s="83">
        <v>2.4289557344111961</v>
      </c>
      <c r="FF159" s="84">
        <v>2.2771524099040523E-3</v>
      </c>
      <c r="FG159" s="26">
        <v>43920</v>
      </c>
      <c r="FH159" s="25" t="s">
        <v>1947</v>
      </c>
      <c r="FI159" s="84">
        <v>93834.652671825985</v>
      </c>
      <c r="FJ159" s="84">
        <v>22453</v>
      </c>
      <c r="FK159" t="s">
        <v>1862</v>
      </c>
      <c r="FL159" s="26">
        <v>43920</v>
      </c>
      <c r="FM159" s="25">
        <v>61</v>
      </c>
      <c r="FN159" t="s">
        <v>2046</v>
      </c>
      <c r="FO159" s="72"/>
      <c r="FP159" s="25" t="s">
        <v>1864</v>
      </c>
      <c r="FQ159"/>
      <c r="FR159" s="25" t="s">
        <v>2047</v>
      </c>
      <c r="FS159" s="19">
        <v>3379.4400963275134</v>
      </c>
      <c r="FT159" s="72">
        <v>43918</v>
      </c>
      <c r="FU159" s="25">
        <v>3</v>
      </c>
      <c r="FV159" s="142">
        <v>43917</v>
      </c>
      <c r="FW159">
        <v>4</v>
      </c>
    </row>
    <row r="160" spans="141:179" x14ac:dyDescent="0.25">
      <c r="EN160" s="69"/>
      <c r="EP160" s="69"/>
      <c r="EQ160" s="26"/>
      <c r="ES160" s="69"/>
      <c r="EU160" s="25" t="s">
        <v>937</v>
      </c>
      <c r="EV160" s="69">
        <v>43922.849895833337</v>
      </c>
      <c r="EW160" s="26">
        <v>43860</v>
      </c>
      <c r="EX160" s="26">
        <v>43860</v>
      </c>
      <c r="EY160" s="82">
        <v>6</v>
      </c>
      <c r="EZ160" s="82">
        <v>0.2136758054067901</v>
      </c>
      <c r="FA160" s="84">
        <v>2.8661371579282545E-6</v>
      </c>
      <c r="FB160" s="26">
        <v>8.7970151992173964E-2</v>
      </c>
      <c r="FC160" s="81">
        <v>74551.8422995648</v>
      </c>
      <c r="FD160" s="81">
        <v>212.70850130063454</v>
      </c>
      <c r="FE160" s="84">
        <v>2.428955144823187</v>
      </c>
      <c r="FF160" s="84">
        <v>2.8661371579282546E-3</v>
      </c>
      <c r="FG160" s="26">
        <v>43921</v>
      </c>
      <c r="FH160" s="26" t="s">
        <v>2104</v>
      </c>
      <c r="FI160" s="83">
        <v>74551.8422995648</v>
      </c>
      <c r="FJ160" s="83">
        <v>25481</v>
      </c>
      <c r="FK160" s="72" t="s">
        <v>1955</v>
      </c>
      <c r="FL160" s="26">
        <v>43921</v>
      </c>
      <c r="FM160" s="25">
        <v>62</v>
      </c>
      <c r="FN160" t="s">
        <v>2105</v>
      </c>
      <c r="FO160" s="72"/>
      <c r="FP160" s="72" t="s">
        <v>2106</v>
      </c>
      <c r="FR160" t="s">
        <v>2107</v>
      </c>
      <c r="FS160" s="19">
        <v>3835.1896447922936</v>
      </c>
      <c r="FT160" s="72">
        <v>43919</v>
      </c>
      <c r="FU160" s="25">
        <v>3</v>
      </c>
      <c r="FV160" s="149">
        <v>43917</v>
      </c>
      <c r="FW160" s="25">
        <v>5</v>
      </c>
    </row>
    <row r="161" spans="144:181" x14ac:dyDescent="0.25">
      <c r="EN161" s="69"/>
      <c r="EP161" s="69"/>
      <c r="EQ161" s="26"/>
      <c r="ES161" s="69"/>
      <c r="EU161" s="26" t="s">
        <v>40</v>
      </c>
      <c r="EV161" s="69">
        <v>43918.894409722219</v>
      </c>
      <c r="EW161" s="26">
        <v>43853</v>
      </c>
      <c r="EX161" s="26">
        <v>43853</v>
      </c>
      <c r="EY161">
        <v>7</v>
      </c>
      <c r="EZ161">
        <v>7.9288996441386733E-2</v>
      </c>
      <c r="FA161" s="81">
        <v>1.00000004177659E-12</v>
      </c>
      <c r="FB161" s="21">
        <v>4.3592027316327435</v>
      </c>
      <c r="FC161" s="82">
        <v>79288993128.962982</v>
      </c>
      <c r="FD161" s="82">
        <v>26.644747082692508</v>
      </c>
      <c r="FE161" s="26">
        <v>1.8188875654179489E-2</v>
      </c>
      <c r="FF161" s="84">
        <v>1.00000004177659E-9</v>
      </c>
      <c r="FG161" s="26">
        <v>43917</v>
      </c>
      <c r="FH161" s="84" t="s">
        <v>1832</v>
      </c>
      <c r="FI161" s="84">
        <v>47478674826.894157</v>
      </c>
      <c r="FJ161" s="84">
        <v>732</v>
      </c>
      <c r="FK161" s="25" t="s">
        <v>1833</v>
      </c>
      <c r="FL161" s="26">
        <v>43917</v>
      </c>
      <c r="FM161" s="25">
        <v>66</v>
      </c>
      <c r="FN161" t="s">
        <v>1834</v>
      </c>
      <c r="FO161" s="25"/>
      <c r="FP161" s="72" t="s">
        <v>1835</v>
      </c>
      <c r="FR161" s="72" t="s">
        <v>1836</v>
      </c>
      <c r="FS161" s="19">
        <v>1251.2820512820513</v>
      </c>
      <c r="FT161" s="72">
        <v>43915</v>
      </c>
      <c r="FU161" s="25">
        <v>-3</v>
      </c>
      <c r="FV161" s="142">
        <v>43918</v>
      </c>
      <c r="FW161">
        <v>0</v>
      </c>
    </row>
    <row r="162" spans="144:181" x14ac:dyDescent="0.25">
      <c r="EN162" s="69"/>
      <c r="EP162" s="69"/>
      <c r="EQ162" s="26"/>
      <c r="ES162" s="69"/>
      <c r="EU162" s="26" t="s">
        <v>40</v>
      </c>
      <c r="EV162" s="69">
        <v>43918.901365740741</v>
      </c>
      <c r="EW162" s="26">
        <v>43853</v>
      </c>
      <c r="EX162" s="26">
        <v>43853</v>
      </c>
      <c r="EY162">
        <v>7</v>
      </c>
      <c r="EZ162">
        <v>7.9292109458288282E-2</v>
      </c>
      <c r="FA162" s="81">
        <v>1.00000004177659E-12</v>
      </c>
      <c r="FB162" s="21">
        <v>4.3593386220422348</v>
      </c>
      <c r="FC162" s="82">
        <v>79292106145.734467</v>
      </c>
      <c r="FD162" s="82">
        <v>26.644703404832686</v>
      </c>
      <c r="FE162" s="26">
        <v>1.818902276895909E-2</v>
      </c>
      <c r="FF162" s="84">
        <v>1.00000004177659E-9</v>
      </c>
      <c r="FG162" s="26">
        <v>43917</v>
      </c>
      <c r="FH162" s="84" t="s">
        <v>1832</v>
      </c>
      <c r="FI162" s="84">
        <v>47498350998.554237</v>
      </c>
      <c r="FJ162" s="84">
        <v>732</v>
      </c>
      <c r="FK162" t="s">
        <v>1833</v>
      </c>
      <c r="FL162" s="26">
        <v>43917</v>
      </c>
      <c r="FM162" s="25">
        <v>66</v>
      </c>
      <c r="FN162" t="s">
        <v>1834</v>
      </c>
      <c r="FO162" s="25"/>
      <c r="FP162" s="72" t="s">
        <v>1835</v>
      </c>
      <c r="FQ162"/>
      <c r="FR162" s="72" t="s">
        <v>1836</v>
      </c>
      <c r="FS162" s="19">
        <v>1251.2820512820513</v>
      </c>
      <c r="FT162" s="72">
        <v>43915</v>
      </c>
      <c r="FU162" s="25">
        <v>-3</v>
      </c>
      <c r="FV162" s="142">
        <v>43918</v>
      </c>
      <c r="FW162">
        <v>0</v>
      </c>
    </row>
    <row r="163" spans="144:181" x14ac:dyDescent="0.25">
      <c r="EN163" s="69"/>
      <c r="EP163" s="69"/>
      <c r="EQ163" s="26"/>
      <c r="ES163" s="69"/>
      <c r="EU163" s="69" t="s">
        <v>40</v>
      </c>
      <c r="EV163" s="69">
        <v>43919.683310185188</v>
      </c>
      <c r="EW163" s="26">
        <v>43853</v>
      </c>
      <c r="EX163" s="26">
        <v>43853</v>
      </c>
      <c r="EY163">
        <v>7</v>
      </c>
      <c r="EZ163">
        <v>8.095296589353207E-2</v>
      </c>
      <c r="FA163" s="25">
        <v>1.00000004177659E-12</v>
      </c>
      <c r="FB163" s="21">
        <v>3.9873399113855723</v>
      </c>
      <c r="FC163" s="82">
        <v>80952962511.593338</v>
      </c>
      <c r="FD163" s="82">
        <v>26.886794774134039</v>
      </c>
      <c r="FE163" s="83">
        <v>2.0302499332547286E-2</v>
      </c>
      <c r="FF163" s="84">
        <v>1.00000004177659E-9</v>
      </c>
      <c r="FG163" s="26">
        <v>43918</v>
      </c>
      <c r="FH163" s="26" t="s">
        <v>1950</v>
      </c>
      <c r="FI163" s="84">
        <v>55764282397.732033</v>
      </c>
      <c r="FJ163" s="84">
        <v>802</v>
      </c>
      <c r="FK163" s="26" t="s">
        <v>1951</v>
      </c>
      <c r="FL163" s="26">
        <v>43918</v>
      </c>
      <c r="FM163" s="25">
        <v>67</v>
      </c>
      <c r="FN163" t="s">
        <v>1952</v>
      </c>
      <c r="FO163" s="25"/>
      <c r="FP163" t="s">
        <v>1953</v>
      </c>
      <c r="FQ163" s="72"/>
      <c r="FR163" t="s">
        <v>1954</v>
      </c>
      <c r="FS163" s="19">
        <v>1370.9401709401711</v>
      </c>
      <c r="FT163" s="72">
        <v>43916</v>
      </c>
      <c r="FU163" s="25">
        <v>-3</v>
      </c>
      <c r="FV163" s="148">
        <v>43918</v>
      </c>
      <c r="FW163">
        <v>-1</v>
      </c>
    </row>
    <row r="164" spans="144:181" x14ac:dyDescent="0.25">
      <c r="EN164" s="69"/>
      <c r="EP164" s="69"/>
      <c r="EQ164" s="26"/>
      <c r="ES164" s="69"/>
      <c r="EU164" s="25" t="s">
        <v>40</v>
      </c>
      <c r="EV164" s="69">
        <v>43921.586145833331</v>
      </c>
      <c r="EW164" s="26">
        <v>43853</v>
      </c>
      <c r="EX164" s="26">
        <v>43853</v>
      </c>
      <c r="EY164">
        <v>7</v>
      </c>
      <c r="EZ164">
        <v>8.0459398067671467E-2</v>
      </c>
      <c r="FA164" s="83">
        <v>1.00000004177659E-12</v>
      </c>
      <c r="FB164" s="21">
        <v>4.0990999471410756</v>
      </c>
      <c r="FC164" s="82">
        <v>80459394706.352325</v>
      </c>
      <c r="FD164" s="82">
        <v>26.669304909700436</v>
      </c>
      <c r="FE164" s="83">
        <v>1.9628552389821311E-2</v>
      </c>
      <c r="FF164" s="84">
        <v>1.00000004177659E-9</v>
      </c>
      <c r="FG164" s="26">
        <v>43920</v>
      </c>
      <c r="FH164" s="25" t="s">
        <v>2048</v>
      </c>
      <c r="FI164" s="84">
        <v>53385093185.577705</v>
      </c>
      <c r="FJ164" s="84">
        <v>879</v>
      </c>
      <c r="FK164" t="s">
        <v>1951</v>
      </c>
      <c r="FL164" s="26">
        <v>43920</v>
      </c>
      <c r="FM164" s="25">
        <v>69</v>
      </c>
      <c r="FN164" t="s">
        <v>2049</v>
      </c>
      <c r="FO164" s="72"/>
      <c r="FP164" s="25" t="s">
        <v>1953</v>
      </c>
      <c r="FQ164"/>
      <c r="FR164" s="25" t="s">
        <v>2050</v>
      </c>
      <c r="FS164" s="19">
        <v>1502.5641025641028</v>
      </c>
      <c r="FT164" s="72">
        <v>43916</v>
      </c>
      <c r="FU164" s="25">
        <v>-5</v>
      </c>
      <c r="FV164" s="148">
        <v>43919</v>
      </c>
      <c r="FW164">
        <v>-2</v>
      </c>
    </row>
    <row r="165" spans="144:181" x14ac:dyDescent="0.25">
      <c r="EN165" s="69"/>
      <c r="EP165" s="69"/>
      <c r="EQ165" s="26"/>
      <c r="ES165" s="69"/>
      <c r="EU165" s="25" t="s">
        <v>40</v>
      </c>
      <c r="EV165" s="69">
        <v>43922.85</v>
      </c>
      <c r="EW165" s="26">
        <v>43853</v>
      </c>
      <c r="EX165" s="26">
        <v>43853</v>
      </c>
      <c r="EY165" s="82">
        <v>7</v>
      </c>
      <c r="EZ165" s="82">
        <v>8.0459397909935865E-2</v>
      </c>
      <c r="FA165" s="84">
        <v>5.9898542999018425E-7</v>
      </c>
      <c r="FB165" s="26">
        <v>4.0990999456730037</v>
      </c>
      <c r="FC165" s="81">
        <v>134326.13529723816</v>
      </c>
      <c r="FD165" s="81">
        <v>27.056625716390272</v>
      </c>
      <c r="FE165" s="84">
        <v>1.9627953373940642E-2</v>
      </c>
      <c r="FF165" s="84">
        <v>5.989854299901842E-4</v>
      </c>
      <c r="FG165" s="26">
        <v>43921</v>
      </c>
      <c r="FH165" s="26" t="s">
        <v>2108</v>
      </c>
      <c r="FI165" s="83">
        <v>134326.02156909858</v>
      </c>
      <c r="FJ165" s="83">
        <v>926</v>
      </c>
      <c r="FK165" s="72" t="s">
        <v>2109</v>
      </c>
      <c r="FL165" s="26">
        <v>43921</v>
      </c>
      <c r="FM165" s="25">
        <v>70</v>
      </c>
      <c r="FN165" t="s">
        <v>2110</v>
      </c>
      <c r="FO165" s="72"/>
      <c r="FP165" s="72" t="s">
        <v>2111</v>
      </c>
      <c r="FR165" t="s">
        <v>2112</v>
      </c>
      <c r="FS165" s="19">
        <v>1582.9059829059829</v>
      </c>
      <c r="FT165" s="72">
        <v>43917</v>
      </c>
      <c r="FU165" s="25">
        <v>-5</v>
      </c>
      <c r="FV165" s="25"/>
    </row>
    <row r="166" spans="144:181" x14ac:dyDescent="0.25">
      <c r="EN166" s="69"/>
      <c r="EP166" s="69"/>
      <c r="EQ166" s="26"/>
      <c r="ES166" s="69"/>
      <c r="EU166" s="26" t="s">
        <v>681</v>
      </c>
      <c r="EV166" s="69">
        <v>43918.901817129627</v>
      </c>
      <c r="EW166" s="26">
        <v>43895</v>
      </c>
      <c r="EX166" s="26">
        <v>43896</v>
      </c>
      <c r="EY166">
        <v>8</v>
      </c>
      <c r="EZ166">
        <v>7.8965808116934317</v>
      </c>
      <c r="FA166" s="81">
        <v>2.1112413508304076E-4</v>
      </c>
      <c r="FB166" s="21">
        <v>9.9999999979467598E-4</v>
      </c>
      <c r="FC166" s="82">
        <v>37402.549019739003</v>
      </c>
      <c r="FD166" s="82">
        <v>23308.402218300991</v>
      </c>
      <c r="FE166" s="26">
        <v>7896.5806021906546</v>
      </c>
      <c r="FF166" s="84">
        <v>0.21112413508304076</v>
      </c>
      <c r="FG166" s="26">
        <v>43918</v>
      </c>
      <c r="FH166" s="84" t="s">
        <v>1868</v>
      </c>
      <c r="FI166" s="84">
        <v>84907</v>
      </c>
      <c r="FJ166" s="84">
        <v>84907</v>
      </c>
      <c r="FK166" s="25" t="s">
        <v>1869</v>
      </c>
      <c r="FL166" s="26">
        <v>43918</v>
      </c>
      <c r="FM166" s="25">
        <v>24</v>
      </c>
      <c r="FN166" t="s">
        <v>1870</v>
      </c>
      <c r="FO166" s="25"/>
      <c r="FP166" s="72" t="s">
        <v>1871</v>
      </c>
      <c r="FR166" s="72" t="s">
        <v>1872</v>
      </c>
      <c r="FS166" s="19">
        <v>84907</v>
      </c>
      <c r="FT166" s="72"/>
      <c r="FU166" s="25"/>
      <c r="FV166" s="148"/>
    </row>
    <row r="167" spans="144:181" x14ac:dyDescent="0.25">
      <c r="EN167" s="69"/>
      <c r="EP167" s="69"/>
      <c r="EQ167" s="26"/>
      <c r="ES167" s="69"/>
      <c r="EU167" s="26" t="s">
        <v>681</v>
      </c>
      <c r="EV167" s="69">
        <v>43919.381145833337</v>
      </c>
      <c r="EW167" s="26">
        <v>43895</v>
      </c>
      <c r="EX167" s="26">
        <v>43896</v>
      </c>
      <c r="EY167">
        <v>8</v>
      </c>
      <c r="EZ167">
        <v>0.17572814813528401</v>
      </c>
      <c r="FA167" s="81">
        <v>1.4307622730528226E-6</v>
      </c>
      <c r="FB167" s="21">
        <v>4312.3186611562223</v>
      </c>
      <c r="FC167" s="82">
        <v>122821.34596709223</v>
      </c>
      <c r="FD167" s="82">
        <v>1360.972499773467</v>
      </c>
      <c r="FE167" s="26">
        <v>3.9319507348294602E-5</v>
      </c>
      <c r="FF167" s="84">
        <v>1.4307622730528227E-3</v>
      </c>
      <c r="FG167" s="26">
        <v>43918</v>
      </c>
      <c r="FH167" s="84" t="s">
        <v>1900</v>
      </c>
      <c r="FI167" s="84">
        <v>84907</v>
      </c>
      <c r="FJ167" s="84">
        <v>84907</v>
      </c>
      <c r="FK167" t="s">
        <v>1901</v>
      </c>
      <c r="FL167" s="26">
        <v>43918</v>
      </c>
      <c r="FM167" s="25">
        <v>24</v>
      </c>
      <c r="FN167" t="s">
        <v>1902</v>
      </c>
      <c r="FO167" s="25"/>
      <c r="FP167" s="72" t="s">
        <v>1903</v>
      </c>
      <c r="FQ167"/>
      <c r="FR167" s="72" t="s">
        <v>1904</v>
      </c>
      <c r="FS167" s="19">
        <v>84907</v>
      </c>
      <c r="FT167" s="72"/>
      <c r="FU167" s="25"/>
      <c r="FV167" s="23"/>
    </row>
    <row r="168" spans="144:181" x14ac:dyDescent="0.25">
      <c r="EN168" s="69"/>
      <c r="EP168" s="69"/>
      <c r="EQ168" s="26"/>
      <c r="ES168" s="69"/>
      <c r="EU168" s="25" t="s">
        <v>681</v>
      </c>
      <c r="EV168" s="69">
        <v>43919.676226851851</v>
      </c>
      <c r="EW168" s="26">
        <v>43895</v>
      </c>
      <c r="EX168" s="26">
        <v>43896</v>
      </c>
      <c r="EY168">
        <v>8</v>
      </c>
      <c r="EZ168">
        <v>0.17613904662372426</v>
      </c>
      <c r="FA168" s="25">
        <v>1.4152545792065197E-6</v>
      </c>
      <c r="FB168" s="21">
        <v>4294.878961595794</v>
      </c>
      <c r="FC168" s="82">
        <v>124457.49988138447</v>
      </c>
      <c r="FD168" s="82">
        <v>1502.4054038860456</v>
      </c>
      <c r="FE168" s="25">
        <v>3.9596156498669003E-5</v>
      </c>
      <c r="FF168" s="84">
        <v>1.4152545792065197E-3</v>
      </c>
      <c r="FG168" s="26">
        <v>43919</v>
      </c>
      <c r="FH168" s="26" t="s">
        <v>1912</v>
      </c>
      <c r="FI168" s="84">
        <v>91308</v>
      </c>
      <c r="FJ168" s="84">
        <v>91308</v>
      </c>
      <c r="FK168" s="84" t="s">
        <v>1913</v>
      </c>
      <c r="FL168" s="26">
        <v>43919</v>
      </c>
      <c r="FM168" s="25">
        <v>25</v>
      </c>
      <c r="FN168" t="s">
        <v>1914</v>
      </c>
      <c r="FO168" s="25"/>
      <c r="FP168" t="s">
        <v>1915</v>
      </c>
      <c r="FQ168"/>
      <c r="FR168" t="s">
        <v>1916</v>
      </c>
      <c r="FS168" s="19">
        <v>91308</v>
      </c>
      <c r="FT168" s="72"/>
      <c r="FU168" s="25"/>
      <c r="FV168" s="23"/>
      <c r="FW168" s="72"/>
      <c r="FY168" t="s">
        <v>1313</v>
      </c>
    </row>
    <row r="169" spans="144:181" x14ac:dyDescent="0.25">
      <c r="EN169" s="69"/>
      <c r="EP169" s="69"/>
      <c r="EQ169" s="26"/>
      <c r="ES169" s="69"/>
      <c r="EU169" s="69" t="s">
        <v>681</v>
      </c>
      <c r="EV169" s="69">
        <v>43919.68340277778</v>
      </c>
      <c r="EW169" s="26">
        <v>43895</v>
      </c>
      <c r="EX169" s="26">
        <v>43896</v>
      </c>
      <c r="EY169" s="25">
        <v>8</v>
      </c>
      <c r="EZ169" s="25">
        <v>0.17613904662372426</v>
      </c>
      <c r="FA169" s="25">
        <v>1.4152545792065197E-6</v>
      </c>
      <c r="FB169" s="21">
        <v>4294.878961595794</v>
      </c>
      <c r="FC169" s="82">
        <v>124457.49988138447</v>
      </c>
      <c r="FD169" s="82">
        <v>1502.4054038860456</v>
      </c>
      <c r="FE169" s="83">
        <v>3.9596156498669003E-5</v>
      </c>
      <c r="FF169" s="84">
        <v>1.4152545792065197E-3</v>
      </c>
      <c r="FG169" s="26">
        <v>43919</v>
      </c>
      <c r="FH169" s="26" t="s">
        <v>1912</v>
      </c>
      <c r="FI169" s="84">
        <v>91308</v>
      </c>
      <c r="FJ169" s="84">
        <v>91308</v>
      </c>
      <c r="FK169" s="26" t="s">
        <v>1913</v>
      </c>
      <c r="FL169" s="26">
        <v>43919</v>
      </c>
      <c r="FM169">
        <v>25</v>
      </c>
      <c r="FN169" t="s">
        <v>1914</v>
      </c>
      <c r="FO169" s="25"/>
      <c r="FP169" s="25" t="s">
        <v>1915</v>
      </c>
      <c r="FQ169" s="72"/>
      <c r="FR169" t="s">
        <v>1916</v>
      </c>
      <c r="FS169" s="19">
        <v>91308</v>
      </c>
      <c r="FT169" s="72"/>
      <c r="FV169" s="23"/>
    </row>
    <row r="170" spans="144:181" x14ac:dyDescent="0.25">
      <c r="EU170" t="s">
        <v>681</v>
      </c>
      <c r="EV170" s="69">
        <v>43921.586284722223</v>
      </c>
      <c r="EW170" s="26">
        <v>43895</v>
      </c>
      <c r="EX170" s="26">
        <v>43896</v>
      </c>
      <c r="EY170" s="25">
        <v>8</v>
      </c>
      <c r="EZ170" s="25">
        <v>0.17613538531757694</v>
      </c>
      <c r="FA170" s="83">
        <v>1.3895802972759197E-6</v>
      </c>
      <c r="FB170" s="21">
        <v>4294.8607397935975</v>
      </c>
      <c r="FC170" s="82">
        <v>126754.37732016353</v>
      </c>
      <c r="FD170" s="82">
        <v>1729.9600760989704</v>
      </c>
      <c r="FE170" s="83">
        <v>3.9621152294263625E-5</v>
      </c>
      <c r="FF170" s="84">
        <v>1.3895802972759197E-3</v>
      </c>
      <c r="FG170" s="26">
        <v>43920</v>
      </c>
      <c r="FH170" s="25" t="s">
        <v>2051</v>
      </c>
      <c r="FI170" s="84">
        <v>97919</v>
      </c>
      <c r="FJ170" s="84">
        <v>97919</v>
      </c>
      <c r="FK170" s="25" t="s">
        <v>2052</v>
      </c>
      <c r="FL170" s="26">
        <v>43920</v>
      </c>
      <c r="FM170">
        <v>26</v>
      </c>
      <c r="FN170" t="s">
        <v>2053</v>
      </c>
      <c r="FO170" s="72"/>
      <c r="FP170" s="25" t="s">
        <v>2054</v>
      </c>
      <c r="FR170" t="s">
        <v>2055</v>
      </c>
      <c r="FS170" s="19">
        <v>97919</v>
      </c>
      <c r="FT170" s="72"/>
      <c r="FV170" s="148"/>
    </row>
    <row r="171" spans="144:181" x14ac:dyDescent="0.25">
      <c r="EU171" t="s">
        <v>681</v>
      </c>
      <c r="EV171" s="69">
        <v>43921.607824074075</v>
      </c>
      <c r="EW171" s="26">
        <v>43895</v>
      </c>
      <c r="EX171" s="26">
        <v>43896</v>
      </c>
      <c r="EY171" s="25">
        <v>8</v>
      </c>
      <c r="EZ171" s="25">
        <v>0.17613538531757694</v>
      </c>
      <c r="FA171" s="83">
        <v>1.3895802972759197E-6</v>
      </c>
      <c r="FB171" s="21">
        <v>4294.8607397935975</v>
      </c>
      <c r="FC171" s="82">
        <v>126754.37732016353</v>
      </c>
      <c r="FD171" s="82">
        <v>1513.5818490688509</v>
      </c>
      <c r="FE171" s="84">
        <v>3.9621152294263625E-5</v>
      </c>
      <c r="FF171" s="25">
        <v>1.3895802972759197E-3</v>
      </c>
      <c r="FG171" s="26">
        <v>43921</v>
      </c>
      <c r="FH171" s="25" t="s">
        <v>2051</v>
      </c>
      <c r="FI171" s="84">
        <v>97919</v>
      </c>
      <c r="FJ171" s="84">
        <v>97919</v>
      </c>
      <c r="FK171" s="25" t="s">
        <v>2052</v>
      </c>
      <c r="FL171" s="26">
        <v>43921</v>
      </c>
      <c r="FM171">
        <v>27</v>
      </c>
      <c r="FN171" t="s">
        <v>2058</v>
      </c>
      <c r="FO171" s="72"/>
      <c r="FP171" s="25" t="s">
        <v>2054</v>
      </c>
      <c r="FR171" t="s">
        <v>2059</v>
      </c>
      <c r="FS171" s="19">
        <v>97919</v>
      </c>
      <c r="FT171" s="72"/>
    </row>
    <row r="172" spans="144:181" x14ac:dyDescent="0.25">
      <c r="EU172" t="s">
        <v>681</v>
      </c>
      <c r="EV172" s="69">
        <v>43922.850104166668</v>
      </c>
      <c r="EW172" s="26">
        <v>43895</v>
      </c>
      <c r="EX172" s="26">
        <v>43896</v>
      </c>
      <c r="EY172" s="82">
        <v>8</v>
      </c>
      <c r="EZ172" s="82">
        <v>0.17613538531757694</v>
      </c>
      <c r="FA172" s="84">
        <v>1.3895802972759197E-6</v>
      </c>
      <c r="FB172" s="26">
        <v>4294.8607397935975</v>
      </c>
      <c r="FC172" s="81">
        <v>126754.37732016353</v>
      </c>
      <c r="FD172" s="81">
        <v>1515.8766081902991</v>
      </c>
      <c r="FE172" s="84">
        <v>3.9621152294263625E-5</v>
      </c>
      <c r="FF172" s="84">
        <v>1.3895802972759197E-3</v>
      </c>
      <c r="FG172" s="26">
        <v>43922</v>
      </c>
      <c r="FH172" s="26" t="s">
        <v>2051</v>
      </c>
      <c r="FI172" s="83">
        <v>103361</v>
      </c>
      <c r="FJ172" s="83">
        <v>103361</v>
      </c>
      <c r="FK172" s="72" t="s">
        <v>2052</v>
      </c>
      <c r="FL172" s="26">
        <v>43922</v>
      </c>
      <c r="FM172">
        <v>28</v>
      </c>
      <c r="FN172" t="s">
        <v>2113</v>
      </c>
      <c r="FO172" s="72"/>
      <c r="FP172" s="72" t="s">
        <v>2054</v>
      </c>
      <c r="FR172" t="s">
        <v>2114</v>
      </c>
      <c r="FS172" s="19">
        <v>103361</v>
      </c>
      <c r="FT172" s="72"/>
    </row>
    <row r="173" spans="144:181" x14ac:dyDescent="0.25">
      <c r="EU173" s="26" t="s">
        <v>1365</v>
      </c>
      <c r="EV173" s="69">
        <v>43918.901504629626</v>
      </c>
      <c r="EW173" s="26">
        <v>43852</v>
      </c>
      <c r="EX173" s="26">
        <v>43852</v>
      </c>
      <c r="EY173" s="25">
        <v>9</v>
      </c>
      <c r="EZ173" s="25">
        <v>9.2918467630861556</v>
      </c>
      <c r="FA173" s="81">
        <v>1.9078864277520134E-4</v>
      </c>
      <c r="FB173" s="21">
        <v>48649.93727361253</v>
      </c>
      <c r="FC173" s="82">
        <v>48702.305482797361</v>
      </c>
      <c r="FD173" s="82">
        <v>25199.494284754452</v>
      </c>
      <c r="FE173" s="26">
        <v>2.0537045091652685E-7</v>
      </c>
      <c r="FF173" s="84">
        <v>0.19078864277520133</v>
      </c>
      <c r="FG173" s="26">
        <v>43917</v>
      </c>
      <c r="FH173" s="84" t="s">
        <v>1825</v>
      </c>
      <c r="FI173" s="84">
        <v>48702.305482797361</v>
      </c>
      <c r="FJ173" s="84">
        <v>67801</v>
      </c>
      <c r="FK173" s="25" t="s">
        <v>1826</v>
      </c>
      <c r="FL173" s="26">
        <v>43917</v>
      </c>
      <c r="FM173">
        <v>66</v>
      </c>
      <c r="FN173" t="s">
        <v>1866</v>
      </c>
      <c r="FO173" s="25"/>
      <c r="FP173" s="72" t="s">
        <v>1827</v>
      </c>
      <c r="FR173" s="72" t="s">
        <v>1867</v>
      </c>
      <c r="FS173" s="19">
        <v>11589.914529914531</v>
      </c>
      <c r="FT173" s="72"/>
      <c r="FV173" s="148"/>
    </row>
    <row r="174" spans="144:181" x14ac:dyDescent="0.25">
      <c r="EU174" s="69" t="s">
        <v>1365</v>
      </c>
      <c r="EV174" s="69">
        <v>43919.68346064815</v>
      </c>
      <c r="EW174" s="26">
        <v>43852</v>
      </c>
      <c r="EX174" s="26">
        <v>43852</v>
      </c>
      <c r="EY174" s="25">
        <v>9</v>
      </c>
      <c r="EZ174" s="25">
        <v>0.92237279260381255</v>
      </c>
      <c r="FA174" s="25">
        <v>1.4110689556496679E-5</v>
      </c>
      <c r="FB174" s="21">
        <v>9.9999999710258811E-4</v>
      </c>
      <c r="FC174" s="82">
        <v>65366.953819712122</v>
      </c>
      <c r="FD174" s="82">
        <v>7524.8522208847025</v>
      </c>
      <c r="FE174" s="83">
        <v>922.37278116561686</v>
      </c>
      <c r="FF174" s="84">
        <v>1.411068955649668E-2</v>
      </c>
      <c r="FG174" s="26">
        <v>43918</v>
      </c>
      <c r="FH174" s="26" t="s">
        <v>1296</v>
      </c>
      <c r="FI174" s="84">
        <v>65366.953819712122</v>
      </c>
      <c r="FJ174" s="84">
        <v>67801</v>
      </c>
      <c r="FK174" s="26" t="s">
        <v>1955</v>
      </c>
      <c r="FL174" s="26">
        <v>43918</v>
      </c>
      <c r="FM174">
        <v>67</v>
      </c>
      <c r="FN174" t="s">
        <v>1956</v>
      </c>
      <c r="FO174" s="25"/>
      <c r="FP174" s="25" t="s">
        <v>1957</v>
      </c>
      <c r="FQ174" s="72"/>
      <c r="FR174" t="s">
        <v>1958</v>
      </c>
      <c r="FS174" s="19">
        <v>11589.914529914531</v>
      </c>
      <c r="FT174" s="72"/>
      <c r="FV174" s="148"/>
    </row>
    <row r="175" spans="144:181" x14ac:dyDescent="0.25">
      <c r="EU175" s="69" t="s">
        <v>1365</v>
      </c>
      <c r="EV175" s="69">
        <v>43919.837824074071</v>
      </c>
      <c r="EW175" s="26">
        <v>43852</v>
      </c>
      <c r="EX175" s="26">
        <v>43852</v>
      </c>
      <c r="EY175" s="25">
        <v>9</v>
      </c>
      <c r="EZ175" s="25">
        <v>0.19552605943979032</v>
      </c>
      <c r="FA175" s="25">
        <v>9.9999999957414959E-13</v>
      </c>
      <c r="FB175" s="21">
        <v>1E-3</v>
      </c>
      <c r="FC175" s="82">
        <v>195526059523.05518</v>
      </c>
      <c r="FD175" s="82">
        <v>24.994942538814939</v>
      </c>
      <c r="FE175" s="83">
        <v>195.52605943978932</v>
      </c>
      <c r="FF175" s="84">
        <v>9.9999999957414949E-10</v>
      </c>
      <c r="FG175" s="26">
        <v>43918</v>
      </c>
      <c r="FH175" s="26" t="s">
        <v>1960</v>
      </c>
      <c r="FI175" s="84">
        <v>195526059522.46909</v>
      </c>
      <c r="FJ175" s="84">
        <v>451</v>
      </c>
      <c r="FK175" s="26" t="s">
        <v>1961</v>
      </c>
      <c r="FL175" s="26">
        <v>43918</v>
      </c>
      <c r="FM175">
        <v>31</v>
      </c>
      <c r="FN175" t="s">
        <v>1962</v>
      </c>
      <c r="FO175" s="25"/>
      <c r="FP175" s="25" t="s">
        <v>1963</v>
      </c>
      <c r="FQ175" s="72"/>
      <c r="FR175" t="s">
        <v>1964</v>
      </c>
      <c r="FS175" s="19">
        <v>862.33269598470361</v>
      </c>
      <c r="FT175" s="72"/>
      <c r="FV175" s="23"/>
    </row>
    <row r="176" spans="144:181" x14ac:dyDescent="0.25">
      <c r="EU176" t="s">
        <v>1365</v>
      </c>
      <c r="EV176" s="69">
        <v>43921.586377314816</v>
      </c>
      <c r="EW176" s="26">
        <v>43852</v>
      </c>
      <c r="EX176" s="26">
        <v>43852</v>
      </c>
      <c r="EY176" s="25">
        <v>9</v>
      </c>
      <c r="EZ176" s="25">
        <v>0.19564953808684307</v>
      </c>
      <c r="FA176" s="83">
        <v>9.9999999957414959E-13</v>
      </c>
      <c r="FB176" s="21">
        <v>1E-3</v>
      </c>
      <c r="FC176" s="82">
        <v>195649538170.16052</v>
      </c>
      <c r="FD176" s="82">
        <v>24.586516852668158</v>
      </c>
      <c r="FE176" s="83">
        <v>195.64953808684209</v>
      </c>
      <c r="FF176" s="84">
        <v>9.9999999957414949E-10</v>
      </c>
      <c r="FG176" s="26">
        <v>43920</v>
      </c>
      <c r="FH176" s="25" t="s">
        <v>1960</v>
      </c>
      <c r="FI176" s="84">
        <v>195649538169.59528</v>
      </c>
      <c r="FJ176" s="84">
        <v>589</v>
      </c>
      <c r="FK176" s="25" t="s">
        <v>1961</v>
      </c>
      <c r="FL176" s="26">
        <v>43920</v>
      </c>
      <c r="FM176">
        <v>33</v>
      </c>
      <c r="FN176" t="s">
        <v>2056</v>
      </c>
      <c r="FO176" s="72"/>
      <c r="FP176" s="25" t="s">
        <v>1963</v>
      </c>
      <c r="FR176" t="s">
        <v>2057</v>
      </c>
      <c r="FS176" s="19">
        <v>1126.1950286806882</v>
      </c>
      <c r="FT176" s="72"/>
      <c r="FV176" s="148"/>
    </row>
    <row r="177" spans="151:182" x14ac:dyDescent="0.25">
      <c r="EU177" t="s">
        <v>1365</v>
      </c>
      <c r="EV177" s="69">
        <v>43921.611724537041</v>
      </c>
      <c r="EW177" s="26">
        <v>43852</v>
      </c>
      <c r="EX177" s="26">
        <v>43852</v>
      </c>
      <c r="EY177" s="25">
        <v>9</v>
      </c>
      <c r="EZ177" s="25">
        <v>0.19540647436220884</v>
      </c>
      <c r="FA177" s="83">
        <v>8.2499012002521716E-6</v>
      </c>
      <c r="FB177" s="21">
        <v>1E-3</v>
      </c>
      <c r="FC177" s="82">
        <v>23685.916912100223</v>
      </c>
      <c r="FD177" s="82">
        <v>26.735466467709664</v>
      </c>
      <c r="FE177" s="84">
        <v>195.40646611230761</v>
      </c>
      <c r="FF177" s="25">
        <v>8.2499012002521712E-3</v>
      </c>
      <c r="FG177" s="26">
        <v>43921</v>
      </c>
      <c r="FH177" s="25" t="s">
        <v>2060</v>
      </c>
      <c r="FI177" s="84">
        <v>23685.916912100223</v>
      </c>
      <c r="FJ177" s="84">
        <v>647</v>
      </c>
      <c r="FK177" s="25" t="s">
        <v>2061</v>
      </c>
      <c r="FL177" s="26">
        <v>43921</v>
      </c>
      <c r="FM177">
        <v>34</v>
      </c>
      <c r="FN177" t="s">
        <v>2062</v>
      </c>
      <c r="FO177" s="72"/>
      <c r="FP177" s="25" t="s">
        <v>2063</v>
      </c>
      <c r="FR177" t="s">
        <v>2064</v>
      </c>
      <c r="FS177" s="19">
        <v>1237.093690248566</v>
      </c>
      <c r="FT177" s="72"/>
    </row>
    <row r="178" spans="151:182" x14ac:dyDescent="0.25">
      <c r="EU178" t="s">
        <v>1365</v>
      </c>
      <c r="EV178" s="69">
        <v>43922.854317129626</v>
      </c>
      <c r="EW178" s="26">
        <v>43852</v>
      </c>
      <c r="EX178" s="26">
        <v>43852</v>
      </c>
      <c r="EY178" s="82">
        <v>9</v>
      </c>
      <c r="EZ178" s="82">
        <v>0.19669458698243794</v>
      </c>
      <c r="FA178" s="84">
        <v>5.2228420734630453E-5</v>
      </c>
      <c r="FB178" s="26">
        <v>1E-3</v>
      </c>
      <c r="FC178" s="81">
        <v>3766.045080739309</v>
      </c>
      <c r="FD178" s="81">
        <v>29.731123592419461</v>
      </c>
      <c r="FE178" s="84">
        <v>196.69453475401718</v>
      </c>
      <c r="FF178" s="84">
        <v>5.2228420734630451E-2</v>
      </c>
      <c r="FG178" s="26">
        <v>43922</v>
      </c>
      <c r="FH178" s="26" t="s">
        <v>1484</v>
      </c>
      <c r="FI178" s="83">
        <v>3766.045080739309</v>
      </c>
      <c r="FJ178" s="83">
        <v>708</v>
      </c>
      <c r="FK178" s="72" t="s">
        <v>2115</v>
      </c>
      <c r="FL178" s="26">
        <v>43922</v>
      </c>
      <c r="FM178">
        <v>35</v>
      </c>
      <c r="FN178" t="s">
        <v>2116</v>
      </c>
      <c r="FO178" s="72"/>
      <c r="FP178" s="72" t="s">
        <v>2117</v>
      </c>
      <c r="FR178" t="s">
        <v>2118</v>
      </c>
      <c r="FS178" s="19">
        <v>1353.7284894837476</v>
      </c>
      <c r="FT178" s="72"/>
    </row>
    <row r="179" spans="151:182" x14ac:dyDescent="0.25">
      <c r="EU179" t="s">
        <v>681</v>
      </c>
      <c r="EV179" s="69">
        <v>43923.306689814817</v>
      </c>
      <c r="EW179" s="26">
        <v>43895</v>
      </c>
      <c r="EX179" s="26">
        <v>43896</v>
      </c>
      <c r="EY179" s="82">
        <v>8</v>
      </c>
      <c r="EZ179" s="82">
        <v>0.17613538531757694</v>
      </c>
      <c r="FA179" s="84">
        <v>1.3895802972759197E-6</v>
      </c>
      <c r="FB179" s="26">
        <v>4294.8607397935975</v>
      </c>
      <c r="FC179" s="81">
        <v>126754.37732016353</v>
      </c>
      <c r="FD179" s="81">
        <v>1515.8766081902991</v>
      </c>
      <c r="FE179" s="84">
        <v>3.9621152294263625E-5</v>
      </c>
      <c r="FF179" s="84">
        <v>1.3895802972759197E-3</v>
      </c>
      <c r="FG179" s="26">
        <v>43922</v>
      </c>
      <c r="FH179" s="26" t="s">
        <v>2051</v>
      </c>
      <c r="FI179" s="83">
        <v>103361</v>
      </c>
      <c r="FJ179" s="83">
        <v>103361</v>
      </c>
      <c r="FK179" s="72" t="s">
        <v>2052</v>
      </c>
      <c r="FL179" s="26">
        <v>43922</v>
      </c>
      <c r="FM179">
        <v>28</v>
      </c>
      <c r="FN179" t="s">
        <v>2113</v>
      </c>
      <c r="FO179" s="72"/>
      <c r="FP179" s="72" t="s">
        <v>2054</v>
      </c>
      <c r="FR179" t="s">
        <v>2114</v>
      </c>
      <c r="FS179" s="19">
        <v>103361</v>
      </c>
      <c r="FT179" s="72"/>
    </row>
    <row r="180" spans="151:182" x14ac:dyDescent="0.25">
      <c r="EU180" t="s">
        <v>40</v>
      </c>
      <c r="EV180" s="69">
        <v>43923.334027777775</v>
      </c>
      <c r="EW180" s="26">
        <v>43853</v>
      </c>
      <c r="EX180" s="26">
        <v>43883</v>
      </c>
      <c r="EY180" s="82">
        <v>7</v>
      </c>
      <c r="EZ180" s="82">
        <v>8.0459397909935865E-2</v>
      </c>
      <c r="FA180" s="84">
        <v>5.9898542999018425E-7</v>
      </c>
      <c r="FB180" s="26">
        <v>4.0990999456730037</v>
      </c>
      <c r="FC180" s="81">
        <v>134326.13529723816</v>
      </c>
      <c r="FD180" s="81">
        <v>26.78706597620755</v>
      </c>
      <c r="FE180" s="84">
        <v>1.9627953373940642E-2</v>
      </c>
      <c r="FF180" s="84">
        <v>5.989854299901842E-4</v>
      </c>
      <c r="FG180" s="26">
        <v>43921</v>
      </c>
      <c r="FH180" s="26" t="s">
        <v>2108</v>
      </c>
      <c r="FI180" s="83">
        <v>134326.02156909858</v>
      </c>
      <c r="FJ180" s="83">
        <v>926</v>
      </c>
      <c r="FK180" s="72" t="s">
        <v>2109</v>
      </c>
      <c r="FL180" s="26">
        <v>43921</v>
      </c>
      <c r="FM180">
        <v>70</v>
      </c>
      <c r="FN180" t="s">
        <v>2119</v>
      </c>
      <c r="FO180" s="72"/>
      <c r="FP180" s="72" t="s">
        <v>2111</v>
      </c>
      <c r="FR180" t="s">
        <v>2120</v>
      </c>
      <c r="FS180" s="19">
        <v>1582.9059829059829</v>
      </c>
      <c r="FT180" s="72">
        <v>43917</v>
      </c>
      <c r="FU180">
        <v>-5</v>
      </c>
      <c r="FV180" t="e">
        <v>#REF!</v>
      </c>
      <c r="FW180" t="e">
        <v>#REF!</v>
      </c>
    </row>
    <row r="181" spans="151:182" x14ac:dyDescent="0.25">
      <c r="EU181" t="s">
        <v>40</v>
      </c>
      <c r="EV181" s="69">
        <v>43923.334976851853</v>
      </c>
      <c r="EW181" s="26">
        <v>43853</v>
      </c>
      <c r="EX181" s="26">
        <v>43898</v>
      </c>
      <c r="EY181" s="82">
        <v>7</v>
      </c>
      <c r="EZ181" s="82">
        <v>8.0459397909935865E-2</v>
      </c>
      <c r="FA181" s="84">
        <v>5.9898542999018425E-7</v>
      </c>
      <c r="FB181" s="26">
        <v>4.0990999456730037</v>
      </c>
      <c r="FC181" s="81">
        <v>134326.13529723816</v>
      </c>
      <c r="FD181" s="81">
        <v>28.620448034295105</v>
      </c>
      <c r="FE181" s="84">
        <v>1.9627953373940642E-2</v>
      </c>
      <c r="FF181" s="84">
        <v>5.989854299901842E-4</v>
      </c>
      <c r="FG181" s="26">
        <v>43921</v>
      </c>
      <c r="FH181" s="26" t="s">
        <v>2108</v>
      </c>
      <c r="FI181" s="83">
        <v>134326.02156909858</v>
      </c>
      <c r="FJ181" s="83">
        <v>926</v>
      </c>
      <c r="FK181" s="72" t="s">
        <v>2109</v>
      </c>
      <c r="FL181" s="26">
        <v>43921</v>
      </c>
      <c r="FM181">
        <v>70</v>
      </c>
      <c r="FN181" t="s">
        <v>2121</v>
      </c>
      <c r="FO181" s="72"/>
      <c r="FP181" s="72" t="s">
        <v>2111</v>
      </c>
      <c r="FR181" t="s">
        <v>2122</v>
      </c>
      <c r="FS181" s="19">
        <v>1582.9059829059829</v>
      </c>
      <c r="FT181" s="72">
        <v>43917</v>
      </c>
      <c r="FU181">
        <v>-5</v>
      </c>
      <c r="FV181" t="e">
        <v>#REF!</v>
      </c>
      <c r="FW181" t="e">
        <v>#REF!</v>
      </c>
    </row>
    <row r="182" spans="151:182" x14ac:dyDescent="0.25">
      <c r="EU182" t="s">
        <v>40</v>
      </c>
      <c r="EV182" s="69">
        <v>43923.341678240744</v>
      </c>
      <c r="EW182" s="26">
        <v>43853</v>
      </c>
      <c r="EX182" s="26">
        <v>43871</v>
      </c>
      <c r="EY182" s="82">
        <v>7</v>
      </c>
      <c r="EZ182" s="82">
        <v>7.9589178575463923E-2</v>
      </c>
      <c r="FA182" s="84">
        <v>1.0000000008849455E-12</v>
      </c>
      <c r="FB182" s="26">
        <v>4.2941138790411228</v>
      </c>
      <c r="FC182" s="81">
        <v>79589178505.03183</v>
      </c>
      <c r="FD182" s="81">
        <v>30.706297687512748</v>
      </c>
      <c r="FE182" s="84">
        <v>1.8534482506305145E-2</v>
      </c>
      <c r="FF182" s="84">
        <v>1.0000000008849456E-9</v>
      </c>
      <c r="FG182" s="26">
        <v>43921</v>
      </c>
      <c r="FH182" s="26" t="s">
        <v>2123</v>
      </c>
      <c r="FI182" s="83">
        <v>49027271796.291786</v>
      </c>
      <c r="FJ182" s="83">
        <v>926</v>
      </c>
      <c r="FK182" s="72" t="s">
        <v>1833</v>
      </c>
      <c r="FL182" s="26">
        <v>43921</v>
      </c>
      <c r="FM182">
        <v>70</v>
      </c>
      <c r="FN182" t="s">
        <v>2124</v>
      </c>
      <c r="FO182" s="72"/>
      <c r="FP182" s="72" t="s">
        <v>1835</v>
      </c>
      <c r="FR182" t="s">
        <v>2125</v>
      </c>
      <c r="FS182" s="19">
        <v>1582.9059829059829</v>
      </c>
      <c r="FT182" s="72">
        <v>43917</v>
      </c>
      <c r="FU182">
        <v>-5</v>
      </c>
      <c r="FV182" t="e">
        <v>#REF!</v>
      </c>
      <c r="FW182" t="e">
        <v>#REF!</v>
      </c>
    </row>
    <row r="183" spans="151:182" x14ac:dyDescent="0.25">
      <c r="EU183" t="s">
        <v>153</v>
      </c>
      <c r="EV183" s="69">
        <v>43923.543275462966</v>
      </c>
      <c r="EW183" s="26">
        <v>43855</v>
      </c>
      <c r="EX183" s="26">
        <v>43855</v>
      </c>
      <c r="EY183" s="82">
        <v>1</v>
      </c>
      <c r="EZ183" s="82">
        <v>0.23780005535110346</v>
      </c>
      <c r="FA183" s="84">
        <v>7.9259816751663258E-5</v>
      </c>
      <c r="FB183" s="26">
        <v>1E-3</v>
      </c>
      <c r="FC183" s="81">
        <v>3000.259969010252</v>
      </c>
      <c r="FD183" s="81">
        <v>22.641288157537449</v>
      </c>
      <c r="FE183" s="84">
        <v>237.79997609128671</v>
      </c>
      <c r="FF183" s="84">
        <v>7.9259816751663256E-2</v>
      </c>
      <c r="FG183" s="26">
        <v>43923</v>
      </c>
      <c r="FH183" s="26" t="s">
        <v>2127</v>
      </c>
      <c r="FI183" s="83">
        <v>3000.259969010252</v>
      </c>
      <c r="FJ183" s="83">
        <v>2298</v>
      </c>
      <c r="FK183" s="72" t="s">
        <v>1907</v>
      </c>
      <c r="FL183" s="26">
        <v>43923</v>
      </c>
      <c r="FM183">
        <v>69</v>
      </c>
      <c r="FN183" t="s">
        <v>2128</v>
      </c>
      <c r="FO183" s="72"/>
      <c r="FP183" s="72" t="s">
        <v>2129</v>
      </c>
      <c r="FR183" t="s">
        <v>2130</v>
      </c>
      <c r="FS183" s="19">
        <v>2844.0594059405939</v>
      </c>
      <c r="FT183" s="72"/>
      <c r="FX183" t="s">
        <v>2126</v>
      </c>
    </row>
    <row r="184" spans="151:182" x14ac:dyDescent="0.25">
      <c r="EU184" t="s">
        <v>681</v>
      </c>
      <c r="EV184" s="69">
        <v>43923.54346064815</v>
      </c>
      <c r="EW184" s="26">
        <v>43895</v>
      </c>
      <c r="EX184" s="26">
        <v>43896</v>
      </c>
      <c r="EY184" s="82">
        <v>8</v>
      </c>
      <c r="EZ184" s="82">
        <v>0.17613538531757658</v>
      </c>
      <c r="FA184" s="84">
        <v>1.3843601967426082E-6</v>
      </c>
      <c r="FB184" s="26">
        <v>4294.8607397935921</v>
      </c>
      <c r="FC184" s="81">
        <v>127232.33861535614</v>
      </c>
      <c r="FD184" s="81">
        <v>1594.0108269600785</v>
      </c>
      <c r="FE184" s="84">
        <v>3.9626372394796907E-5</v>
      </c>
      <c r="FF184" s="84">
        <v>1.3843601967426082E-3</v>
      </c>
      <c r="FG184" s="26">
        <v>43923</v>
      </c>
      <c r="FH184" s="26" t="s">
        <v>2051</v>
      </c>
      <c r="FI184" s="83">
        <v>108239</v>
      </c>
      <c r="FJ184" s="83">
        <v>108239</v>
      </c>
      <c r="FK184" s="72" t="s">
        <v>2052</v>
      </c>
      <c r="FL184" s="26">
        <v>43923</v>
      </c>
      <c r="FM184">
        <v>29</v>
      </c>
      <c r="FN184" t="s">
        <v>2131</v>
      </c>
      <c r="FO184" s="72"/>
      <c r="FP184" s="72" t="s">
        <v>2054</v>
      </c>
      <c r="FR184" t="s">
        <v>2132</v>
      </c>
      <c r="FS184" s="19">
        <v>108239</v>
      </c>
      <c r="FT184" s="72"/>
    </row>
    <row r="185" spans="151:182" x14ac:dyDescent="0.25">
      <c r="EU185" t="s">
        <v>48</v>
      </c>
      <c r="EV185">
        <v>43923.637152777781</v>
      </c>
      <c r="EW185" s="83">
        <v>43855</v>
      </c>
      <c r="EX185" s="26">
        <v>43855</v>
      </c>
      <c r="EY185" s="82">
        <v>0</v>
      </c>
      <c r="EZ185" s="82">
        <v>0.25308130805396523</v>
      </c>
      <c r="FA185" s="84">
        <v>4.0953850247972857E-5</v>
      </c>
      <c r="FB185">
        <v>1E-3</v>
      </c>
      <c r="FC185" s="26">
        <v>6179.670690828204</v>
      </c>
      <c r="FD185" s="25">
        <v>34.611690822547168</v>
      </c>
      <c r="FE185" s="84">
        <v>133498441.49842831</v>
      </c>
      <c r="FF185" s="84">
        <v>0.99938979136599537</v>
      </c>
      <c r="FG185">
        <v>253.08126710011496</v>
      </c>
      <c r="FH185" s="26">
        <v>4.0953850247972858E-2</v>
      </c>
      <c r="FI185" s="25">
        <v>44156</v>
      </c>
      <c r="FJ185" t="s">
        <v>2147</v>
      </c>
      <c r="FK185" s="72">
        <v>6179.670690828204</v>
      </c>
      <c r="FL185">
        <v>5108</v>
      </c>
      <c r="FM185" t="s">
        <v>2087</v>
      </c>
      <c r="FN185">
        <v>44156</v>
      </c>
      <c r="FO185" s="19">
        <v>104</v>
      </c>
      <c r="FP185" s="72" t="s">
        <v>2148</v>
      </c>
      <c r="FR185" t="s">
        <v>2089</v>
      </c>
      <c r="FT185" t="s">
        <v>2149</v>
      </c>
      <c r="FU185">
        <v>2013.8779372338747</v>
      </c>
      <c r="FZ185" t="e">
        <v>#REF!</v>
      </c>
    </row>
    <row r="186" spans="151:182" x14ac:dyDescent="0.25">
      <c r="EU186" t="s">
        <v>153</v>
      </c>
      <c r="EV186">
        <v>43923.637233796297</v>
      </c>
      <c r="EW186" s="83">
        <v>43855</v>
      </c>
      <c r="EX186" s="26">
        <v>43855</v>
      </c>
      <c r="EY186" s="82">
        <v>1</v>
      </c>
      <c r="EZ186" s="82">
        <v>0.23780005535110346</v>
      </c>
      <c r="FA186" s="84">
        <v>7.9259816751663258E-5</v>
      </c>
      <c r="FB186">
        <v>1E-3</v>
      </c>
      <c r="FC186" s="26">
        <v>3000.259969010252</v>
      </c>
      <c r="FD186" s="25">
        <v>22.641288157537449</v>
      </c>
      <c r="FE186" s="84">
        <v>24324895.297836591</v>
      </c>
      <c r="FF186" s="84">
        <v>0.99856695378234495</v>
      </c>
      <c r="FG186">
        <v>237.79997609128671</v>
      </c>
      <c r="FH186" s="26">
        <v>7.9259816751663256E-2</v>
      </c>
      <c r="FI186" s="25">
        <v>43923</v>
      </c>
      <c r="FJ186" t="s">
        <v>2127</v>
      </c>
      <c r="FK186" s="72">
        <v>3000.259969010252</v>
      </c>
      <c r="FL186">
        <v>2298</v>
      </c>
      <c r="FM186" t="s">
        <v>1907</v>
      </c>
      <c r="FN186">
        <v>43923</v>
      </c>
      <c r="FO186" s="19">
        <v>69</v>
      </c>
      <c r="FP186" s="72" t="s">
        <v>2150</v>
      </c>
      <c r="FR186" t="s">
        <v>2129</v>
      </c>
      <c r="FT186" t="s">
        <v>2151</v>
      </c>
      <c r="FU186">
        <v>2844.0594059405939</v>
      </c>
      <c r="FZ186" t="s">
        <v>2126</v>
      </c>
    </row>
    <row r="187" spans="151:182" x14ac:dyDescent="0.25">
      <c r="EU187" t="s">
        <v>58</v>
      </c>
      <c r="EV187">
        <v>43923.637337962966</v>
      </c>
      <c r="EW187" s="83">
        <v>43860</v>
      </c>
      <c r="EX187" s="26">
        <v>43860</v>
      </c>
      <c r="EY187" s="82">
        <v>2</v>
      </c>
      <c r="EZ187" s="82">
        <v>0.25663492320892073</v>
      </c>
      <c r="FA187" s="84">
        <v>2.6383830612608161E-6</v>
      </c>
      <c r="FB187">
        <v>0.44319016308144682</v>
      </c>
      <c r="FC187" s="26">
        <v>97269.773664435765</v>
      </c>
      <c r="FD187" s="25">
        <v>5899.4841771520232</v>
      </c>
      <c r="FE187" s="84">
        <v>67412747171.839508</v>
      </c>
      <c r="FF187" s="84">
        <v>0.96799058440682628</v>
      </c>
      <c r="FG187">
        <v>0.57906013102628118</v>
      </c>
      <c r="FH187" s="26">
        <v>2.6383830612608161E-3</v>
      </c>
      <c r="FI187" s="25">
        <v>43922</v>
      </c>
      <c r="FJ187" t="s">
        <v>2152</v>
      </c>
      <c r="FK187" s="72">
        <v>97269.773664435765</v>
      </c>
      <c r="FL187">
        <v>110574</v>
      </c>
      <c r="FM187" t="s">
        <v>2153</v>
      </c>
      <c r="FN187">
        <v>43922</v>
      </c>
      <c r="FO187" s="19">
        <v>63</v>
      </c>
      <c r="FP187" s="72" t="s">
        <v>2154</v>
      </c>
      <c r="FR187" t="s">
        <v>2155</v>
      </c>
      <c r="FT187" t="s">
        <v>2156</v>
      </c>
      <c r="FU187">
        <v>18281.226750433994</v>
      </c>
      <c r="FV187">
        <v>43903</v>
      </c>
      <c r="FW187">
        <v>20</v>
      </c>
      <c r="FX187">
        <v>43901</v>
      </c>
      <c r="FY187">
        <v>22</v>
      </c>
    </row>
    <row r="188" spans="151:182" x14ac:dyDescent="0.25">
      <c r="EU188" t="s">
        <v>209</v>
      </c>
      <c r="EV188">
        <v>43923.637418981481</v>
      </c>
      <c r="EW188" s="83">
        <v>43852</v>
      </c>
      <c r="EX188" s="26">
        <v>43852</v>
      </c>
      <c r="EY188" s="82">
        <v>3</v>
      </c>
      <c r="EZ188" s="82">
        <v>0.2837691396608879</v>
      </c>
      <c r="FA188" s="84">
        <v>4.4816758643210343E-7</v>
      </c>
      <c r="FB188">
        <v>1.0000000000000002E-3</v>
      </c>
      <c r="FC188" s="26">
        <v>633176.40153317607</v>
      </c>
      <c r="FD188" s="25">
        <v>7080.4659418732681</v>
      </c>
      <c r="FE188" s="84">
        <v>146535666153.25629</v>
      </c>
      <c r="FF188" s="84">
        <v>0.97605149688873938</v>
      </c>
      <c r="FG188">
        <v>283.76913921272023</v>
      </c>
      <c r="FH188" s="26">
        <v>4.4816758643210342E-4</v>
      </c>
      <c r="FI188" s="25">
        <v>43922</v>
      </c>
      <c r="FJ188" t="s">
        <v>2033</v>
      </c>
      <c r="FK188" s="72">
        <v>633176.40153317607</v>
      </c>
      <c r="FL188">
        <v>213372</v>
      </c>
      <c r="FM188" t="s">
        <v>2034</v>
      </c>
      <c r="FN188">
        <v>43922</v>
      </c>
      <c r="FO188" s="19">
        <v>71</v>
      </c>
      <c r="FP188" s="72" t="s">
        <v>2157</v>
      </c>
      <c r="FR188" t="s">
        <v>2036</v>
      </c>
      <c r="FT188" t="s">
        <v>2158</v>
      </c>
      <c r="FU188">
        <v>6480.9847466501205</v>
      </c>
      <c r="FV188">
        <v>43917</v>
      </c>
      <c r="FW188">
        <v>6</v>
      </c>
      <c r="FX188">
        <v>43916</v>
      </c>
      <c r="FY188">
        <v>7</v>
      </c>
      <c r="FZ188" t="e">
        <v>#REF!</v>
      </c>
    </row>
    <row r="189" spans="151:182" x14ac:dyDescent="0.25">
      <c r="EU189" t="s">
        <v>176</v>
      </c>
      <c r="EV189">
        <v>43923.637442129628</v>
      </c>
      <c r="EW189" s="83">
        <v>43852</v>
      </c>
      <c r="EX189" s="26">
        <v>43852</v>
      </c>
      <c r="EY189" s="82">
        <v>4</v>
      </c>
      <c r="EZ189" s="82">
        <v>0.22086046237004014</v>
      </c>
      <c r="FA189" s="84">
        <v>2.7191543730999233E-6</v>
      </c>
      <c r="FB189">
        <v>1564.3318847176652</v>
      </c>
      <c r="FC189" s="26">
        <v>81223.951297127758</v>
      </c>
      <c r="FD189" s="25">
        <v>1937.9303872174585</v>
      </c>
      <c r="FE189" s="84" t="s">
        <v>2139</v>
      </c>
      <c r="FF189" s="84">
        <v>0.99538885199554139</v>
      </c>
      <c r="FG189">
        <v>1.3846601517287634E-4</v>
      </c>
      <c r="FH189" s="26">
        <v>2.7191543730999235E-3</v>
      </c>
      <c r="FI189" s="25">
        <v>43922</v>
      </c>
      <c r="FJ189" t="s">
        <v>2038</v>
      </c>
      <c r="FK189" s="72">
        <v>81223.951297127758</v>
      </c>
      <c r="FL189">
        <v>82361</v>
      </c>
      <c r="FM189" t="s">
        <v>1938</v>
      </c>
      <c r="FN189">
        <v>43922</v>
      </c>
      <c r="FO189" s="19">
        <v>71</v>
      </c>
      <c r="FP189" s="72" t="s">
        <v>2159</v>
      </c>
      <c r="FR189" t="s">
        <v>1940</v>
      </c>
      <c r="FT189" t="s">
        <v>2160</v>
      </c>
      <c r="FU189">
        <v>572.22010344946875</v>
      </c>
      <c r="FV189">
        <v>43912</v>
      </c>
      <c r="FW189">
        <v>-11</v>
      </c>
      <c r="FX189" t="e">
        <v>#REF!</v>
      </c>
      <c r="FY189" t="e">
        <v>#REF!</v>
      </c>
    </row>
    <row r="190" spans="151:182" x14ac:dyDescent="0.25">
      <c r="EU190" t="s">
        <v>957</v>
      </c>
      <c r="EV190">
        <v>43923.637476851851</v>
      </c>
      <c r="EW190" s="83">
        <v>43852</v>
      </c>
      <c r="EX190" s="26">
        <v>43880</v>
      </c>
      <c r="EY190" s="82">
        <v>5</v>
      </c>
      <c r="EZ190" s="82">
        <v>0.26140045311663107</v>
      </c>
      <c r="FA190" s="84">
        <v>2.8924508592152886E-5</v>
      </c>
      <c r="FB190">
        <v>315.48073733841915</v>
      </c>
      <c r="FC190" s="26">
        <v>9037.3342829253143</v>
      </c>
      <c r="FD190" s="25">
        <v>377.26423913694936</v>
      </c>
      <c r="FE190" s="84">
        <v>24324895.297836591</v>
      </c>
      <c r="FF190" s="84">
        <v>0.99166725623290242</v>
      </c>
      <c r="FG190">
        <v>7.996536649025551E-4</v>
      </c>
      <c r="FH190" s="26">
        <v>2.8924508592152887E-2</v>
      </c>
      <c r="FI190" s="25">
        <v>43922</v>
      </c>
      <c r="FJ190" t="s">
        <v>2161</v>
      </c>
      <c r="FK190" s="72">
        <v>9037.3342829253143</v>
      </c>
      <c r="FL190">
        <v>9887</v>
      </c>
      <c r="FM190" t="s">
        <v>2162</v>
      </c>
      <c r="FN190">
        <v>43922</v>
      </c>
      <c r="FO190" s="19">
        <v>71</v>
      </c>
      <c r="FP190" s="72" t="s">
        <v>2163</v>
      </c>
      <c r="FR190" t="s">
        <v>2164</v>
      </c>
      <c r="FS190" t="s">
        <v>1131</v>
      </c>
      <c r="FT190" t="s">
        <v>2165</v>
      </c>
      <c r="FU190">
        <v>1923.5408560311284</v>
      </c>
      <c r="FV190">
        <v>43918</v>
      </c>
      <c r="FW190">
        <v>-5</v>
      </c>
      <c r="FX190" t="e">
        <v>#REF!</v>
      </c>
      <c r="FY190" t="e">
        <v>#REF!</v>
      </c>
    </row>
    <row r="191" spans="151:182" x14ac:dyDescent="0.25">
      <c r="EU191" t="s">
        <v>937</v>
      </c>
      <c r="EV191">
        <v>43923.637604166666</v>
      </c>
      <c r="EW191" s="83">
        <v>43860</v>
      </c>
      <c r="EX191" s="26">
        <v>43860</v>
      </c>
      <c r="EY191" s="82">
        <v>6</v>
      </c>
      <c r="EZ191" s="82">
        <v>0.2136758054067901</v>
      </c>
      <c r="FA191" s="84">
        <v>2.8661371579282545E-6</v>
      </c>
      <c r="FB191">
        <v>8.7970151992173964E-2</v>
      </c>
      <c r="FC191" s="26">
        <v>74551.8422995648</v>
      </c>
      <c r="FD191" s="25">
        <v>210.99573745361451</v>
      </c>
      <c r="FE191" s="84">
        <v>24324895.297836591</v>
      </c>
      <c r="FF191" s="84">
        <v>0.99900733455914803</v>
      </c>
      <c r="FG191">
        <v>2.428955144823187</v>
      </c>
      <c r="FH191" s="26">
        <v>2.8661371579282546E-3</v>
      </c>
      <c r="FI191" s="25">
        <v>43922</v>
      </c>
      <c r="FJ191" t="s">
        <v>2104</v>
      </c>
      <c r="FK191" s="72">
        <v>74551.8422995648</v>
      </c>
      <c r="FL191">
        <v>29865</v>
      </c>
      <c r="FM191" t="s">
        <v>1955</v>
      </c>
      <c r="FN191">
        <v>43922</v>
      </c>
      <c r="FO191" s="19">
        <v>63</v>
      </c>
      <c r="FP191" s="72" t="s">
        <v>2166</v>
      </c>
      <c r="FR191" t="s">
        <v>2106</v>
      </c>
      <c r="FT191" t="s">
        <v>2167</v>
      </c>
      <c r="FU191">
        <v>4495.0331125827815</v>
      </c>
      <c r="FV191">
        <v>43919</v>
      </c>
      <c r="FW191">
        <v>4</v>
      </c>
      <c r="FX191">
        <v>43917</v>
      </c>
      <c r="FY191">
        <v>6</v>
      </c>
    </row>
    <row r="192" spans="151:182" x14ac:dyDescent="0.25">
      <c r="EU192" t="s">
        <v>40</v>
      </c>
      <c r="EV192">
        <v>43923.637627314813</v>
      </c>
      <c r="EW192" s="83">
        <v>43853</v>
      </c>
      <c r="EX192" s="26">
        <v>43871</v>
      </c>
      <c r="EY192" s="82">
        <v>7</v>
      </c>
      <c r="EZ192" s="82">
        <v>7.9589178401888852E-2</v>
      </c>
      <c r="FA192" s="84">
        <v>5.6559545117512708E-7</v>
      </c>
      <c r="FB192">
        <v>4.2941138773370202</v>
      </c>
      <c r="FC192" s="26">
        <v>140717.50088606248</v>
      </c>
      <c r="FD192" s="25">
        <v>30.889778798380085</v>
      </c>
      <c r="FE192" s="84">
        <v>24324895.297836591</v>
      </c>
      <c r="FF192" s="84">
        <v>0.98717307555794154</v>
      </c>
      <c r="FG192">
        <v>1.8533916878787679E-2</v>
      </c>
      <c r="FH192" s="26">
        <v>5.6559545117512711E-4</v>
      </c>
      <c r="FI192" s="25">
        <v>43922</v>
      </c>
      <c r="FJ192" t="s">
        <v>2168</v>
      </c>
      <c r="FK192" s="72">
        <v>140717.34580055511</v>
      </c>
      <c r="FL192">
        <v>1000</v>
      </c>
      <c r="FM192" t="s">
        <v>995</v>
      </c>
      <c r="FN192">
        <v>43922</v>
      </c>
      <c r="FO192" s="19">
        <v>71</v>
      </c>
      <c r="FP192" s="72" t="s">
        <v>2169</v>
      </c>
      <c r="FR192" t="s">
        <v>2170</v>
      </c>
      <c r="FT192" t="s">
        <v>2171</v>
      </c>
      <c r="FU192">
        <v>1709.4017094017095</v>
      </c>
      <c r="FV192">
        <v>43917</v>
      </c>
      <c r="FW192">
        <v>-6</v>
      </c>
      <c r="FX192" t="e">
        <v>#REF!</v>
      </c>
      <c r="FY192" t="e">
        <v>#REF!</v>
      </c>
    </row>
    <row r="193" spans="151:177" x14ac:dyDescent="0.25">
      <c r="EU193" t="s">
        <v>681</v>
      </c>
      <c r="EV193">
        <v>43923.637685185182</v>
      </c>
      <c r="EW193" s="83">
        <v>43895</v>
      </c>
      <c r="EX193" s="26">
        <v>43896</v>
      </c>
      <c r="EY193" s="82">
        <v>8</v>
      </c>
      <c r="EZ193" s="82">
        <v>0.17613538531757658</v>
      </c>
      <c r="FA193" s="84">
        <v>1.3843601967426082E-6</v>
      </c>
      <c r="FB193">
        <v>4294.8607397935921</v>
      </c>
      <c r="FC193" s="26">
        <v>127232.33861535614</v>
      </c>
      <c r="FD193" s="25">
        <v>1594.0108269600785</v>
      </c>
      <c r="FE193" s="84">
        <v>24324895.297836591</v>
      </c>
      <c r="FF193" s="84">
        <v>0.99762921779286595</v>
      </c>
      <c r="FG193">
        <v>3.9626372394796907E-5</v>
      </c>
      <c r="FH193" s="26">
        <v>1.3843601967426082E-3</v>
      </c>
      <c r="FI193" s="25">
        <v>43923</v>
      </c>
      <c r="FJ193" t="s">
        <v>2051</v>
      </c>
      <c r="FK193" s="72">
        <v>108239</v>
      </c>
      <c r="FL193">
        <v>108239</v>
      </c>
      <c r="FM193" t="s">
        <v>2052</v>
      </c>
      <c r="FN193">
        <v>43923</v>
      </c>
      <c r="FO193" s="19">
        <v>29</v>
      </c>
      <c r="FP193" s="72" t="s">
        <v>2146</v>
      </c>
      <c r="FR193" t="s">
        <v>2054</v>
      </c>
      <c r="FT193" t="s">
        <v>2172</v>
      </c>
      <c r="FU193">
        <v>108239</v>
      </c>
    </row>
    <row r="194" spans="151:177" x14ac:dyDescent="0.25">
      <c r="EU194" t="s">
        <v>1365</v>
      </c>
      <c r="EV194">
        <v>43923.637708333335</v>
      </c>
      <c r="EW194" s="83">
        <v>43852</v>
      </c>
      <c r="EX194" s="26">
        <v>43852</v>
      </c>
      <c r="EY194" s="82">
        <v>9</v>
      </c>
      <c r="EZ194" s="82">
        <v>0.19687763216972617</v>
      </c>
      <c r="FA194" s="84">
        <v>5.5497236683652495E-5</v>
      </c>
      <c r="FB194">
        <v>1E-3</v>
      </c>
      <c r="FC194" s="26">
        <v>3547.52135303557</v>
      </c>
      <c r="FD194" s="25">
        <v>29.71635590398267</v>
      </c>
      <c r="FE194" s="84" t="s">
        <v>2139</v>
      </c>
      <c r="FF194" s="84">
        <v>0.97943355484443406</v>
      </c>
      <c r="FG194">
        <v>196.87757667248951</v>
      </c>
      <c r="FH194" s="26">
        <v>5.5497236683652494E-2</v>
      </c>
      <c r="FI194" s="25">
        <v>43922</v>
      </c>
      <c r="FJ194" t="s">
        <v>2173</v>
      </c>
      <c r="FK194" s="72">
        <v>3547.52135303557</v>
      </c>
      <c r="FL194">
        <v>708</v>
      </c>
      <c r="FM194" t="s">
        <v>2174</v>
      </c>
      <c r="FN194">
        <v>43922</v>
      </c>
      <c r="FO194" s="19">
        <v>35</v>
      </c>
      <c r="FP194" s="72" t="s">
        <v>2175</v>
      </c>
      <c r="FR194" t="s">
        <v>2176</v>
      </c>
      <c r="FT194" t="s">
        <v>2177</v>
      </c>
      <c r="FU194">
        <v>1353.7284894837476</v>
      </c>
    </row>
  </sheetData>
  <sortState ref="FB11:GF180">
    <sortCondition ref="FF10"/>
    <sortCondition ref="FN10"/>
    <sortCondition ref="FC10"/>
  </sortState>
  <hyperlinks>
    <hyperlink ref="C129" r:id="rId1" location="current-status" display="https://www.health.gov.au/news/health-alerts/novel-coronavirus-2019-ncov-health-alert - current-status"/>
    <hyperlink ref="B126" r:id="rId2"/>
  </hyperlinks>
  <pageMargins left="0.7" right="0.7" top="0.75" bottom="0.75" header="0.3" footer="0.3"/>
  <ignoredErrors>
    <ignoredError sqref="L13 AI13 EB13 ED13:EE13"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GetJHConfirmedData">
                <anchor moveWithCells="1" sizeWithCells="1">
                  <from>
                    <xdr:col>0</xdr:col>
                    <xdr:colOff>76200</xdr:colOff>
                    <xdr:row>3</xdr:row>
                    <xdr:rowOff>200025</xdr:rowOff>
                  </from>
                  <to>
                    <xdr:col>1</xdr:col>
                    <xdr:colOff>561975</xdr:colOff>
                    <xdr:row>5</xdr:row>
                    <xdr:rowOff>152400</xdr:rowOff>
                  </to>
                </anchor>
              </controlPr>
            </control>
          </mc:Choice>
        </mc:AlternateContent>
        <mc:AlternateContent xmlns:mc="http://schemas.openxmlformats.org/markup-compatibility/2006">
          <mc:Choice Requires="x14">
            <control shapeId="19458" r:id="rId6" name="Button 2">
              <controlPr defaultSize="0" print="0" autoFill="0" autoPict="0" macro="[0]!SolveAll">
                <anchor moveWithCells="1" sizeWithCells="1">
                  <from>
                    <xdr:col>104</xdr:col>
                    <xdr:colOff>19050</xdr:colOff>
                    <xdr:row>6</xdr:row>
                    <xdr:rowOff>104775</xdr:rowOff>
                  </from>
                  <to>
                    <xdr:col>105</xdr:col>
                    <xdr:colOff>304800</xdr:colOff>
                    <xdr:row>8</xdr:row>
                    <xdr:rowOff>85725</xdr:rowOff>
                  </to>
                </anchor>
              </controlPr>
            </control>
          </mc:Choice>
        </mc:AlternateContent>
        <mc:AlternateContent xmlns:mc="http://schemas.openxmlformats.org/markup-compatibility/2006">
          <mc:Choice Requires="x14">
            <control shapeId="19461" r:id="rId7" name="Button 5">
              <controlPr defaultSize="0" print="0" autoFill="0" autoPict="0" macro="[0]!SolveAll">
                <anchor moveWithCells="1" sizeWithCells="1">
                  <from>
                    <xdr:col>1</xdr:col>
                    <xdr:colOff>790575</xdr:colOff>
                    <xdr:row>3</xdr:row>
                    <xdr:rowOff>228600</xdr:rowOff>
                  </from>
                  <to>
                    <xdr:col>2</xdr:col>
                    <xdr:colOff>219075</xdr:colOff>
                    <xdr:row>5</xdr:row>
                    <xdr:rowOff>133350</xdr:rowOff>
                  </to>
                </anchor>
              </controlPr>
            </control>
          </mc:Choice>
        </mc:AlternateContent>
      </controls>
    </mc:Choice>
  </mc:AlternateContent>
  <tableParts count="3">
    <tablePart r:id="rId8"/>
    <tablePart r:id="rId9"/>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W257"/>
  <sheetViews>
    <sheetView tabSelected="1" topLeftCell="A238" workbookViewId="0">
      <selection activeCell="B257" sqref="B257"/>
    </sheetView>
  </sheetViews>
  <sheetFormatPr defaultRowHeight="15" x14ac:dyDescent="0.25"/>
  <cols>
    <col min="1" max="1" width="16.5703125" bestFit="1" customWidth="1"/>
    <col min="2" max="2" width="17.42578125" bestFit="1" customWidth="1"/>
    <col min="3" max="3" width="5.85546875" customWidth="1"/>
    <col min="4" max="4" width="7.42578125" customWidth="1"/>
    <col min="5" max="14" width="10.7109375" bestFit="1" customWidth="1"/>
    <col min="15" max="23" width="9.7109375" bestFit="1" customWidth="1"/>
    <col min="24" max="43" width="10.7109375" bestFit="1" customWidth="1"/>
    <col min="44" max="52" width="9.7109375" bestFit="1" customWidth="1"/>
    <col min="53" max="69" width="10.7109375" bestFit="1" customWidth="1"/>
    <col min="71" max="73" width="10.7109375" bestFit="1" customWidth="1"/>
  </cols>
  <sheetData>
    <row r="1" spans="1:75" x14ac:dyDescent="0.25">
      <c r="A1" t="s">
        <v>0</v>
      </c>
      <c r="B1" t="s">
        <v>1</v>
      </c>
      <c r="C1" t="s">
        <v>2</v>
      </c>
      <c r="D1" t="s">
        <v>3</v>
      </c>
      <c r="E1" s="26">
        <v>43852</v>
      </c>
      <c r="F1" s="26">
        <v>43853</v>
      </c>
      <c r="G1" s="26">
        <v>43854</v>
      </c>
      <c r="H1" s="26">
        <v>43855</v>
      </c>
      <c r="I1" s="26">
        <v>43856</v>
      </c>
      <c r="J1" s="26">
        <v>43857</v>
      </c>
      <c r="K1" s="26">
        <v>43858</v>
      </c>
      <c r="L1" s="26">
        <v>43859</v>
      </c>
      <c r="M1" s="26">
        <v>43860</v>
      </c>
      <c r="N1" s="26">
        <v>43861</v>
      </c>
      <c r="O1" s="26">
        <v>43862</v>
      </c>
      <c r="P1" s="26">
        <v>43863</v>
      </c>
      <c r="Q1" s="26">
        <v>43864</v>
      </c>
      <c r="R1" s="26">
        <v>43865</v>
      </c>
      <c r="S1" s="26">
        <v>43866</v>
      </c>
      <c r="T1" s="26">
        <v>43867</v>
      </c>
      <c r="U1" s="26">
        <v>43868</v>
      </c>
      <c r="V1" s="26">
        <v>43869</v>
      </c>
      <c r="W1" s="26">
        <v>43870</v>
      </c>
      <c r="X1" s="26">
        <v>43871</v>
      </c>
      <c r="Y1" s="26">
        <v>43872</v>
      </c>
      <c r="Z1" s="26">
        <v>43873</v>
      </c>
      <c r="AA1" s="26">
        <v>43874</v>
      </c>
      <c r="AB1" s="26">
        <v>43875</v>
      </c>
      <c r="AC1" s="26">
        <v>43876</v>
      </c>
      <c r="AD1" s="26">
        <v>43877</v>
      </c>
      <c r="AE1" s="26">
        <v>43878</v>
      </c>
      <c r="AF1" s="26">
        <v>43879</v>
      </c>
      <c r="AG1" s="26">
        <v>43880</v>
      </c>
      <c r="AH1" s="26">
        <v>43881</v>
      </c>
      <c r="AI1" s="26">
        <v>43882</v>
      </c>
      <c r="AJ1" s="26">
        <v>43883</v>
      </c>
      <c r="AK1" s="26">
        <v>43884</v>
      </c>
      <c r="AL1" s="26">
        <v>43885</v>
      </c>
      <c r="AM1" s="26">
        <v>43886</v>
      </c>
      <c r="AN1" s="26">
        <v>43887</v>
      </c>
      <c r="AO1" s="26">
        <v>43888</v>
      </c>
      <c r="AP1" s="26">
        <v>43889</v>
      </c>
      <c r="AQ1" s="26">
        <v>43890</v>
      </c>
      <c r="AR1" s="26">
        <v>43891</v>
      </c>
      <c r="AS1" s="26">
        <v>43892</v>
      </c>
      <c r="AT1" s="26">
        <v>43893</v>
      </c>
      <c r="AU1" s="26">
        <v>43894</v>
      </c>
      <c r="AV1" s="26">
        <v>43895</v>
      </c>
      <c r="AW1" s="26">
        <v>43896</v>
      </c>
      <c r="AX1" s="26">
        <v>43897</v>
      </c>
      <c r="AY1" s="26">
        <v>43898</v>
      </c>
      <c r="AZ1" s="26">
        <v>43899</v>
      </c>
      <c r="BA1" s="26">
        <v>43900</v>
      </c>
      <c r="BB1" s="26">
        <v>43901</v>
      </c>
      <c r="BC1" s="26">
        <v>43902</v>
      </c>
      <c r="BD1" s="26">
        <v>43903</v>
      </c>
      <c r="BE1" s="26">
        <v>43904</v>
      </c>
      <c r="BF1" s="26">
        <v>43905</v>
      </c>
      <c r="BG1" s="26">
        <v>43906</v>
      </c>
      <c r="BH1" s="26">
        <v>43907</v>
      </c>
      <c r="BI1" s="26">
        <v>43908</v>
      </c>
      <c r="BJ1" s="26">
        <v>43909</v>
      </c>
      <c r="BK1" s="26">
        <v>43910</v>
      </c>
      <c r="BL1" s="26">
        <v>43911</v>
      </c>
      <c r="BM1" s="26">
        <v>43912</v>
      </c>
      <c r="BN1" s="26">
        <v>43913</v>
      </c>
      <c r="BO1" s="26">
        <v>43914</v>
      </c>
      <c r="BP1" s="26">
        <v>43915</v>
      </c>
      <c r="BQ1" s="26">
        <v>43916</v>
      </c>
      <c r="BR1" s="26">
        <v>43917</v>
      </c>
      <c r="BS1" s="26">
        <v>43918</v>
      </c>
      <c r="BT1" s="26">
        <v>43919</v>
      </c>
      <c r="BU1" s="26">
        <v>43920</v>
      </c>
      <c r="BV1" s="26">
        <v>43921</v>
      </c>
      <c r="BW1" s="26">
        <v>43922</v>
      </c>
    </row>
    <row r="2" spans="1:75" x14ac:dyDescent="0.25">
      <c r="B2" t="s">
        <v>70</v>
      </c>
      <c r="C2">
        <v>33</v>
      </c>
      <c r="D2">
        <v>65</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1</v>
      </c>
      <c r="AM2">
        <v>1</v>
      </c>
      <c r="AN2">
        <v>1</v>
      </c>
      <c r="AO2">
        <v>1</v>
      </c>
      <c r="AP2">
        <v>1</v>
      </c>
      <c r="AQ2">
        <v>1</v>
      </c>
      <c r="AR2">
        <v>1</v>
      </c>
      <c r="AS2">
        <v>1</v>
      </c>
      <c r="AT2">
        <v>1</v>
      </c>
      <c r="AU2">
        <v>1</v>
      </c>
      <c r="AV2">
        <v>1</v>
      </c>
      <c r="AW2">
        <v>1</v>
      </c>
      <c r="AX2">
        <v>1</v>
      </c>
      <c r="AY2">
        <v>4</v>
      </c>
      <c r="AZ2">
        <v>4</v>
      </c>
      <c r="BA2">
        <v>5</v>
      </c>
      <c r="BB2">
        <v>7</v>
      </c>
      <c r="BC2">
        <v>7</v>
      </c>
      <c r="BD2">
        <v>7</v>
      </c>
      <c r="BE2">
        <v>11</v>
      </c>
      <c r="BF2">
        <v>16</v>
      </c>
      <c r="BG2">
        <v>21</v>
      </c>
      <c r="BH2">
        <v>22</v>
      </c>
      <c r="BI2">
        <v>22</v>
      </c>
      <c r="BJ2">
        <v>22</v>
      </c>
      <c r="BK2">
        <v>24</v>
      </c>
      <c r="BL2">
        <v>24</v>
      </c>
      <c r="BM2">
        <v>40</v>
      </c>
      <c r="BN2">
        <v>40</v>
      </c>
      <c r="BO2">
        <v>74</v>
      </c>
      <c r="BP2">
        <v>84</v>
      </c>
      <c r="BQ2">
        <v>94</v>
      </c>
      <c r="BR2">
        <v>110</v>
      </c>
      <c r="BS2">
        <v>110</v>
      </c>
      <c r="BT2">
        <v>120</v>
      </c>
      <c r="BU2">
        <v>170</v>
      </c>
      <c r="BV2">
        <v>174</v>
      </c>
      <c r="BW2">
        <v>237</v>
      </c>
    </row>
    <row r="3" spans="1:75" x14ac:dyDescent="0.25">
      <c r="B3" t="s">
        <v>144</v>
      </c>
      <c r="C3">
        <v>41.153300000000002</v>
      </c>
      <c r="D3">
        <v>20.168299999999999</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2</v>
      </c>
      <c r="BA3">
        <v>10</v>
      </c>
      <c r="BB3">
        <v>12</v>
      </c>
      <c r="BC3">
        <v>23</v>
      </c>
      <c r="BD3">
        <v>33</v>
      </c>
      <c r="BE3">
        <v>38</v>
      </c>
      <c r="BF3">
        <v>42</v>
      </c>
      <c r="BG3">
        <v>51</v>
      </c>
      <c r="BH3">
        <v>55</v>
      </c>
      <c r="BI3">
        <v>59</v>
      </c>
      <c r="BJ3">
        <v>64</v>
      </c>
      <c r="BK3">
        <v>70</v>
      </c>
      <c r="BL3">
        <v>76</v>
      </c>
      <c r="BM3">
        <v>89</v>
      </c>
      <c r="BN3">
        <v>104</v>
      </c>
      <c r="BO3">
        <v>123</v>
      </c>
      <c r="BP3">
        <v>146</v>
      </c>
      <c r="BQ3">
        <v>174</v>
      </c>
      <c r="BR3">
        <v>186</v>
      </c>
      <c r="BS3">
        <v>197</v>
      </c>
      <c r="BT3">
        <v>212</v>
      </c>
      <c r="BU3">
        <v>223</v>
      </c>
      <c r="BV3">
        <v>243</v>
      </c>
      <c r="BW3">
        <v>259</v>
      </c>
    </row>
    <row r="4" spans="1:75" x14ac:dyDescent="0.25">
      <c r="B4" t="s">
        <v>73</v>
      </c>
      <c r="C4">
        <v>28.033899999999999</v>
      </c>
      <c r="D4">
        <v>1.6596</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1</v>
      </c>
      <c r="AN4">
        <v>1</v>
      </c>
      <c r="AO4">
        <v>1</v>
      </c>
      <c r="AP4">
        <v>1</v>
      </c>
      <c r="AQ4">
        <v>1</v>
      </c>
      <c r="AR4">
        <v>1</v>
      </c>
      <c r="AS4">
        <v>3</v>
      </c>
      <c r="AT4">
        <v>5</v>
      </c>
      <c r="AU4">
        <v>12</v>
      </c>
      <c r="AV4">
        <v>12</v>
      </c>
      <c r="AW4">
        <v>17</v>
      </c>
      <c r="AX4">
        <v>17</v>
      </c>
      <c r="AY4">
        <v>19</v>
      </c>
      <c r="AZ4">
        <v>20</v>
      </c>
      <c r="BA4">
        <v>20</v>
      </c>
      <c r="BB4">
        <v>20</v>
      </c>
      <c r="BC4">
        <v>24</v>
      </c>
      <c r="BD4">
        <v>26</v>
      </c>
      <c r="BE4">
        <v>37</v>
      </c>
      <c r="BF4">
        <v>48</v>
      </c>
      <c r="BG4">
        <v>54</v>
      </c>
      <c r="BH4">
        <v>60</v>
      </c>
      <c r="BI4">
        <v>74</v>
      </c>
      <c r="BJ4">
        <v>87</v>
      </c>
      <c r="BK4">
        <v>90</v>
      </c>
      <c r="BL4">
        <v>139</v>
      </c>
      <c r="BM4">
        <v>201</v>
      </c>
      <c r="BN4">
        <v>230</v>
      </c>
      <c r="BO4">
        <v>264</v>
      </c>
      <c r="BP4">
        <v>302</v>
      </c>
      <c r="BQ4">
        <v>367</v>
      </c>
      <c r="BR4">
        <v>409</v>
      </c>
      <c r="BS4">
        <v>454</v>
      </c>
      <c r="BT4">
        <v>511</v>
      </c>
      <c r="BU4">
        <v>584</v>
      </c>
      <c r="BV4">
        <v>716</v>
      </c>
      <c r="BW4">
        <v>847</v>
      </c>
    </row>
    <row r="5" spans="1:75" x14ac:dyDescent="0.25">
      <c r="B5" t="s">
        <v>105</v>
      </c>
      <c r="C5">
        <v>42.506300000000003</v>
      </c>
      <c r="D5">
        <v>1.5218</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1</v>
      </c>
      <c r="AT5">
        <v>1</v>
      </c>
      <c r="AU5">
        <v>1</v>
      </c>
      <c r="AV5">
        <v>1</v>
      </c>
      <c r="AW5">
        <v>1</v>
      </c>
      <c r="AX5">
        <v>1</v>
      </c>
      <c r="AY5">
        <v>1</v>
      </c>
      <c r="AZ5">
        <v>1</v>
      </c>
      <c r="BA5">
        <v>1</v>
      </c>
      <c r="BB5">
        <v>1</v>
      </c>
      <c r="BC5">
        <v>1</v>
      </c>
      <c r="BD5">
        <v>1</v>
      </c>
      <c r="BE5">
        <v>1</v>
      </c>
      <c r="BF5">
        <v>1</v>
      </c>
      <c r="BG5">
        <v>2</v>
      </c>
      <c r="BH5">
        <v>39</v>
      </c>
      <c r="BI5">
        <v>39</v>
      </c>
      <c r="BJ5">
        <v>53</v>
      </c>
      <c r="BK5">
        <v>75</v>
      </c>
      <c r="BL5">
        <v>88</v>
      </c>
      <c r="BM5">
        <v>113</v>
      </c>
      <c r="BN5">
        <v>133</v>
      </c>
      <c r="BO5">
        <v>164</v>
      </c>
      <c r="BP5">
        <v>188</v>
      </c>
      <c r="BQ5">
        <v>224</v>
      </c>
      <c r="BR5">
        <v>267</v>
      </c>
      <c r="BS5">
        <v>308</v>
      </c>
      <c r="BT5">
        <v>334</v>
      </c>
      <c r="BU5">
        <v>370</v>
      </c>
      <c r="BV5">
        <v>376</v>
      </c>
      <c r="BW5">
        <v>390</v>
      </c>
    </row>
    <row r="6" spans="1:75" x14ac:dyDescent="0.25">
      <c r="B6" t="s">
        <v>1022</v>
      </c>
      <c r="C6">
        <v>-11.2027</v>
      </c>
      <c r="D6">
        <v>17.873899999999999</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1</v>
      </c>
      <c r="BL6">
        <v>2</v>
      </c>
      <c r="BM6">
        <v>2</v>
      </c>
      <c r="BN6">
        <v>3</v>
      </c>
      <c r="BO6">
        <v>3</v>
      </c>
      <c r="BP6">
        <v>3</v>
      </c>
      <c r="BQ6">
        <v>4</v>
      </c>
      <c r="BR6">
        <v>4</v>
      </c>
      <c r="BS6">
        <v>5</v>
      </c>
      <c r="BT6">
        <v>7</v>
      </c>
      <c r="BU6">
        <v>7</v>
      </c>
      <c r="BV6">
        <v>7</v>
      </c>
      <c r="BW6">
        <v>8</v>
      </c>
    </row>
    <row r="7" spans="1:75" x14ac:dyDescent="0.25">
      <c r="B7" t="s">
        <v>208</v>
      </c>
      <c r="C7">
        <v>17.0608</v>
      </c>
      <c r="D7">
        <v>-61.796399999999998</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1</v>
      </c>
      <c r="BE7">
        <v>1</v>
      </c>
      <c r="BF7">
        <v>1</v>
      </c>
      <c r="BG7">
        <v>1</v>
      </c>
      <c r="BH7">
        <v>1</v>
      </c>
      <c r="BI7">
        <v>1</v>
      </c>
      <c r="BJ7">
        <v>1</v>
      </c>
      <c r="BK7">
        <v>1</v>
      </c>
      <c r="BL7">
        <v>1</v>
      </c>
      <c r="BM7">
        <v>1</v>
      </c>
      <c r="BN7">
        <v>3</v>
      </c>
      <c r="BO7">
        <v>3</v>
      </c>
      <c r="BP7">
        <v>3</v>
      </c>
      <c r="BQ7">
        <v>7</v>
      </c>
      <c r="BR7">
        <v>7</v>
      </c>
      <c r="BS7">
        <v>7</v>
      </c>
      <c r="BT7">
        <v>7</v>
      </c>
      <c r="BU7">
        <v>7</v>
      </c>
      <c r="BV7">
        <v>7</v>
      </c>
      <c r="BW7">
        <v>7</v>
      </c>
    </row>
    <row r="8" spans="1:75" x14ac:dyDescent="0.25">
      <c r="B8" t="s">
        <v>111</v>
      </c>
      <c r="C8">
        <v>-38.4161</v>
      </c>
      <c r="D8">
        <v>-63.616700000000002</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1</v>
      </c>
      <c r="AU8">
        <v>1</v>
      </c>
      <c r="AV8">
        <v>1</v>
      </c>
      <c r="AW8">
        <v>2</v>
      </c>
      <c r="AX8">
        <v>8</v>
      </c>
      <c r="AY8">
        <v>12</v>
      </c>
      <c r="AZ8">
        <v>12</v>
      </c>
      <c r="BA8">
        <v>17</v>
      </c>
      <c r="BB8">
        <v>19</v>
      </c>
      <c r="BC8">
        <v>19</v>
      </c>
      <c r="BD8">
        <v>31</v>
      </c>
      <c r="BE8">
        <v>34</v>
      </c>
      <c r="BF8">
        <v>45</v>
      </c>
      <c r="BG8">
        <v>56</v>
      </c>
      <c r="BH8">
        <v>68</v>
      </c>
      <c r="BI8">
        <v>79</v>
      </c>
      <c r="BJ8">
        <v>97</v>
      </c>
      <c r="BK8">
        <v>128</v>
      </c>
      <c r="BL8">
        <v>158</v>
      </c>
      <c r="BM8">
        <v>266</v>
      </c>
      <c r="BN8">
        <v>301</v>
      </c>
      <c r="BO8">
        <v>387</v>
      </c>
      <c r="BP8">
        <v>387</v>
      </c>
      <c r="BQ8">
        <v>502</v>
      </c>
      <c r="BR8">
        <v>589</v>
      </c>
      <c r="BS8">
        <v>690</v>
      </c>
      <c r="BT8">
        <v>745</v>
      </c>
      <c r="BU8">
        <v>820</v>
      </c>
      <c r="BV8">
        <v>1054</v>
      </c>
      <c r="BW8">
        <v>1054</v>
      </c>
    </row>
    <row r="9" spans="1:75" x14ac:dyDescent="0.25">
      <c r="B9" t="s">
        <v>101</v>
      </c>
      <c r="C9">
        <v>40.069099999999999</v>
      </c>
      <c r="D9">
        <v>45.038200000000003</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1</v>
      </c>
      <c r="AS9">
        <v>1</v>
      </c>
      <c r="AT9">
        <v>1</v>
      </c>
      <c r="AU9">
        <v>1</v>
      </c>
      <c r="AV9">
        <v>1</v>
      </c>
      <c r="AW9">
        <v>1</v>
      </c>
      <c r="AX9">
        <v>1</v>
      </c>
      <c r="AY9">
        <v>1</v>
      </c>
      <c r="AZ9">
        <v>1</v>
      </c>
      <c r="BA9">
        <v>1</v>
      </c>
      <c r="BB9">
        <v>1</v>
      </c>
      <c r="BC9">
        <v>4</v>
      </c>
      <c r="BD9">
        <v>8</v>
      </c>
      <c r="BE9">
        <v>18</v>
      </c>
      <c r="BF9">
        <v>26</v>
      </c>
      <c r="BG9">
        <v>52</v>
      </c>
      <c r="BH9">
        <v>78</v>
      </c>
      <c r="BI9">
        <v>84</v>
      </c>
      <c r="BJ9">
        <v>115</v>
      </c>
      <c r="BK9">
        <v>136</v>
      </c>
      <c r="BL9">
        <v>160</v>
      </c>
      <c r="BM9">
        <v>194</v>
      </c>
      <c r="BN9">
        <v>235</v>
      </c>
      <c r="BO9">
        <v>249</v>
      </c>
      <c r="BP9">
        <v>265</v>
      </c>
      <c r="BQ9">
        <v>290</v>
      </c>
      <c r="BR9">
        <v>329</v>
      </c>
      <c r="BS9">
        <v>407</v>
      </c>
      <c r="BT9">
        <v>424</v>
      </c>
      <c r="BU9">
        <v>482</v>
      </c>
      <c r="BV9">
        <v>532</v>
      </c>
      <c r="BW9">
        <v>571</v>
      </c>
    </row>
    <row r="10" spans="1:75" x14ac:dyDescent="0.25">
      <c r="A10" t="s">
        <v>197</v>
      </c>
      <c r="B10" t="s">
        <v>48</v>
      </c>
      <c r="C10">
        <v>-35.473500000000001</v>
      </c>
      <c r="D10">
        <v>149.01240000000001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1</v>
      </c>
      <c r="BE10">
        <v>1</v>
      </c>
      <c r="BF10">
        <v>1</v>
      </c>
      <c r="BG10">
        <v>2</v>
      </c>
      <c r="BH10">
        <v>2</v>
      </c>
      <c r="BI10">
        <v>3</v>
      </c>
      <c r="BJ10">
        <v>4</v>
      </c>
      <c r="BK10">
        <v>6</v>
      </c>
      <c r="BL10">
        <v>9</v>
      </c>
      <c r="BM10">
        <v>19</v>
      </c>
      <c r="BN10">
        <v>32</v>
      </c>
      <c r="BO10">
        <v>39</v>
      </c>
      <c r="BP10">
        <v>39</v>
      </c>
      <c r="BQ10">
        <v>53</v>
      </c>
      <c r="BR10">
        <v>62</v>
      </c>
      <c r="BS10">
        <v>71</v>
      </c>
      <c r="BT10">
        <v>77</v>
      </c>
      <c r="BU10">
        <v>78</v>
      </c>
      <c r="BV10">
        <v>80</v>
      </c>
      <c r="BW10">
        <v>84</v>
      </c>
    </row>
    <row r="11" spans="1:75" x14ac:dyDescent="0.25">
      <c r="A11" t="s">
        <v>47</v>
      </c>
      <c r="B11" t="s">
        <v>48</v>
      </c>
      <c r="C11">
        <v>-33.8688</v>
      </c>
      <c r="D11">
        <v>151.20930000000001</v>
      </c>
      <c r="E11">
        <v>0</v>
      </c>
      <c r="F11">
        <v>0</v>
      </c>
      <c r="G11">
        <v>0</v>
      </c>
      <c r="H11">
        <v>0</v>
      </c>
      <c r="I11">
        <v>3</v>
      </c>
      <c r="J11">
        <v>4</v>
      </c>
      <c r="K11">
        <v>4</v>
      </c>
      <c r="L11">
        <v>4</v>
      </c>
      <c r="M11">
        <v>4</v>
      </c>
      <c r="N11">
        <v>4</v>
      </c>
      <c r="O11">
        <v>4</v>
      </c>
      <c r="P11">
        <v>4</v>
      </c>
      <c r="Q11">
        <v>4</v>
      </c>
      <c r="R11">
        <v>4</v>
      </c>
      <c r="S11">
        <v>4</v>
      </c>
      <c r="T11">
        <v>4</v>
      </c>
      <c r="U11">
        <v>4</v>
      </c>
      <c r="V11">
        <v>4</v>
      </c>
      <c r="W11">
        <v>4</v>
      </c>
      <c r="X11">
        <v>4</v>
      </c>
      <c r="Y11">
        <v>4</v>
      </c>
      <c r="Z11">
        <v>4</v>
      </c>
      <c r="AA11">
        <v>4</v>
      </c>
      <c r="AB11">
        <v>4</v>
      </c>
      <c r="AC11">
        <v>4</v>
      </c>
      <c r="AD11">
        <v>4</v>
      </c>
      <c r="AE11">
        <v>4</v>
      </c>
      <c r="AF11">
        <v>4</v>
      </c>
      <c r="AG11">
        <v>4</v>
      </c>
      <c r="AH11">
        <v>4</v>
      </c>
      <c r="AI11">
        <v>4</v>
      </c>
      <c r="AJ11">
        <v>4</v>
      </c>
      <c r="AK11">
        <v>4</v>
      </c>
      <c r="AL11">
        <v>4</v>
      </c>
      <c r="AM11">
        <v>4</v>
      </c>
      <c r="AN11">
        <v>4</v>
      </c>
      <c r="AO11">
        <v>4</v>
      </c>
      <c r="AP11">
        <v>4</v>
      </c>
      <c r="AQ11">
        <v>4</v>
      </c>
      <c r="AR11">
        <v>6</v>
      </c>
      <c r="AS11">
        <v>6</v>
      </c>
      <c r="AT11">
        <v>13</v>
      </c>
      <c r="AU11">
        <v>22</v>
      </c>
      <c r="AV11">
        <v>22</v>
      </c>
      <c r="AW11">
        <v>26</v>
      </c>
      <c r="AX11">
        <v>28</v>
      </c>
      <c r="AY11">
        <v>38</v>
      </c>
      <c r="AZ11">
        <v>48</v>
      </c>
      <c r="BA11">
        <v>55</v>
      </c>
      <c r="BB11">
        <v>65</v>
      </c>
      <c r="BC11">
        <v>65</v>
      </c>
      <c r="BD11">
        <v>92</v>
      </c>
      <c r="BE11">
        <v>112</v>
      </c>
      <c r="BF11">
        <v>134</v>
      </c>
      <c r="BG11">
        <v>171</v>
      </c>
      <c r="BH11">
        <v>210</v>
      </c>
      <c r="BI11">
        <v>267</v>
      </c>
      <c r="BJ11">
        <v>307</v>
      </c>
      <c r="BK11">
        <v>353</v>
      </c>
      <c r="BL11">
        <v>436</v>
      </c>
      <c r="BM11">
        <v>669</v>
      </c>
      <c r="BN11">
        <v>669</v>
      </c>
      <c r="BO11">
        <v>818</v>
      </c>
      <c r="BP11">
        <v>1029</v>
      </c>
      <c r="BQ11">
        <v>1219</v>
      </c>
      <c r="BR11">
        <v>1405</v>
      </c>
      <c r="BS11">
        <v>1617</v>
      </c>
      <c r="BT11">
        <v>1791</v>
      </c>
      <c r="BU11">
        <v>2032</v>
      </c>
      <c r="BV11">
        <v>2032</v>
      </c>
      <c r="BW11">
        <v>2182</v>
      </c>
    </row>
    <row r="12" spans="1:75" x14ac:dyDescent="0.25">
      <c r="A12" t="s">
        <v>117</v>
      </c>
      <c r="B12" t="s">
        <v>48</v>
      </c>
      <c r="C12">
        <v>-12.4634</v>
      </c>
      <c r="D12">
        <v>130.84559999999999</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1</v>
      </c>
      <c r="AV12">
        <v>1</v>
      </c>
      <c r="AW12">
        <v>0</v>
      </c>
      <c r="AX12">
        <v>0</v>
      </c>
      <c r="AY12">
        <v>0</v>
      </c>
      <c r="AZ12">
        <v>0</v>
      </c>
      <c r="BA12">
        <v>1</v>
      </c>
      <c r="BB12">
        <v>1</v>
      </c>
      <c r="BC12">
        <v>1</v>
      </c>
      <c r="BD12">
        <v>1</v>
      </c>
      <c r="BE12">
        <v>1</v>
      </c>
      <c r="BF12">
        <v>1</v>
      </c>
      <c r="BG12">
        <v>1</v>
      </c>
      <c r="BH12">
        <v>1</v>
      </c>
      <c r="BI12">
        <v>1</v>
      </c>
      <c r="BJ12">
        <v>1</v>
      </c>
      <c r="BK12">
        <v>3</v>
      </c>
      <c r="BL12">
        <v>3</v>
      </c>
      <c r="BM12">
        <v>5</v>
      </c>
      <c r="BN12">
        <v>5</v>
      </c>
      <c r="BO12">
        <v>6</v>
      </c>
      <c r="BP12">
        <v>6</v>
      </c>
      <c r="BQ12">
        <v>12</v>
      </c>
      <c r="BR12">
        <v>12</v>
      </c>
      <c r="BS12">
        <v>15</v>
      </c>
      <c r="BT12">
        <v>15</v>
      </c>
      <c r="BU12">
        <v>15</v>
      </c>
      <c r="BV12">
        <v>17</v>
      </c>
      <c r="BW12">
        <v>19</v>
      </c>
    </row>
    <row r="13" spans="1:75" x14ac:dyDescent="0.25">
      <c r="A13" t="s">
        <v>50</v>
      </c>
      <c r="B13" t="s">
        <v>48</v>
      </c>
      <c r="C13">
        <v>-28.0167</v>
      </c>
      <c r="D13">
        <v>153.4</v>
      </c>
      <c r="E13">
        <v>0</v>
      </c>
      <c r="F13">
        <v>0</v>
      </c>
      <c r="G13">
        <v>0</v>
      </c>
      <c r="H13">
        <v>0</v>
      </c>
      <c r="I13">
        <v>0</v>
      </c>
      <c r="J13">
        <v>0</v>
      </c>
      <c r="K13">
        <v>0</v>
      </c>
      <c r="L13">
        <v>1</v>
      </c>
      <c r="M13">
        <v>3</v>
      </c>
      <c r="N13">
        <v>2</v>
      </c>
      <c r="O13">
        <v>3</v>
      </c>
      <c r="P13">
        <v>2</v>
      </c>
      <c r="Q13">
        <v>2</v>
      </c>
      <c r="R13">
        <v>3</v>
      </c>
      <c r="S13">
        <v>3</v>
      </c>
      <c r="T13">
        <v>4</v>
      </c>
      <c r="U13">
        <v>5</v>
      </c>
      <c r="V13">
        <v>5</v>
      </c>
      <c r="W13">
        <v>5</v>
      </c>
      <c r="X13">
        <v>5</v>
      </c>
      <c r="Y13">
        <v>5</v>
      </c>
      <c r="Z13">
        <v>5</v>
      </c>
      <c r="AA13">
        <v>5</v>
      </c>
      <c r="AB13">
        <v>5</v>
      </c>
      <c r="AC13">
        <v>5</v>
      </c>
      <c r="AD13">
        <v>5</v>
      </c>
      <c r="AE13">
        <v>5</v>
      </c>
      <c r="AF13">
        <v>5</v>
      </c>
      <c r="AG13">
        <v>5</v>
      </c>
      <c r="AH13">
        <v>5</v>
      </c>
      <c r="AI13">
        <v>5</v>
      </c>
      <c r="AJ13">
        <v>5</v>
      </c>
      <c r="AK13">
        <v>5</v>
      </c>
      <c r="AL13">
        <v>5</v>
      </c>
      <c r="AM13">
        <v>5</v>
      </c>
      <c r="AN13">
        <v>5</v>
      </c>
      <c r="AO13">
        <v>5</v>
      </c>
      <c r="AP13">
        <v>5</v>
      </c>
      <c r="AQ13">
        <v>9</v>
      </c>
      <c r="AR13">
        <v>9</v>
      </c>
      <c r="AS13">
        <v>9</v>
      </c>
      <c r="AT13">
        <v>11</v>
      </c>
      <c r="AU13">
        <v>11</v>
      </c>
      <c r="AV13">
        <v>13</v>
      </c>
      <c r="AW13">
        <v>13</v>
      </c>
      <c r="AX13">
        <v>13</v>
      </c>
      <c r="AY13">
        <v>15</v>
      </c>
      <c r="AZ13">
        <v>15</v>
      </c>
      <c r="BA13">
        <v>18</v>
      </c>
      <c r="BB13">
        <v>20</v>
      </c>
      <c r="BC13">
        <v>20</v>
      </c>
      <c r="BD13">
        <v>35</v>
      </c>
      <c r="BE13">
        <v>46</v>
      </c>
      <c r="BF13">
        <v>61</v>
      </c>
      <c r="BG13">
        <v>68</v>
      </c>
      <c r="BH13">
        <v>78</v>
      </c>
      <c r="BI13">
        <v>94</v>
      </c>
      <c r="BJ13">
        <v>144</v>
      </c>
      <c r="BK13">
        <v>184</v>
      </c>
      <c r="BL13">
        <v>221</v>
      </c>
      <c r="BM13">
        <v>259</v>
      </c>
      <c r="BN13">
        <v>319</v>
      </c>
      <c r="BO13">
        <v>397</v>
      </c>
      <c r="BP13">
        <v>443</v>
      </c>
      <c r="BQ13">
        <v>493</v>
      </c>
      <c r="BR13">
        <v>555</v>
      </c>
      <c r="BS13">
        <v>625</v>
      </c>
      <c r="BT13">
        <v>656</v>
      </c>
      <c r="BU13">
        <v>689</v>
      </c>
      <c r="BV13">
        <v>743</v>
      </c>
      <c r="BW13">
        <v>781</v>
      </c>
    </row>
    <row r="14" spans="1:75" x14ac:dyDescent="0.25">
      <c r="A14" t="s">
        <v>62</v>
      </c>
      <c r="B14" t="s">
        <v>48</v>
      </c>
      <c r="C14">
        <v>-34.9285</v>
      </c>
      <c r="D14">
        <v>138.60069999999999</v>
      </c>
      <c r="E14">
        <v>0</v>
      </c>
      <c r="F14">
        <v>0</v>
      </c>
      <c r="G14">
        <v>0</v>
      </c>
      <c r="H14">
        <v>0</v>
      </c>
      <c r="I14">
        <v>0</v>
      </c>
      <c r="J14">
        <v>0</v>
      </c>
      <c r="K14">
        <v>0</v>
      </c>
      <c r="L14">
        <v>0</v>
      </c>
      <c r="M14">
        <v>0</v>
      </c>
      <c r="N14">
        <v>0</v>
      </c>
      <c r="O14">
        <v>1</v>
      </c>
      <c r="P14">
        <v>2</v>
      </c>
      <c r="Q14">
        <v>2</v>
      </c>
      <c r="R14">
        <v>2</v>
      </c>
      <c r="S14">
        <v>2</v>
      </c>
      <c r="T14">
        <v>2</v>
      </c>
      <c r="U14">
        <v>2</v>
      </c>
      <c r="V14">
        <v>2</v>
      </c>
      <c r="W14">
        <v>2</v>
      </c>
      <c r="X14">
        <v>2</v>
      </c>
      <c r="Y14">
        <v>2</v>
      </c>
      <c r="Z14">
        <v>2</v>
      </c>
      <c r="AA14">
        <v>2</v>
      </c>
      <c r="AB14">
        <v>2</v>
      </c>
      <c r="AC14">
        <v>2</v>
      </c>
      <c r="AD14">
        <v>2</v>
      </c>
      <c r="AE14">
        <v>2</v>
      </c>
      <c r="AF14">
        <v>2</v>
      </c>
      <c r="AG14">
        <v>2</v>
      </c>
      <c r="AH14">
        <v>2</v>
      </c>
      <c r="AI14">
        <v>2</v>
      </c>
      <c r="AJ14">
        <v>2</v>
      </c>
      <c r="AK14">
        <v>2</v>
      </c>
      <c r="AL14">
        <v>2</v>
      </c>
      <c r="AM14">
        <v>2</v>
      </c>
      <c r="AN14">
        <v>2</v>
      </c>
      <c r="AO14">
        <v>2</v>
      </c>
      <c r="AP14">
        <v>2</v>
      </c>
      <c r="AQ14">
        <v>3</v>
      </c>
      <c r="AR14">
        <v>3</v>
      </c>
      <c r="AS14">
        <v>3</v>
      </c>
      <c r="AT14">
        <v>3</v>
      </c>
      <c r="AU14">
        <v>5</v>
      </c>
      <c r="AV14">
        <v>5</v>
      </c>
      <c r="AW14">
        <v>7</v>
      </c>
      <c r="AX14">
        <v>7</v>
      </c>
      <c r="AY14">
        <v>7</v>
      </c>
      <c r="AZ14">
        <v>7</v>
      </c>
      <c r="BA14">
        <v>7</v>
      </c>
      <c r="BB14">
        <v>9</v>
      </c>
      <c r="BC14">
        <v>9</v>
      </c>
      <c r="BD14">
        <v>16</v>
      </c>
      <c r="BE14">
        <v>19</v>
      </c>
      <c r="BF14">
        <v>20</v>
      </c>
      <c r="BG14">
        <v>29</v>
      </c>
      <c r="BH14">
        <v>29</v>
      </c>
      <c r="BI14">
        <v>37</v>
      </c>
      <c r="BJ14">
        <v>42</v>
      </c>
      <c r="BK14">
        <v>50</v>
      </c>
      <c r="BL14">
        <v>67</v>
      </c>
      <c r="BM14">
        <v>100</v>
      </c>
      <c r="BN14">
        <v>134</v>
      </c>
      <c r="BO14">
        <v>170</v>
      </c>
      <c r="BP14">
        <v>170</v>
      </c>
      <c r="BQ14">
        <v>235</v>
      </c>
      <c r="BR14">
        <v>257</v>
      </c>
      <c r="BS14">
        <v>287</v>
      </c>
      <c r="BT14">
        <v>299</v>
      </c>
      <c r="BU14">
        <v>305</v>
      </c>
      <c r="BV14">
        <v>337</v>
      </c>
      <c r="BW14">
        <v>367</v>
      </c>
    </row>
    <row r="15" spans="1:75" x14ac:dyDescent="0.25">
      <c r="A15" t="s">
        <v>106</v>
      </c>
      <c r="B15" t="s">
        <v>48</v>
      </c>
      <c r="C15">
        <v>-41.454500000000003</v>
      </c>
      <c r="D15">
        <v>145.97069999999999</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1</v>
      </c>
      <c r="AT15">
        <v>1</v>
      </c>
      <c r="AU15">
        <v>1</v>
      </c>
      <c r="AV15">
        <v>1</v>
      </c>
      <c r="AW15">
        <v>1</v>
      </c>
      <c r="AX15">
        <v>1</v>
      </c>
      <c r="AY15">
        <v>2</v>
      </c>
      <c r="AZ15">
        <v>2</v>
      </c>
      <c r="BA15">
        <v>2</v>
      </c>
      <c r="BB15">
        <v>3</v>
      </c>
      <c r="BC15">
        <v>3</v>
      </c>
      <c r="BD15">
        <v>5</v>
      </c>
      <c r="BE15">
        <v>5</v>
      </c>
      <c r="BF15">
        <v>6</v>
      </c>
      <c r="BG15">
        <v>7</v>
      </c>
      <c r="BH15">
        <v>7</v>
      </c>
      <c r="BI15">
        <v>10</v>
      </c>
      <c r="BJ15">
        <v>10</v>
      </c>
      <c r="BK15">
        <v>10</v>
      </c>
      <c r="BL15">
        <v>16</v>
      </c>
      <c r="BM15">
        <v>22</v>
      </c>
      <c r="BN15">
        <v>28</v>
      </c>
      <c r="BO15">
        <v>28</v>
      </c>
      <c r="BP15">
        <v>36</v>
      </c>
      <c r="BQ15">
        <v>47</v>
      </c>
      <c r="BR15">
        <v>47</v>
      </c>
      <c r="BS15">
        <v>62</v>
      </c>
      <c r="BT15">
        <v>66</v>
      </c>
      <c r="BU15">
        <v>66</v>
      </c>
      <c r="BV15">
        <v>69</v>
      </c>
      <c r="BW15">
        <v>69</v>
      </c>
    </row>
    <row r="16" spans="1:75" x14ac:dyDescent="0.25">
      <c r="A16" t="s">
        <v>49</v>
      </c>
      <c r="B16" t="s">
        <v>48</v>
      </c>
      <c r="C16">
        <v>-37.813600000000001</v>
      </c>
      <c r="D16">
        <v>144.9631</v>
      </c>
      <c r="E16">
        <v>0</v>
      </c>
      <c r="F16">
        <v>0</v>
      </c>
      <c r="G16">
        <v>0</v>
      </c>
      <c r="H16">
        <v>0</v>
      </c>
      <c r="I16">
        <v>1</v>
      </c>
      <c r="J16">
        <v>1</v>
      </c>
      <c r="K16">
        <v>1</v>
      </c>
      <c r="L16">
        <v>1</v>
      </c>
      <c r="M16">
        <v>2</v>
      </c>
      <c r="N16">
        <v>3</v>
      </c>
      <c r="O16">
        <v>4</v>
      </c>
      <c r="P16">
        <v>4</v>
      </c>
      <c r="Q16">
        <v>4</v>
      </c>
      <c r="R16">
        <v>4</v>
      </c>
      <c r="S16">
        <v>4</v>
      </c>
      <c r="T16">
        <v>4</v>
      </c>
      <c r="U16">
        <v>4</v>
      </c>
      <c r="V16">
        <v>4</v>
      </c>
      <c r="W16">
        <v>4</v>
      </c>
      <c r="X16">
        <v>4</v>
      </c>
      <c r="Y16">
        <v>4</v>
      </c>
      <c r="Z16">
        <v>4</v>
      </c>
      <c r="AA16">
        <v>4</v>
      </c>
      <c r="AB16">
        <v>4</v>
      </c>
      <c r="AC16">
        <v>4</v>
      </c>
      <c r="AD16">
        <v>4</v>
      </c>
      <c r="AE16">
        <v>4</v>
      </c>
      <c r="AF16">
        <v>4</v>
      </c>
      <c r="AG16">
        <v>4</v>
      </c>
      <c r="AH16">
        <v>4</v>
      </c>
      <c r="AI16">
        <v>4</v>
      </c>
      <c r="AJ16">
        <v>4</v>
      </c>
      <c r="AK16">
        <v>4</v>
      </c>
      <c r="AL16">
        <v>4</v>
      </c>
      <c r="AM16">
        <v>4</v>
      </c>
      <c r="AN16">
        <v>4</v>
      </c>
      <c r="AO16">
        <v>4</v>
      </c>
      <c r="AP16">
        <v>4</v>
      </c>
      <c r="AQ16">
        <v>7</v>
      </c>
      <c r="AR16">
        <v>7</v>
      </c>
      <c r="AS16">
        <v>9</v>
      </c>
      <c r="AT16">
        <v>9</v>
      </c>
      <c r="AU16">
        <v>10</v>
      </c>
      <c r="AV16">
        <v>10</v>
      </c>
      <c r="AW16">
        <v>10</v>
      </c>
      <c r="AX16">
        <v>11</v>
      </c>
      <c r="AY16">
        <v>11</v>
      </c>
      <c r="AZ16">
        <v>15</v>
      </c>
      <c r="BA16">
        <v>18</v>
      </c>
      <c r="BB16">
        <v>21</v>
      </c>
      <c r="BC16">
        <v>21</v>
      </c>
      <c r="BD16">
        <v>36</v>
      </c>
      <c r="BE16">
        <v>49</v>
      </c>
      <c r="BF16">
        <v>57</v>
      </c>
      <c r="BG16">
        <v>71</v>
      </c>
      <c r="BH16">
        <v>94</v>
      </c>
      <c r="BI16">
        <v>121</v>
      </c>
      <c r="BJ16">
        <v>121</v>
      </c>
      <c r="BK16">
        <v>121</v>
      </c>
      <c r="BL16">
        <v>229</v>
      </c>
      <c r="BM16">
        <v>355</v>
      </c>
      <c r="BN16">
        <v>355</v>
      </c>
      <c r="BO16">
        <v>411</v>
      </c>
      <c r="BP16">
        <v>466</v>
      </c>
      <c r="BQ16">
        <v>520</v>
      </c>
      <c r="BR16">
        <v>574</v>
      </c>
      <c r="BS16">
        <v>685</v>
      </c>
      <c r="BT16">
        <v>769</v>
      </c>
      <c r="BU16">
        <v>821</v>
      </c>
      <c r="BV16">
        <v>917</v>
      </c>
      <c r="BW16">
        <v>968</v>
      </c>
    </row>
    <row r="17" spans="1:75" x14ac:dyDescent="0.25">
      <c r="A17" t="s">
        <v>95</v>
      </c>
      <c r="B17" t="s">
        <v>48</v>
      </c>
      <c r="C17">
        <v>-31.950500000000002</v>
      </c>
      <c r="D17">
        <v>115.8605</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2</v>
      </c>
      <c r="AR17">
        <v>2</v>
      </c>
      <c r="AS17">
        <v>2</v>
      </c>
      <c r="AT17">
        <v>2</v>
      </c>
      <c r="AU17">
        <v>2</v>
      </c>
      <c r="AV17">
        <v>3</v>
      </c>
      <c r="AW17">
        <v>3</v>
      </c>
      <c r="AX17">
        <v>3</v>
      </c>
      <c r="AY17">
        <v>3</v>
      </c>
      <c r="AZ17">
        <v>4</v>
      </c>
      <c r="BA17">
        <v>6</v>
      </c>
      <c r="BB17">
        <v>9</v>
      </c>
      <c r="BC17">
        <v>9</v>
      </c>
      <c r="BD17">
        <v>14</v>
      </c>
      <c r="BE17">
        <v>17</v>
      </c>
      <c r="BF17">
        <v>17</v>
      </c>
      <c r="BG17">
        <v>28</v>
      </c>
      <c r="BH17">
        <v>31</v>
      </c>
      <c r="BI17">
        <v>35</v>
      </c>
      <c r="BJ17">
        <v>52</v>
      </c>
      <c r="BK17">
        <v>64</v>
      </c>
      <c r="BL17">
        <v>90</v>
      </c>
      <c r="BM17">
        <v>120</v>
      </c>
      <c r="BN17">
        <v>140</v>
      </c>
      <c r="BO17">
        <v>175</v>
      </c>
      <c r="BP17">
        <v>175</v>
      </c>
      <c r="BQ17">
        <v>231</v>
      </c>
      <c r="BR17">
        <v>231</v>
      </c>
      <c r="BS17">
        <v>278</v>
      </c>
      <c r="BT17">
        <v>311</v>
      </c>
      <c r="BU17">
        <v>355</v>
      </c>
      <c r="BV17">
        <v>364</v>
      </c>
      <c r="BW17">
        <v>392</v>
      </c>
    </row>
    <row r="18" spans="1:75" x14ac:dyDescent="0.25">
      <c r="B18" t="s">
        <v>76</v>
      </c>
      <c r="C18">
        <v>47.516199999999998</v>
      </c>
      <c r="D18">
        <v>14.5501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2</v>
      </c>
      <c r="AN18">
        <v>2</v>
      </c>
      <c r="AO18">
        <v>3</v>
      </c>
      <c r="AP18">
        <v>3</v>
      </c>
      <c r="AQ18">
        <v>9</v>
      </c>
      <c r="AR18">
        <v>14</v>
      </c>
      <c r="AS18">
        <v>18</v>
      </c>
      <c r="AT18">
        <v>21</v>
      </c>
      <c r="AU18">
        <v>29</v>
      </c>
      <c r="AV18">
        <v>41</v>
      </c>
      <c r="AW18">
        <v>55</v>
      </c>
      <c r="AX18">
        <v>79</v>
      </c>
      <c r="AY18">
        <v>104</v>
      </c>
      <c r="AZ18">
        <v>131</v>
      </c>
      <c r="BA18">
        <v>182</v>
      </c>
      <c r="BB18">
        <v>246</v>
      </c>
      <c r="BC18">
        <v>302</v>
      </c>
      <c r="BD18">
        <v>504</v>
      </c>
      <c r="BE18">
        <v>655</v>
      </c>
      <c r="BF18">
        <v>860</v>
      </c>
      <c r="BG18">
        <v>1018</v>
      </c>
      <c r="BH18">
        <v>1332</v>
      </c>
      <c r="BI18">
        <v>1646</v>
      </c>
      <c r="BJ18">
        <v>2013</v>
      </c>
      <c r="BK18">
        <v>2388</v>
      </c>
      <c r="BL18">
        <v>2814</v>
      </c>
      <c r="BM18">
        <v>3582</v>
      </c>
      <c r="BN18">
        <v>4474</v>
      </c>
      <c r="BO18">
        <v>5283</v>
      </c>
      <c r="BP18">
        <v>5588</v>
      </c>
      <c r="BQ18">
        <v>6909</v>
      </c>
      <c r="BR18">
        <v>7657</v>
      </c>
      <c r="BS18">
        <v>8271</v>
      </c>
      <c r="BT18">
        <v>8788</v>
      </c>
      <c r="BU18">
        <v>9618</v>
      </c>
      <c r="BV18">
        <v>10180</v>
      </c>
      <c r="BW18">
        <v>10711</v>
      </c>
    </row>
    <row r="19" spans="1:75" x14ac:dyDescent="0.25">
      <c r="B19" t="s">
        <v>100</v>
      </c>
      <c r="C19">
        <v>40.143099999999997</v>
      </c>
      <c r="D19">
        <v>47.576900000000002</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3</v>
      </c>
      <c r="AS19">
        <v>3</v>
      </c>
      <c r="AT19">
        <v>3</v>
      </c>
      <c r="AU19">
        <v>3</v>
      </c>
      <c r="AV19">
        <v>6</v>
      </c>
      <c r="AW19">
        <v>6</v>
      </c>
      <c r="AX19">
        <v>9</v>
      </c>
      <c r="AY19">
        <v>9</v>
      </c>
      <c r="AZ19">
        <v>9</v>
      </c>
      <c r="BA19">
        <v>11</v>
      </c>
      <c r="BB19">
        <v>11</v>
      </c>
      <c r="BC19">
        <v>11</v>
      </c>
      <c r="BD19">
        <v>15</v>
      </c>
      <c r="BE19">
        <v>15</v>
      </c>
      <c r="BF19">
        <v>23</v>
      </c>
      <c r="BG19">
        <v>28</v>
      </c>
      <c r="BH19">
        <v>28</v>
      </c>
      <c r="BI19">
        <v>28</v>
      </c>
      <c r="BJ19">
        <v>44</v>
      </c>
      <c r="BK19">
        <v>44</v>
      </c>
      <c r="BL19">
        <v>53</v>
      </c>
      <c r="BM19">
        <v>65</v>
      </c>
      <c r="BN19">
        <v>72</v>
      </c>
      <c r="BO19">
        <v>87</v>
      </c>
      <c r="BP19">
        <v>93</v>
      </c>
      <c r="BQ19">
        <v>122</v>
      </c>
      <c r="BR19">
        <v>165</v>
      </c>
      <c r="BS19">
        <v>182</v>
      </c>
      <c r="BT19">
        <v>209</v>
      </c>
      <c r="BU19">
        <v>273</v>
      </c>
      <c r="BV19">
        <v>298</v>
      </c>
      <c r="BW19">
        <v>359</v>
      </c>
    </row>
    <row r="20" spans="1:75" x14ac:dyDescent="0.25">
      <c r="B20" t="s">
        <v>1472</v>
      </c>
      <c r="C20">
        <v>25.034300000000002</v>
      </c>
      <c r="D20">
        <v>-77.396299999999997</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1</v>
      </c>
      <c r="BH20">
        <v>1</v>
      </c>
      <c r="BI20">
        <v>1</v>
      </c>
      <c r="BJ20">
        <v>3</v>
      </c>
      <c r="BK20">
        <v>3</v>
      </c>
      <c r="BL20">
        <v>4</v>
      </c>
      <c r="BM20">
        <v>4</v>
      </c>
      <c r="BN20">
        <v>4</v>
      </c>
      <c r="BO20">
        <v>5</v>
      </c>
      <c r="BP20">
        <v>5</v>
      </c>
      <c r="BQ20">
        <v>9</v>
      </c>
      <c r="BR20">
        <v>10</v>
      </c>
      <c r="BS20">
        <v>10</v>
      </c>
      <c r="BT20">
        <v>11</v>
      </c>
      <c r="BU20">
        <v>14</v>
      </c>
      <c r="BV20">
        <v>14</v>
      </c>
      <c r="BW20">
        <v>21</v>
      </c>
    </row>
    <row r="21" spans="1:75" x14ac:dyDescent="0.25">
      <c r="B21" t="s">
        <v>71</v>
      </c>
      <c r="C21">
        <v>26.0275</v>
      </c>
      <c r="D21">
        <v>50.55</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1</v>
      </c>
      <c r="AM21">
        <v>23</v>
      </c>
      <c r="AN21">
        <v>33</v>
      </c>
      <c r="AO21">
        <v>33</v>
      </c>
      <c r="AP21">
        <v>36</v>
      </c>
      <c r="AQ21">
        <v>41</v>
      </c>
      <c r="AR21">
        <v>47</v>
      </c>
      <c r="AS21">
        <v>49</v>
      </c>
      <c r="AT21">
        <v>49</v>
      </c>
      <c r="AU21">
        <v>52</v>
      </c>
      <c r="AV21">
        <v>55</v>
      </c>
      <c r="AW21">
        <v>60</v>
      </c>
      <c r="AX21">
        <v>85</v>
      </c>
      <c r="AY21">
        <v>85</v>
      </c>
      <c r="AZ21">
        <v>95</v>
      </c>
      <c r="BA21">
        <v>110</v>
      </c>
      <c r="BB21">
        <v>195</v>
      </c>
      <c r="BC21">
        <v>195</v>
      </c>
      <c r="BD21">
        <v>195</v>
      </c>
      <c r="BE21">
        <v>210</v>
      </c>
      <c r="BF21">
        <v>214</v>
      </c>
      <c r="BG21">
        <v>214</v>
      </c>
      <c r="BH21">
        <v>228</v>
      </c>
      <c r="BI21">
        <v>256</v>
      </c>
      <c r="BJ21">
        <v>278</v>
      </c>
      <c r="BK21">
        <v>285</v>
      </c>
      <c r="BL21">
        <v>305</v>
      </c>
      <c r="BM21">
        <v>334</v>
      </c>
      <c r="BN21">
        <v>377</v>
      </c>
      <c r="BO21">
        <v>392</v>
      </c>
      <c r="BP21">
        <v>419</v>
      </c>
      <c r="BQ21">
        <v>458</v>
      </c>
      <c r="BR21">
        <v>466</v>
      </c>
      <c r="BS21">
        <v>476</v>
      </c>
      <c r="BT21">
        <v>499</v>
      </c>
      <c r="BU21">
        <v>515</v>
      </c>
      <c r="BV21">
        <v>567</v>
      </c>
      <c r="BW21">
        <v>569</v>
      </c>
    </row>
    <row r="22" spans="1:75" x14ac:dyDescent="0.25">
      <c r="B22" t="s">
        <v>138</v>
      </c>
      <c r="C22">
        <v>23.684999999999999</v>
      </c>
      <c r="D22">
        <v>90.356300000000005</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3</v>
      </c>
      <c r="AZ22">
        <v>3</v>
      </c>
      <c r="BA22">
        <v>3</v>
      </c>
      <c r="BB22">
        <v>3</v>
      </c>
      <c r="BC22">
        <v>3</v>
      </c>
      <c r="BD22">
        <v>3</v>
      </c>
      <c r="BE22">
        <v>3</v>
      </c>
      <c r="BF22">
        <v>5</v>
      </c>
      <c r="BG22">
        <v>8</v>
      </c>
      <c r="BH22">
        <v>10</v>
      </c>
      <c r="BI22">
        <v>14</v>
      </c>
      <c r="BJ22">
        <v>17</v>
      </c>
      <c r="BK22">
        <v>20</v>
      </c>
      <c r="BL22">
        <v>25</v>
      </c>
      <c r="BM22">
        <v>27</v>
      </c>
      <c r="BN22">
        <v>33</v>
      </c>
      <c r="BO22">
        <v>39</v>
      </c>
      <c r="BP22">
        <v>39</v>
      </c>
      <c r="BQ22">
        <v>44</v>
      </c>
      <c r="BR22">
        <v>48</v>
      </c>
      <c r="BS22">
        <v>48</v>
      </c>
      <c r="BT22">
        <v>48</v>
      </c>
      <c r="BU22">
        <v>49</v>
      </c>
      <c r="BV22">
        <v>51</v>
      </c>
      <c r="BW22">
        <v>54</v>
      </c>
    </row>
    <row r="23" spans="1:75" x14ac:dyDescent="0.25">
      <c r="B23" t="s">
        <v>945</v>
      </c>
      <c r="C23">
        <v>13.193899999999999</v>
      </c>
      <c r="D23">
        <v>-59.543199999999999</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2</v>
      </c>
      <c r="BI23">
        <v>2</v>
      </c>
      <c r="BJ23">
        <v>5</v>
      </c>
      <c r="BK23">
        <v>5</v>
      </c>
      <c r="BL23">
        <v>6</v>
      </c>
      <c r="BM23">
        <v>14</v>
      </c>
      <c r="BN23">
        <v>17</v>
      </c>
      <c r="BO23">
        <v>18</v>
      </c>
      <c r="BP23">
        <v>18</v>
      </c>
      <c r="BQ23">
        <v>18</v>
      </c>
      <c r="BR23">
        <v>24</v>
      </c>
      <c r="BS23">
        <v>26</v>
      </c>
      <c r="BT23">
        <v>33</v>
      </c>
      <c r="BU23">
        <v>33</v>
      </c>
      <c r="BV23">
        <v>34</v>
      </c>
      <c r="BW23">
        <v>34</v>
      </c>
    </row>
    <row r="24" spans="1:75" x14ac:dyDescent="0.25">
      <c r="B24" t="s">
        <v>89</v>
      </c>
      <c r="C24">
        <v>53.709800000000001</v>
      </c>
      <c r="D24">
        <v>27.953399999999998</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1</v>
      </c>
      <c r="AQ24">
        <v>1</v>
      </c>
      <c r="AR24">
        <v>1</v>
      </c>
      <c r="AS24">
        <v>1</v>
      </c>
      <c r="AT24">
        <v>1</v>
      </c>
      <c r="AU24">
        <v>6</v>
      </c>
      <c r="AV24">
        <v>6</v>
      </c>
      <c r="AW24">
        <v>6</v>
      </c>
      <c r="AX24">
        <v>6</v>
      </c>
      <c r="AY24">
        <v>6</v>
      </c>
      <c r="AZ24">
        <v>6</v>
      </c>
      <c r="BA24">
        <v>9</v>
      </c>
      <c r="BB24">
        <v>9</v>
      </c>
      <c r="BC24">
        <v>12</v>
      </c>
      <c r="BD24">
        <v>27</v>
      </c>
      <c r="BE24">
        <v>27</v>
      </c>
      <c r="BF24">
        <v>27</v>
      </c>
      <c r="BG24">
        <v>36</v>
      </c>
      <c r="BH24">
        <v>36</v>
      </c>
      <c r="BI24">
        <v>51</v>
      </c>
      <c r="BJ24">
        <v>51</v>
      </c>
      <c r="BK24">
        <v>69</v>
      </c>
      <c r="BL24">
        <v>76</v>
      </c>
      <c r="BM24">
        <v>76</v>
      </c>
      <c r="BN24">
        <v>81</v>
      </c>
      <c r="BO24">
        <v>81</v>
      </c>
      <c r="BP24">
        <v>86</v>
      </c>
      <c r="BQ24">
        <v>86</v>
      </c>
      <c r="BR24">
        <v>94</v>
      </c>
      <c r="BS24">
        <v>94</v>
      </c>
      <c r="BT24">
        <v>94</v>
      </c>
      <c r="BU24">
        <v>152</v>
      </c>
      <c r="BV24">
        <v>152</v>
      </c>
      <c r="BW24">
        <v>163</v>
      </c>
    </row>
    <row r="25" spans="1:75" x14ac:dyDescent="0.25">
      <c r="B25" t="s">
        <v>63</v>
      </c>
      <c r="C25">
        <v>50.833300000000001</v>
      </c>
      <c r="D25">
        <v>4</v>
      </c>
      <c r="E25">
        <v>0</v>
      </c>
      <c r="F25">
        <v>0</v>
      </c>
      <c r="G25">
        <v>0</v>
      </c>
      <c r="H25">
        <v>0</v>
      </c>
      <c r="I25">
        <v>0</v>
      </c>
      <c r="J25">
        <v>0</v>
      </c>
      <c r="K25">
        <v>0</v>
      </c>
      <c r="L25">
        <v>0</v>
      </c>
      <c r="M25">
        <v>0</v>
      </c>
      <c r="N25">
        <v>0</v>
      </c>
      <c r="O25">
        <v>0</v>
      </c>
      <c r="P25">
        <v>0</v>
      </c>
      <c r="Q25">
        <v>0</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c r="AR25">
        <v>2</v>
      </c>
      <c r="AS25">
        <v>8</v>
      </c>
      <c r="AT25">
        <v>13</v>
      </c>
      <c r="AU25">
        <v>23</v>
      </c>
      <c r="AV25">
        <v>50</v>
      </c>
      <c r="AW25">
        <v>109</v>
      </c>
      <c r="AX25">
        <v>169</v>
      </c>
      <c r="AY25">
        <v>200</v>
      </c>
      <c r="AZ25">
        <v>239</v>
      </c>
      <c r="BA25">
        <v>267</v>
      </c>
      <c r="BB25">
        <v>314</v>
      </c>
      <c r="BC25">
        <v>314</v>
      </c>
      <c r="BD25">
        <v>559</v>
      </c>
      <c r="BE25">
        <v>689</v>
      </c>
      <c r="BF25">
        <v>886</v>
      </c>
      <c r="BG25">
        <v>1058</v>
      </c>
      <c r="BH25">
        <v>1243</v>
      </c>
      <c r="BI25">
        <v>1486</v>
      </c>
      <c r="BJ25">
        <v>1795</v>
      </c>
      <c r="BK25">
        <v>2257</v>
      </c>
      <c r="BL25">
        <v>2815</v>
      </c>
      <c r="BM25">
        <v>3401</v>
      </c>
      <c r="BN25">
        <v>3743</v>
      </c>
      <c r="BO25">
        <v>4269</v>
      </c>
      <c r="BP25">
        <v>4937</v>
      </c>
      <c r="BQ25">
        <v>6235</v>
      </c>
      <c r="BR25">
        <v>7284</v>
      </c>
      <c r="BS25">
        <v>9134</v>
      </c>
      <c r="BT25">
        <v>10836</v>
      </c>
      <c r="BU25">
        <v>11899</v>
      </c>
      <c r="BV25">
        <v>12775</v>
      </c>
      <c r="BW25">
        <v>13964</v>
      </c>
    </row>
    <row r="26" spans="1:75" x14ac:dyDescent="0.25">
      <c r="B26" t="s">
        <v>940</v>
      </c>
      <c r="C26">
        <v>9.3077000000000005</v>
      </c>
      <c r="D26">
        <v>2.3157999999999999</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1</v>
      </c>
      <c r="BH26">
        <v>1</v>
      </c>
      <c r="BI26">
        <v>2</v>
      </c>
      <c r="BJ26">
        <v>2</v>
      </c>
      <c r="BK26">
        <v>2</v>
      </c>
      <c r="BL26">
        <v>2</v>
      </c>
      <c r="BM26">
        <v>2</v>
      </c>
      <c r="BN26">
        <v>5</v>
      </c>
      <c r="BO26">
        <v>6</v>
      </c>
      <c r="BP26">
        <v>6</v>
      </c>
      <c r="BQ26">
        <v>6</v>
      </c>
      <c r="BR26">
        <v>6</v>
      </c>
      <c r="BS26">
        <v>6</v>
      </c>
      <c r="BT26">
        <v>6</v>
      </c>
      <c r="BU26">
        <v>6</v>
      </c>
      <c r="BV26">
        <v>9</v>
      </c>
      <c r="BW26">
        <v>13</v>
      </c>
    </row>
    <row r="27" spans="1:75" x14ac:dyDescent="0.25">
      <c r="B27" t="s">
        <v>125</v>
      </c>
      <c r="C27">
        <v>27.514199999999999</v>
      </c>
      <c r="D27">
        <v>90.433599999999998</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1</v>
      </c>
      <c r="AX27">
        <v>1</v>
      </c>
      <c r="AY27">
        <v>1</v>
      </c>
      <c r="AZ27">
        <v>1</v>
      </c>
      <c r="BA27">
        <v>1</v>
      </c>
      <c r="BB27">
        <v>1</v>
      </c>
      <c r="BC27">
        <v>1</v>
      </c>
      <c r="BD27">
        <v>1</v>
      </c>
      <c r="BE27">
        <v>1</v>
      </c>
      <c r="BF27">
        <v>1</v>
      </c>
      <c r="BG27">
        <v>1</v>
      </c>
      <c r="BH27">
        <v>1</v>
      </c>
      <c r="BI27">
        <v>1</v>
      </c>
      <c r="BJ27">
        <v>1</v>
      </c>
      <c r="BK27">
        <v>2</v>
      </c>
      <c r="BL27">
        <v>2</v>
      </c>
      <c r="BM27">
        <v>2</v>
      </c>
      <c r="BN27">
        <v>2</v>
      </c>
      <c r="BO27">
        <v>2</v>
      </c>
      <c r="BP27">
        <v>2</v>
      </c>
      <c r="BQ27">
        <v>2</v>
      </c>
      <c r="BR27">
        <v>3</v>
      </c>
      <c r="BS27">
        <v>3</v>
      </c>
      <c r="BT27">
        <v>4</v>
      </c>
      <c r="BU27">
        <v>4</v>
      </c>
      <c r="BV27">
        <v>4</v>
      </c>
      <c r="BW27">
        <v>4</v>
      </c>
    </row>
    <row r="28" spans="1:75" x14ac:dyDescent="0.25">
      <c r="B28" t="s">
        <v>179</v>
      </c>
      <c r="C28">
        <v>-16.290199999999999</v>
      </c>
      <c r="D28">
        <v>-63.588700000000003</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2</v>
      </c>
      <c r="BC28">
        <v>2</v>
      </c>
      <c r="BD28">
        <v>3</v>
      </c>
      <c r="BE28">
        <v>10</v>
      </c>
      <c r="BF28">
        <v>10</v>
      </c>
      <c r="BG28">
        <v>11</v>
      </c>
      <c r="BH28">
        <v>11</v>
      </c>
      <c r="BI28">
        <v>12</v>
      </c>
      <c r="BJ28">
        <v>12</v>
      </c>
      <c r="BK28">
        <v>15</v>
      </c>
      <c r="BL28">
        <v>19</v>
      </c>
      <c r="BM28">
        <v>24</v>
      </c>
      <c r="BN28">
        <v>27</v>
      </c>
      <c r="BO28">
        <v>29</v>
      </c>
      <c r="BP28">
        <v>32</v>
      </c>
      <c r="BQ28">
        <v>43</v>
      </c>
      <c r="BR28">
        <v>61</v>
      </c>
      <c r="BS28">
        <v>74</v>
      </c>
      <c r="BT28">
        <v>81</v>
      </c>
      <c r="BU28">
        <v>97</v>
      </c>
      <c r="BV28">
        <v>107</v>
      </c>
      <c r="BW28">
        <v>115</v>
      </c>
    </row>
    <row r="29" spans="1:75" x14ac:dyDescent="0.25">
      <c r="B29" t="s">
        <v>122</v>
      </c>
      <c r="C29">
        <v>43.915900000000001</v>
      </c>
      <c r="D29">
        <v>17.679099999999998</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2</v>
      </c>
      <c r="AW29">
        <v>2</v>
      </c>
      <c r="AX29">
        <v>3</v>
      </c>
      <c r="AY29">
        <v>3</v>
      </c>
      <c r="AZ29">
        <v>3</v>
      </c>
      <c r="BA29">
        <v>5</v>
      </c>
      <c r="BB29">
        <v>7</v>
      </c>
      <c r="BC29">
        <v>11</v>
      </c>
      <c r="BD29">
        <v>13</v>
      </c>
      <c r="BE29">
        <v>18</v>
      </c>
      <c r="BF29">
        <v>24</v>
      </c>
      <c r="BG29">
        <v>25</v>
      </c>
      <c r="BH29">
        <v>26</v>
      </c>
      <c r="BI29">
        <v>38</v>
      </c>
      <c r="BJ29">
        <v>63</v>
      </c>
      <c r="BK29">
        <v>89</v>
      </c>
      <c r="BL29">
        <v>93</v>
      </c>
      <c r="BM29">
        <v>126</v>
      </c>
      <c r="BN29">
        <v>136</v>
      </c>
      <c r="BO29">
        <v>166</v>
      </c>
      <c r="BP29">
        <v>176</v>
      </c>
      <c r="BQ29">
        <v>191</v>
      </c>
      <c r="BR29">
        <v>237</v>
      </c>
      <c r="BS29">
        <v>258</v>
      </c>
      <c r="BT29">
        <v>323</v>
      </c>
      <c r="BU29">
        <v>368</v>
      </c>
      <c r="BV29">
        <v>420</v>
      </c>
      <c r="BW29">
        <v>459</v>
      </c>
    </row>
    <row r="30" spans="1:75" x14ac:dyDescent="0.25">
      <c r="B30" t="s">
        <v>79</v>
      </c>
      <c r="C30">
        <v>-14.234999999999999</v>
      </c>
      <c r="D30">
        <v>-51.9253</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1</v>
      </c>
      <c r="AO30">
        <v>1</v>
      </c>
      <c r="AP30">
        <v>1</v>
      </c>
      <c r="AQ30">
        <v>2</v>
      </c>
      <c r="AR30">
        <v>2</v>
      </c>
      <c r="AS30">
        <v>2</v>
      </c>
      <c r="AT30">
        <v>2</v>
      </c>
      <c r="AU30">
        <v>4</v>
      </c>
      <c r="AV30">
        <v>4</v>
      </c>
      <c r="AW30">
        <v>13</v>
      </c>
      <c r="AX30">
        <v>13</v>
      </c>
      <c r="AY30">
        <v>20</v>
      </c>
      <c r="AZ30">
        <v>25</v>
      </c>
      <c r="BA30">
        <v>31</v>
      </c>
      <c r="BB30">
        <v>38</v>
      </c>
      <c r="BC30">
        <v>52</v>
      </c>
      <c r="BD30">
        <v>151</v>
      </c>
      <c r="BE30">
        <v>151</v>
      </c>
      <c r="BF30">
        <v>162</v>
      </c>
      <c r="BG30">
        <v>200</v>
      </c>
      <c r="BH30">
        <v>321</v>
      </c>
      <c r="BI30">
        <v>372</v>
      </c>
      <c r="BJ30">
        <v>621</v>
      </c>
      <c r="BK30">
        <v>793</v>
      </c>
      <c r="BL30">
        <v>1021</v>
      </c>
      <c r="BM30">
        <v>1546</v>
      </c>
      <c r="BN30">
        <v>1924</v>
      </c>
      <c r="BO30">
        <v>2247</v>
      </c>
      <c r="BP30">
        <v>2554</v>
      </c>
      <c r="BQ30">
        <v>2985</v>
      </c>
      <c r="BR30">
        <v>3417</v>
      </c>
      <c r="BS30">
        <v>3904</v>
      </c>
      <c r="BT30">
        <v>4256</v>
      </c>
      <c r="BU30">
        <v>4579</v>
      </c>
      <c r="BV30">
        <v>5717</v>
      </c>
      <c r="BW30">
        <v>6836</v>
      </c>
    </row>
    <row r="31" spans="1:75" x14ac:dyDescent="0.25">
      <c r="B31" t="s">
        <v>146</v>
      </c>
      <c r="C31">
        <v>4.5353000000000003</v>
      </c>
      <c r="D31">
        <v>114.7277</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v>
      </c>
      <c r="BA31">
        <v>1</v>
      </c>
      <c r="BB31">
        <v>11</v>
      </c>
      <c r="BC31">
        <v>11</v>
      </c>
      <c r="BD31">
        <v>37</v>
      </c>
      <c r="BE31">
        <v>40</v>
      </c>
      <c r="BF31">
        <v>50</v>
      </c>
      <c r="BG31">
        <v>54</v>
      </c>
      <c r="BH31">
        <v>56</v>
      </c>
      <c r="BI31">
        <v>68</v>
      </c>
      <c r="BJ31">
        <v>75</v>
      </c>
      <c r="BK31">
        <v>78</v>
      </c>
      <c r="BL31">
        <v>83</v>
      </c>
      <c r="BM31">
        <v>88</v>
      </c>
      <c r="BN31">
        <v>91</v>
      </c>
      <c r="BO31">
        <v>104</v>
      </c>
      <c r="BP31">
        <v>109</v>
      </c>
      <c r="BQ31">
        <v>114</v>
      </c>
      <c r="BR31">
        <v>115</v>
      </c>
      <c r="BS31">
        <v>120</v>
      </c>
      <c r="BT31">
        <v>126</v>
      </c>
      <c r="BU31">
        <v>127</v>
      </c>
      <c r="BV31">
        <v>129</v>
      </c>
      <c r="BW31">
        <v>131</v>
      </c>
    </row>
    <row r="32" spans="1:75" x14ac:dyDescent="0.25">
      <c r="B32" t="s">
        <v>136</v>
      </c>
      <c r="C32">
        <v>42.733899999999998</v>
      </c>
      <c r="D32">
        <v>25.485800000000001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4</v>
      </c>
      <c r="AZ32">
        <v>4</v>
      </c>
      <c r="BA32">
        <v>4</v>
      </c>
      <c r="BB32">
        <v>7</v>
      </c>
      <c r="BC32">
        <v>7</v>
      </c>
      <c r="BD32">
        <v>23</v>
      </c>
      <c r="BE32">
        <v>41</v>
      </c>
      <c r="BF32">
        <v>51</v>
      </c>
      <c r="BG32">
        <v>52</v>
      </c>
      <c r="BH32">
        <v>67</v>
      </c>
      <c r="BI32">
        <v>92</v>
      </c>
      <c r="BJ32">
        <v>94</v>
      </c>
      <c r="BK32">
        <v>127</v>
      </c>
      <c r="BL32">
        <v>163</v>
      </c>
      <c r="BM32">
        <v>187</v>
      </c>
      <c r="BN32">
        <v>201</v>
      </c>
      <c r="BO32">
        <v>218</v>
      </c>
      <c r="BP32">
        <v>242</v>
      </c>
      <c r="BQ32">
        <v>264</v>
      </c>
      <c r="BR32">
        <v>293</v>
      </c>
      <c r="BS32">
        <v>331</v>
      </c>
      <c r="BT32">
        <v>346</v>
      </c>
      <c r="BU32">
        <v>359</v>
      </c>
      <c r="BV32">
        <v>399</v>
      </c>
      <c r="BW32">
        <v>422</v>
      </c>
    </row>
    <row r="33" spans="1:75" x14ac:dyDescent="0.25">
      <c r="B33" t="s">
        <v>149</v>
      </c>
      <c r="C33">
        <v>12.238300000000001</v>
      </c>
      <c r="D33">
        <v>-1.5616000000000001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1</v>
      </c>
      <c r="BB33">
        <v>2</v>
      </c>
      <c r="BC33">
        <v>2</v>
      </c>
      <c r="BD33">
        <v>2</v>
      </c>
      <c r="BE33">
        <v>2</v>
      </c>
      <c r="BF33">
        <v>3</v>
      </c>
      <c r="BG33">
        <v>15</v>
      </c>
      <c r="BH33">
        <v>15</v>
      </c>
      <c r="BI33">
        <v>20</v>
      </c>
      <c r="BJ33">
        <v>33</v>
      </c>
      <c r="BK33">
        <v>40</v>
      </c>
      <c r="BL33">
        <v>64</v>
      </c>
      <c r="BM33">
        <v>75</v>
      </c>
      <c r="BN33">
        <v>99</v>
      </c>
      <c r="BO33">
        <v>114</v>
      </c>
      <c r="BP33">
        <v>146</v>
      </c>
      <c r="BQ33">
        <v>152</v>
      </c>
      <c r="BR33">
        <v>180</v>
      </c>
      <c r="BS33">
        <v>207</v>
      </c>
      <c r="BT33">
        <v>222</v>
      </c>
      <c r="BU33">
        <v>246</v>
      </c>
      <c r="BV33">
        <v>261</v>
      </c>
      <c r="BW33">
        <v>282</v>
      </c>
    </row>
    <row r="34" spans="1:75" x14ac:dyDescent="0.25">
      <c r="B34" t="s">
        <v>1023</v>
      </c>
      <c r="C34">
        <v>16.538799999999998</v>
      </c>
      <c r="D34">
        <v>-23.041799999999999</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1</v>
      </c>
      <c r="BL34">
        <v>3</v>
      </c>
      <c r="BM34">
        <v>3</v>
      </c>
      <c r="BN34">
        <v>3</v>
      </c>
      <c r="BO34">
        <v>3</v>
      </c>
      <c r="BP34">
        <v>4</v>
      </c>
      <c r="BQ34">
        <v>4</v>
      </c>
      <c r="BR34">
        <v>5</v>
      </c>
      <c r="BS34">
        <v>5</v>
      </c>
      <c r="BT34">
        <v>6</v>
      </c>
      <c r="BU34">
        <v>6</v>
      </c>
      <c r="BV34">
        <v>6</v>
      </c>
      <c r="BW34">
        <v>6</v>
      </c>
    </row>
    <row r="35" spans="1:75" x14ac:dyDescent="0.25">
      <c r="B35" t="s">
        <v>51</v>
      </c>
      <c r="C35">
        <v>11.55</v>
      </c>
      <c r="D35">
        <v>104.91670000000001</v>
      </c>
      <c r="E35">
        <v>0</v>
      </c>
      <c r="F35">
        <v>0</v>
      </c>
      <c r="G35">
        <v>0</v>
      </c>
      <c r="H35">
        <v>0</v>
      </c>
      <c r="I35">
        <v>0</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c r="AR35">
        <v>1</v>
      </c>
      <c r="AS35">
        <v>1</v>
      </c>
      <c r="AT35">
        <v>1</v>
      </c>
      <c r="AU35">
        <v>1</v>
      </c>
      <c r="AV35">
        <v>1</v>
      </c>
      <c r="AW35">
        <v>1</v>
      </c>
      <c r="AX35">
        <v>1</v>
      </c>
      <c r="AY35">
        <v>2</v>
      </c>
      <c r="AZ35">
        <v>2</v>
      </c>
      <c r="BA35">
        <v>2</v>
      </c>
      <c r="BB35">
        <v>3</v>
      </c>
      <c r="BC35">
        <v>3</v>
      </c>
      <c r="BD35">
        <v>5</v>
      </c>
      <c r="BE35">
        <v>7</v>
      </c>
      <c r="BF35">
        <v>7</v>
      </c>
      <c r="BG35">
        <v>7</v>
      </c>
      <c r="BH35">
        <v>33</v>
      </c>
      <c r="BI35">
        <v>35</v>
      </c>
      <c r="BJ35">
        <v>37</v>
      </c>
      <c r="BK35">
        <v>51</v>
      </c>
      <c r="BL35">
        <v>53</v>
      </c>
      <c r="BM35">
        <v>84</v>
      </c>
      <c r="BN35">
        <v>87</v>
      </c>
      <c r="BO35">
        <v>91</v>
      </c>
      <c r="BP35">
        <v>96</v>
      </c>
      <c r="BQ35">
        <v>96</v>
      </c>
      <c r="BR35">
        <v>99</v>
      </c>
      <c r="BS35">
        <v>99</v>
      </c>
      <c r="BT35">
        <v>103</v>
      </c>
      <c r="BU35">
        <v>107</v>
      </c>
      <c r="BV35">
        <v>109</v>
      </c>
      <c r="BW35">
        <v>109</v>
      </c>
    </row>
    <row r="36" spans="1:75" x14ac:dyDescent="0.25">
      <c r="B36" t="s">
        <v>126</v>
      </c>
      <c r="C36">
        <v>3.8479999999999999</v>
      </c>
      <c r="D36">
        <v>11.5021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1</v>
      </c>
      <c r="AX36">
        <v>1</v>
      </c>
      <c r="AY36">
        <v>2</v>
      </c>
      <c r="AZ36">
        <v>2</v>
      </c>
      <c r="BA36">
        <v>2</v>
      </c>
      <c r="BB36">
        <v>2</v>
      </c>
      <c r="BC36">
        <v>2</v>
      </c>
      <c r="BD36">
        <v>2</v>
      </c>
      <c r="BE36">
        <v>2</v>
      </c>
      <c r="BF36">
        <v>2</v>
      </c>
      <c r="BG36">
        <v>4</v>
      </c>
      <c r="BH36">
        <v>10</v>
      </c>
      <c r="BI36">
        <v>10</v>
      </c>
      <c r="BJ36">
        <v>13</v>
      </c>
      <c r="BK36">
        <v>20</v>
      </c>
      <c r="BL36">
        <v>27</v>
      </c>
      <c r="BM36">
        <v>40</v>
      </c>
      <c r="BN36">
        <v>56</v>
      </c>
      <c r="BO36">
        <v>66</v>
      </c>
      <c r="BP36">
        <v>75</v>
      </c>
      <c r="BQ36">
        <v>75</v>
      </c>
      <c r="BR36">
        <v>91</v>
      </c>
      <c r="BS36">
        <v>91</v>
      </c>
      <c r="BT36">
        <v>139</v>
      </c>
      <c r="BU36">
        <v>139</v>
      </c>
      <c r="BV36">
        <v>193</v>
      </c>
      <c r="BW36">
        <v>233</v>
      </c>
    </row>
    <row r="37" spans="1:75" x14ac:dyDescent="0.25">
      <c r="A37" t="s">
        <v>142</v>
      </c>
      <c r="B37" t="s">
        <v>46</v>
      </c>
      <c r="C37">
        <v>53.933300000000003</v>
      </c>
      <c r="D37">
        <v>-116.5765</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1</v>
      </c>
      <c r="AX37">
        <v>2</v>
      </c>
      <c r="AY37">
        <v>4</v>
      </c>
      <c r="AZ37">
        <v>7</v>
      </c>
      <c r="BA37">
        <v>7</v>
      </c>
      <c r="BB37">
        <v>19</v>
      </c>
      <c r="BC37">
        <v>19</v>
      </c>
      <c r="BD37">
        <v>29</v>
      </c>
      <c r="BE37">
        <v>29</v>
      </c>
      <c r="BF37">
        <v>39</v>
      </c>
      <c r="BG37">
        <v>56</v>
      </c>
      <c r="BH37">
        <v>74</v>
      </c>
      <c r="BI37">
        <v>97</v>
      </c>
      <c r="BJ37">
        <v>119</v>
      </c>
      <c r="BK37">
        <v>146</v>
      </c>
      <c r="BL37">
        <v>195</v>
      </c>
      <c r="BM37">
        <v>259</v>
      </c>
      <c r="BN37">
        <v>301</v>
      </c>
      <c r="BO37">
        <v>359</v>
      </c>
      <c r="BP37">
        <v>358</v>
      </c>
      <c r="BQ37">
        <v>486</v>
      </c>
      <c r="BR37">
        <v>542</v>
      </c>
      <c r="BS37">
        <v>542</v>
      </c>
      <c r="BT37">
        <v>621</v>
      </c>
      <c r="BU37">
        <v>661</v>
      </c>
      <c r="BV37">
        <v>690</v>
      </c>
      <c r="BW37">
        <v>754</v>
      </c>
    </row>
    <row r="38" spans="1:75" x14ac:dyDescent="0.25">
      <c r="A38" t="s">
        <v>45</v>
      </c>
      <c r="B38" t="s">
        <v>46</v>
      </c>
      <c r="C38">
        <v>49.282699999999998</v>
      </c>
      <c r="D38">
        <v>-123.1207</v>
      </c>
      <c r="E38">
        <v>0</v>
      </c>
      <c r="F38">
        <v>0</v>
      </c>
      <c r="G38">
        <v>0</v>
      </c>
      <c r="H38">
        <v>0</v>
      </c>
      <c r="I38">
        <v>0</v>
      </c>
      <c r="J38">
        <v>0</v>
      </c>
      <c r="K38">
        <v>1</v>
      </c>
      <c r="L38">
        <v>1</v>
      </c>
      <c r="M38">
        <v>1</v>
      </c>
      <c r="N38">
        <v>1</v>
      </c>
      <c r="O38">
        <v>1</v>
      </c>
      <c r="P38">
        <v>1</v>
      </c>
      <c r="Q38">
        <v>1</v>
      </c>
      <c r="R38">
        <v>1</v>
      </c>
      <c r="S38">
        <v>2</v>
      </c>
      <c r="T38">
        <v>2</v>
      </c>
      <c r="U38">
        <v>4</v>
      </c>
      <c r="V38">
        <v>4</v>
      </c>
      <c r="W38">
        <v>4</v>
      </c>
      <c r="X38">
        <v>4</v>
      </c>
      <c r="Y38">
        <v>4</v>
      </c>
      <c r="Z38">
        <v>4</v>
      </c>
      <c r="AA38">
        <v>4</v>
      </c>
      <c r="AB38">
        <v>4</v>
      </c>
      <c r="AC38">
        <v>4</v>
      </c>
      <c r="AD38">
        <v>4</v>
      </c>
      <c r="AE38">
        <v>5</v>
      </c>
      <c r="AF38">
        <v>5</v>
      </c>
      <c r="AG38">
        <v>5</v>
      </c>
      <c r="AH38">
        <v>5</v>
      </c>
      <c r="AI38">
        <v>6</v>
      </c>
      <c r="AJ38">
        <v>6</v>
      </c>
      <c r="AK38">
        <v>6</v>
      </c>
      <c r="AL38">
        <v>6</v>
      </c>
      <c r="AM38">
        <v>7</v>
      </c>
      <c r="AN38">
        <v>7</v>
      </c>
      <c r="AO38">
        <v>7</v>
      </c>
      <c r="AP38">
        <v>7</v>
      </c>
      <c r="AQ38">
        <v>8</v>
      </c>
      <c r="AR38">
        <v>8</v>
      </c>
      <c r="AS38">
        <v>8</v>
      </c>
      <c r="AT38">
        <v>9</v>
      </c>
      <c r="AU38">
        <v>12</v>
      </c>
      <c r="AV38">
        <v>13</v>
      </c>
      <c r="AW38">
        <v>21</v>
      </c>
      <c r="AX38">
        <v>21</v>
      </c>
      <c r="AY38">
        <v>27</v>
      </c>
      <c r="AZ38">
        <v>32</v>
      </c>
      <c r="BA38">
        <v>32</v>
      </c>
      <c r="BB38">
        <v>39</v>
      </c>
      <c r="BC38">
        <v>46</v>
      </c>
      <c r="BD38">
        <v>64</v>
      </c>
      <c r="BE38">
        <v>64</v>
      </c>
      <c r="BF38">
        <v>73</v>
      </c>
      <c r="BG38">
        <v>103</v>
      </c>
      <c r="BH38">
        <v>103</v>
      </c>
      <c r="BI38">
        <v>186</v>
      </c>
      <c r="BJ38">
        <v>231</v>
      </c>
      <c r="BK38">
        <v>271</v>
      </c>
      <c r="BL38">
        <v>424</v>
      </c>
      <c r="BM38">
        <v>424</v>
      </c>
      <c r="BN38">
        <v>472</v>
      </c>
      <c r="BO38">
        <v>617</v>
      </c>
      <c r="BP38">
        <v>617</v>
      </c>
      <c r="BQ38">
        <v>725</v>
      </c>
      <c r="BR38">
        <v>725</v>
      </c>
      <c r="BS38">
        <v>884</v>
      </c>
      <c r="BT38">
        <v>884</v>
      </c>
      <c r="BU38">
        <v>970</v>
      </c>
      <c r="BV38">
        <v>1013</v>
      </c>
      <c r="BW38">
        <v>1013</v>
      </c>
    </row>
    <row r="39" spans="1:75" x14ac:dyDescent="0.25">
      <c r="A39" t="s">
        <v>148</v>
      </c>
      <c r="B39" t="s">
        <v>46</v>
      </c>
      <c r="C39">
        <v>37.648899999999998</v>
      </c>
      <c r="D39">
        <v>-122.66549999999999</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2</v>
      </c>
      <c r="BE39">
        <v>2</v>
      </c>
      <c r="BF39">
        <v>2</v>
      </c>
      <c r="BG39">
        <v>2</v>
      </c>
      <c r="BH39">
        <v>8</v>
      </c>
      <c r="BI39">
        <v>9</v>
      </c>
      <c r="BJ39">
        <v>9</v>
      </c>
      <c r="BK39">
        <v>10</v>
      </c>
      <c r="BL39">
        <v>10</v>
      </c>
      <c r="BM39">
        <v>13</v>
      </c>
      <c r="BN39">
        <v>13</v>
      </c>
      <c r="BO39">
        <v>13</v>
      </c>
      <c r="BP39">
        <v>13</v>
      </c>
      <c r="BQ39">
        <v>13</v>
      </c>
      <c r="BR39">
        <v>13</v>
      </c>
      <c r="BS39">
        <v>13</v>
      </c>
      <c r="BT39">
        <v>13</v>
      </c>
      <c r="BU39">
        <v>13</v>
      </c>
      <c r="BV39">
        <v>13</v>
      </c>
      <c r="BW39">
        <v>13</v>
      </c>
    </row>
    <row r="40" spans="1:75" x14ac:dyDescent="0.25">
      <c r="A40" t="s">
        <v>201</v>
      </c>
      <c r="B40" t="s">
        <v>46</v>
      </c>
      <c r="C40">
        <v>53.760899999999999</v>
      </c>
      <c r="D40">
        <v>-98.813900000000004</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4</v>
      </c>
      <c r="BE40">
        <v>4</v>
      </c>
      <c r="BF40">
        <v>4</v>
      </c>
      <c r="BG40">
        <v>7</v>
      </c>
      <c r="BH40">
        <v>8</v>
      </c>
      <c r="BI40">
        <v>15</v>
      </c>
      <c r="BJ40">
        <v>17</v>
      </c>
      <c r="BK40">
        <v>17</v>
      </c>
      <c r="BL40">
        <v>18</v>
      </c>
      <c r="BM40">
        <v>20</v>
      </c>
      <c r="BN40">
        <v>20</v>
      </c>
      <c r="BO40">
        <v>21</v>
      </c>
      <c r="BP40">
        <v>35</v>
      </c>
      <c r="BQ40">
        <v>36</v>
      </c>
      <c r="BR40">
        <v>39</v>
      </c>
      <c r="BS40">
        <v>64</v>
      </c>
      <c r="BT40">
        <v>72</v>
      </c>
      <c r="BU40">
        <v>96</v>
      </c>
      <c r="BV40">
        <v>103</v>
      </c>
      <c r="BW40">
        <v>127</v>
      </c>
    </row>
    <row r="41" spans="1:75" x14ac:dyDescent="0.25">
      <c r="A41" t="s">
        <v>182</v>
      </c>
      <c r="B41" t="s">
        <v>46</v>
      </c>
      <c r="C41">
        <v>46.565300000000001</v>
      </c>
      <c r="D41">
        <v>-66.4619</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1</v>
      </c>
      <c r="BC41">
        <v>1</v>
      </c>
      <c r="BD41">
        <v>1</v>
      </c>
      <c r="BE41">
        <v>1</v>
      </c>
      <c r="BF41">
        <v>2</v>
      </c>
      <c r="BG41">
        <v>6</v>
      </c>
      <c r="BH41">
        <v>8</v>
      </c>
      <c r="BI41">
        <v>11</v>
      </c>
      <c r="BJ41">
        <v>11</v>
      </c>
      <c r="BK41">
        <v>11</v>
      </c>
      <c r="BL41">
        <v>17</v>
      </c>
      <c r="BM41">
        <v>17</v>
      </c>
      <c r="BN41">
        <v>17</v>
      </c>
      <c r="BO41">
        <v>18</v>
      </c>
      <c r="BP41">
        <v>18</v>
      </c>
      <c r="BQ41">
        <v>33</v>
      </c>
      <c r="BR41">
        <v>45</v>
      </c>
      <c r="BS41">
        <v>51</v>
      </c>
      <c r="BT41">
        <v>66</v>
      </c>
      <c r="BU41">
        <v>68</v>
      </c>
      <c r="BV41">
        <v>70</v>
      </c>
      <c r="BW41">
        <v>81</v>
      </c>
    </row>
    <row r="42" spans="1:75" x14ac:dyDescent="0.25">
      <c r="A42" t="s">
        <v>514</v>
      </c>
      <c r="B42" t="s">
        <v>46</v>
      </c>
      <c r="C42">
        <v>53.1355</v>
      </c>
      <c r="D42">
        <v>-57.660400000000003</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1</v>
      </c>
      <c r="BG42">
        <v>1</v>
      </c>
      <c r="BH42">
        <v>3</v>
      </c>
      <c r="BI42">
        <v>3</v>
      </c>
      <c r="BJ42">
        <v>3</v>
      </c>
      <c r="BK42">
        <v>4</v>
      </c>
      <c r="BL42">
        <v>6</v>
      </c>
      <c r="BM42">
        <v>9</v>
      </c>
      <c r="BN42">
        <v>24</v>
      </c>
      <c r="BO42">
        <v>35</v>
      </c>
      <c r="BP42">
        <v>35</v>
      </c>
      <c r="BQ42">
        <v>82</v>
      </c>
      <c r="BR42">
        <v>102</v>
      </c>
      <c r="BS42">
        <v>120</v>
      </c>
      <c r="BT42">
        <v>135</v>
      </c>
      <c r="BU42">
        <v>148</v>
      </c>
      <c r="BV42">
        <v>152</v>
      </c>
      <c r="BW42">
        <v>175</v>
      </c>
    </row>
    <row r="43" spans="1:75" x14ac:dyDescent="0.25">
      <c r="A43" t="s">
        <v>939</v>
      </c>
      <c r="B43" t="s">
        <v>46</v>
      </c>
      <c r="C43">
        <v>44.681999999999903</v>
      </c>
      <c r="D43">
        <v>-63.744300000000003</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5</v>
      </c>
      <c r="BH43">
        <v>7</v>
      </c>
      <c r="BI43">
        <v>12</v>
      </c>
      <c r="BJ43">
        <v>14</v>
      </c>
      <c r="BK43">
        <v>15</v>
      </c>
      <c r="BL43">
        <v>21</v>
      </c>
      <c r="BM43">
        <v>28</v>
      </c>
      <c r="BN43">
        <v>41</v>
      </c>
      <c r="BO43">
        <v>51</v>
      </c>
      <c r="BP43">
        <v>68</v>
      </c>
      <c r="BQ43">
        <v>73</v>
      </c>
      <c r="BR43">
        <v>90</v>
      </c>
      <c r="BS43">
        <v>110</v>
      </c>
      <c r="BT43">
        <v>122</v>
      </c>
      <c r="BU43">
        <v>127</v>
      </c>
      <c r="BV43">
        <v>147</v>
      </c>
      <c r="BW43">
        <v>173</v>
      </c>
    </row>
    <row r="44" spans="1:75" x14ac:dyDescent="0.25">
      <c r="A44" t="s">
        <v>141</v>
      </c>
      <c r="B44" t="s">
        <v>46</v>
      </c>
      <c r="C44">
        <v>51.253799999999998</v>
      </c>
      <c r="D44">
        <v>-85.3232</v>
      </c>
      <c r="E44">
        <v>0</v>
      </c>
      <c r="F44">
        <v>0</v>
      </c>
      <c r="G44">
        <v>0</v>
      </c>
      <c r="H44">
        <v>0</v>
      </c>
      <c r="I44">
        <v>1</v>
      </c>
      <c r="J44">
        <v>1</v>
      </c>
      <c r="K44">
        <v>1</v>
      </c>
      <c r="L44">
        <v>1</v>
      </c>
      <c r="M44">
        <v>1</v>
      </c>
      <c r="N44">
        <v>3</v>
      </c>
      <c r="O44">
        <v>3</v>
      </c>
      <c r="P44">
        <v>3</v>
      </c>
      <c r="Q44">
        <v>3</v>
      </c>
      <c r="R44">
        <v>3</v>
      </c>
      <c r="S44">
        <v>3</v>
      </c>
      <c r="T44">
        <v>3</v>
      </c>
      <c r="U44">
        <v>3</v>
      </c>
      <c r="V44">
        <v>3</v>
      </c>
      <c r="W44">
        <v>3</v>
      </c>
      <c r="X44">
        <v>3</v>
      </c>
      <c r="Y44">
        <v>3</v>
      </c>
      <c r="Z44">
        <v>3</v>
      </c>
      <c r="AA44">
        <v>3</v>
      </c>
      <c r="AB44">
        <v>3</v>
      </c>
      <c r="AC44">
        <v>3</v>
      </c>
      <c r="AD44">
        <v>3</v>
      </c>
      <c r="AE44">
        <v>3</v>
      </c>
      <c r="AF44">
        <v>3</v>
      </c>
      <c r="AG44">
        <v>3</v>
      </c>
      <c r="AH44">
        <v>3</v>
      </c>
      <c r="AI44">
        <v>3</v>
      </c>
      <c r="AJ44">
        <v>3</v>
      </c>
      <c r="AK44">
        <v>3</v>
      </c>
      <c r="AL44">
        <v>4</v>
      </c>
      <c r="AM44">
        <v>4</v>
      </c>
      <c r="AN44">
        <v>4</v>
      </c>
      <c r="AO44">
        <v>6</v>
      </c>
      <c r="AP44">
        <v>6</v>
      </c>
      <c r="AQ44">
        <v>11</v>
      </c>
      <c r="AR44">
        <v>15</v>
      </c>
      <c r="AS44">
        <v>18</v>
      </c>
      <c r="AT44">
        <v>20</v>
      </c>
      <c r="AU44">
        <v>20</v>
      </c>
      <c r="AV44">
        <v>22</v>
      </c>
      <c r="AW44">
        <v>25</v>
      </c>
      <c r="AX44">
        <v>28</v>
      </c>
      <c r="AY44">
        <v>29</v>
      </c>
      <c r="AZ44">
        <v>34</v>
      </c>
      <c r="BA44">
        <v>36</v>
      </c>
      <c r="BB44">
        <v>41</v>
      </c>
      <c r="BC44">
        <v>42</v>
      </c>
      <c r="BD44">
        <v>74</v>
      </c>
      <c r="BE44">
        <v>79</v>
      </c>
      <c r="BF44">
        <v>104</v>
      </c>
      <c r="BG44">
        <v>177</v>
      </c>
      <c r="BH44">
        <v>185</v>
      </c>
      <c r="BI44">
        <v>221</v>
      </c>
      <c r="BJ44">
        <v>257</v>
      </c>
      <c r="BK44">
        <v>308</v>
      </c>
      <c r="BL44">
        <v>377</v>
      </c>
      <c r="BM44">
        <v>425</v>
      </c>
      <c r="BN44">
        <v>503</v>
      </c>
      <c r="BO44">
        <v>588</v>
      </c>
      <c r="BP44">
        <v>688</v>
      </c>
      <c r="BQ44">
        <v>858</v>
      </c>
      <c r="BR44">
        <v>994</v>
      </c>
      <c r="BS44">
        <v>1144</v>
      </c>
      <c r="BT44">
        <v>1355</v>
      </c>
      <c r="BU44">
        <v>1706</v>
      </c>
      <c r="BV44">
        <v>1966</v>
      </c>
      <c r="BW44">
        <v>2392</v>
      </c>
    </row>
    <row r="45" spans="1:75" x14ac:dyDescent="0.25">
      <c r="A45" t="s">
        <v>515</v>
      </c>
      <c r="B45" t="s">
        <v>46</v>
      </c>
      <c r="C45">
        <v>46.5107</v>
      </c>
      <c r="D45">
        <v>-63.416800000000002</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1</v>
      </c>
      <c r="BG45">
        <v>1</v>
      </c>
      <c r="BH45">
        <v>1</v>
      </c>
      <c r="BI45">
        <v>1</v>
      </c>
      <c r="BJ45">
        <v>2</v>
      </c>
      <c r="BK45">
        <v>2</v>
      </c>
      <c r="BL45">
        <v>2</v>
      </c>
      <c r="BM45">
        <v>3</v>
      </c>
      <c r="BN45">
        <v>3</v>
      </c>
      <c r="BO45">
        <v>3</v>
      </c>
      <c r="BP45">
        <v>5</v>
      </c>
      <c r="BQ45">
        <v>5</v>
      </c>
      <c r="BR45">
        <v>9</v>
      </c>
      <c r="BS45">
        <v>11</v>
      </c>
      <c r="BT45">
        <v>11</v>
      </c>
      <c r="BU45">
        <v>18</v>
      </c>
      <c r="BV45">
        <v>21</v>
      </c>
      <c r="BW45">
        <v>21</v>
      </c>
    </row>
    <row r="46" spans="1:75" x14ac:dyDescent="0.25">
      <c r="A46" t="s">
        <v>143</v>
      </c>
      <c r="B46" t="s">
        <v>46</v>
      </c>
      <c r="C46">
        <v>52.939900000000002</v>
      </c>
      <c r="D46">
        <v>-73.549099999999996</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1</v>
      </c>
      <c r="AQ46">
        <v>1</v>
      </c>
      <c r="AR46">
        <v>1</v>
      </c>
      <c r="AS46">
        <v>1</v>
      </c>
      <c r="AT46">
        <v>1</v>
      </c>
      <c r="AU46">
        <v>1</v>
      </c>
      <c r="AV46">
        <v>2</v>
      </c>
      <c r="AW46">
        <v>2</v>
      </c>
      <c r="AX46">
        <v>3</v>
      </c>
      <c r="AY46">
        <v>4</v>
      </c>
      <c r="AZ46">
        <v>4</v>
      </c>
      <c r="BA46">
        <v>4</v>
      </c>
      <c r="BB46">
        <v>8</v>
      </c>
      <c r="BC46">
        <v>9</v>
      </c>
      <c r="BD46">
        <v>17</v>
      </c>
      <c r="BE46">
        <v>17</v>
      </c>
      <c r="BF46">
        <v>24</v>
      </c>
      <c r="BG46">
        <v>50</v>
      </c>
      <c r="BH46">
        <v>74</v>
      </c>
      <c r="BI46">
        <v>94</v>
      </c>
      <c r="BJ46">
        <v>121</v>
      </c>
      <c r="BK46">
        <v>139</v>
      </c>
      <c r="BL46">
        <v>181</v>
      </c>
      <c r="BM46">
        <v>219</v>
      </c>
      <c r="BN46">
        <v>628</v>
      </c>
      <c r="BO46">
        <v>1013</v>
      </c>
      <c r="BP46">
        <v>1342</v>
      </c>
      <c r="BQ46">
        <v>1632</v>
      </c>
      <c r="BR46">
        <v>2024</v>
      </c>
      <c r="BS46">
        <v>2498</v>
      </c>
      <c r="BT46">
        <v>2840</v>
      </c>
      <c r="BU46">
        <v>3430</v>
      </c>
      <c r="BV46">
        <v>4162</v>
      </c>
      <c r="BW46">
        <v>4611</v>
      </c>
    </row>
    <row r="47" spans="1:75" x14ac:dyDescent="0.25">
      <c r="A47" t="s">
        <v>202</v>
      </c>
      <c r="B47" t="s">
        <v>46</v>
      </c>
      <c r="C47">
        <v>52.939900000000002</v>
      </c>
      <c r="D47">
        <v>-106.4509</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2</v>
      </c>
      <c r="BE47">
        <v>2</v>
      </c>
      <c r="BF47">
        <v>2</v>
      </c>
      <c r="BG47">
        <v>7</v>
      </c>
      <c r="BH47">
        <v>7</v>
      </c>
      <c r="BI47">
        <v>8</v>
      </c>
      <c r="BJ47">
        <v>16</v>
      </c>
      <c r="BK47">
        <v>20</v>
      </c>
      <c r="BL47">
        <v>26</v>
      </c>
      <c r="BM47">
        <v>52</v>
      </c>
      <c r="BN47">
        <v>66</v>
      </c>
      <c r="BO47">
        <v>72</v>
      </c>
      <c r="BP47">
        <v>72</v>
      </c>
      <c r="BQ47">
        <v>95</v>
      </c>
      <c r="BR47">
        <v>95</v>
      </c>
      <c r="BS47">
        <v>134</v>
      </c>
      <c r="BT47">
        <v>156</v>
      </c>
      <c r="BU47">
        <v>156</v>
      </c>
      <c r="BV47">
        <v>184</v>
      </c>
      <c r="BW47">
        <v>193</v>
      </c>
    </row>
    <row r="48" spans="1:75" x14ac:dyDescent="0.25">
      <c r="B48" t="s">
        <v>516</v>
      </c>
      <c r="C48">
        <v>6.6111000000000004</v>
      </c>
      <c r="D48">
        <v>20.939399999999999</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1</v>
      </c>
      <c r="BG48">
        <v>1</v>
      </c>
      <c r="BH48">
        <v>1</v>
      </c>
      <c r="BI48">
        <v>1</v>
      </c>
      <c r="BJ48">
        <v>1</v>
      </c>
      <c r="BK48">
        <v>3</v>
      </c>
      <c r="BL48">
        <v>3</v>
      </c>
      <c r="BM48">
        <v>3</v>
      </c>
      <c r="BN48">
        <v>3</v>
      </c>
      <c r="BO48">
        <v>3</v>
      </c>
      <c r="BP48">
        <v>3</v>
      </c>
      <c r="BQ48">
        <v>3</v>
      </c>
      <c r="BR48">
        <v>3</v>
      </c>
      <c r="BS48">
        <v>3</v>
      </c>
      <c r="BT48">
        <v>3</v>
      </c>
      <c r="BU48">
        <v>3</v>
      </c>
      <c r="BV48">
        <v>3</v>
      </c>
      <c r="BW48">
        <v>3</v>
      </c>
    </row>
    <row r="49" spans="1:75" x14ac:dyDescent="0.25">
      <c r="B49" t="s">
        <v>1016</v>
      </c>
      <c r="C49">
        <v>15.4542</v>
      </c>
      <c r="D49">
        <v>18.732199999999999</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1</v>
      </c>
      <c r="BK49">
        <v>1</v>
      </c>
      <c r="BL49">
        <v>1</v>
      </c>
      <c r="BM49">
        <v>1</v>
      </c>
      <c r="BN49">
        <v>1</v>
      </c>
      <c r="BO49">
        <v>3</v>
      </c>
      <c r="BP49">
        <v>3</v>
      </c>
      <c r="BQ49">
        <v>3</v>
      </c>
      <c r="BR49">
        <v>3</v>
      </c>
      <c r="BS49">
        <v>3</v>
      </c>
      <c r="BT49">
        <v>3</v>
      </c>
      <c r="BU49">
        <v>5</v>
      </c>
      <c r="BV49">
        <v>7</v>
      </c>
      <c r="BW49">
        <v>7</v>
      </c>
    </row>
    <row r="50" spans="1:75" x14ac:dyDescent="0.25">
      <c r="B50" t="s">
        <v>112</v>
      </c>
      <c r="C50">
        <v>-35.6751</v>
      </c>
      <c r="D50">
        <v>-71.543000000000006</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1</v>
      </c>
      <c r="AU50">
        <v>1</v>
      </c>
      <c r="AV50">
        <v>4</v>
      </c>
      <c r="AW50">
        <v>4</v>
      </c>
      <c r="AX50">
        <v>4</v>
      </c>
      <c r="AY50">
        <v>8</v>
      </c>
      <c r="AZ50">
        <v>8</v>
      </c>
      <c r="BA50">
        <v>13</v>
      </c>
      <c r="BB50">
        <v>23</v>
      </c>
      <c r="BC50">
        <v>23</v>
      </c>
      <c r="BD50">
        <v>43</v>
      </c>
      <c r="BE50">
        <v>61</v>
      </c>
      <c r="BF50">
        <v>74</v>
      </c>
      <c r="BG50">
        <v>155</v>
      </c>
      <c r="BH50">
        <v>201</v>
      </c>
      <c r="BI50">
        <v>238</v>
      </c>
      <c r="BJ50">
        <v>238</v>
      </c>
      <c r="BK50">
        <v>434</v>
      </c>
      <c r="BL50">
        <v>537</v>
      </c>
      <c r="BM50">
        <v>632</v>
      </c>
      <c r="BN50">
        <v>746</v>
      </c>
      <c r="BO50">
        <v>922</v>
      </c>
      <c r="BP50">
        <v>1142</v>
      </c>
      <c r="BQ50">
        <v>1306</v>
      </c>
      <c r="BR50">
        <v>1610</v>
      </c>
      <c r="BS50">
        <v>1909</v>
      </c>
      <c r="BT50">
        <v>2139</v>
      </c>
      <c r="BU50">
        <v>2449</v>
      </c>
      <c r="BV50">
        <v>2738</v>
      </c>
      <c r="BW50">
        <v>3031</v>
      </c>
    </row>
    <row r="51" spans="1:75" x14ac:dyDescent="0.25">
      <c r="A51" t="s">
        <v>4</v>
      </c>
      <c r="B51" t="s">
        <v>176</v>
      </c>
      <c r="C51">
        <v>31.825700000000001</v>
      </c>
      <c r="D51">
        <v>117.2264</v>
      </c>
      <c r="E51">
        <v>1</v>
      </c>
      <c r="F51">
        <v>9</v>
      </c>
      <c r="G51">
        <v>15</v>
      </c>
      <c r="H51">
        <v>39</v>
      </c>
      <c r="I51">
        <v>60</v>
      </c>
      <c r="J51">
        <v>70</v>
      </c>
      <c r="K51">
        <v>106</v>
      </c>
      <c r="L51">
        <v>152</v>
      </c>
      <c r="M51">
        <v>200</v>
      </c>
      <c r="N51">
        <v>237</v>
      </c>
      <c r="O51">
        <v>297</v>
      </c>
      <c r="P51">
        <v>340</v>
      </c>
      <c r="Q51">
        <v>408</v>
      </c>
      <c r="R51">
        <v>480</v>
      </c>
      <c r="S51">
        <v>530</v>
      </c>
      <c r="T51">
        <v>591</v>
      </c>
      <c r="U51">
        <v>665</v>
      </c>
      <c r="V51">
        <v>733</v>
      </c>
      <c r="W51">
        <v>779</v>
      </c>
      <c r="X51">
        <v>830</v>
      </c>
      <c r="Y51">
        <v>860</v>
      </c>
      <c r="Z51">
        <v>889</v>
      </c>
      <c r="AA51">
        <v>910</v>
      </c>
      <c r="AB51">
        <v>934</v>
      </c>
      <c r="AC51">
        <v>950</v>
      </c>
      <c r="AD51">
        <v>962</v>
      </c>
      <c r="AE51">
        <v>973</v>
      </c>
      <c r="AF51">
        <v>982</v>
      </c>
      <c r="AG51">
        <v>986</v>
      </c>
      <c r="AH51">
        <v>987</v>
      </c>
      <c r="AI51">
        <v>988</v>
      </c>
      <c r="AJ51">
        <v>989</v>
      </c>
      <c r="AK51">
        <v>989</v>
      </c>
      <c r="AL51">
        <v>989</v>
      </c>
      <c r="AM51">
        <v>989</v>
      </c>
      <c r="AN51">
        <v>989</v>
      </c>
      <c r="AO51">
        <v>989</v>
      </c>
      <c r="AP51">
        <v>990</v>
      </c>
      <c r="AQ51">
        <v>990</v>
      </c>
      <c r="AR51">
        <v>990</v>
      </c>
      <c r="AS51">
        <v>990</v>
      </c>
      <c r="AT51">
        <v>990</v>
      </c>
      <c r="AU51">
        <v>990</v>
      </c>
      <c r="AV51">
        <v>990</v>
      </c>
      <c r="AW51">
        <v>990</v>
      </c>
      <c r="AX51">
        <v>990</v>
      </c>
      <c r="AY51">
        <v>990</v>
      </c>
      <c r="AZ51">
        <v>990</v>
      </c>
      <c r="BA51">
        <v>990</v>
      </c>
      <c r="BB51">
        <v>990</v>
      </c>
      <c r="BC51">
        <v>990</v>
      </c>
      <c r="BD51">
        <v>990</v>
      </c>
      <c r="BE51">
        <v>990</v>
      </c>
      <c r="BF51">
        <v>990</v>
      </c>
      <c r="BG51">
        <v>990</v>
      </c>
      <c r="BH51">
        <v>990</v>
      </c>
      <c r="BI51">
        <v>990</v>
      </c>
      <c r="BJ51">
        <v>990</v>
      </c>
      <c r="BK51">
        <v>990</v>
      </c>
      <c r="BL51">
        <v>990</v>
      </c>
      <c r="BM51">
        <v>990</v>
      </c>
      <c r="BN51">
        <v>990</v>
      </c>
      <c r="BO51">
        <v>990</v>
      </c>
      <c r="BP51">
        <v>990</v>
      </c>
      <c r="BQ51">
        <v>990</v>
      </c>
      <c r="BR51">
        <v>990</v>
      </c>
      <c r="BS51">
        <v>990</v>
      </c>
      <c r="BT51">
        <v>990</v>
      </c>
      <c r="BU51">
        <v>990</v>
      </c>
      <c r="BV51">
        <v>990</v>
      </c>
      <c r="BW51">
        <v>990</v>
      </c>
    </row>
    <row r="52" spans="1:75" x14ac:dyDescent="0.25">
      <c r="A52" t="s">
        <v>5</v>
      </c>
      <c r="B52" t="s">
        <v>176</v>
      </c>
      <c r="C52">
        <v>40.182400000000001</v>
      </c>
      <c r="D52">
        <v>116.41419999999999</v>
      </c>
      <c r="E52">
        <v>14</v>
      </c>
      <c r="F52">
        <v>22</v>
      </c>
      <c r="G52">
        <v>36</v>
      </c>
      <c r="H52">
        <v>41</v>
      </c>
      <c r="I52">
        <v>68</v>
      </c>
      <c r="J52">
        <v>80</v>
      </c>
      <c r="K52">
        <v>91</v>
      </c>
      <c r="L52">
        <v>111</v>
      </c>
      <c r="M52">
        <v>114</v>
      </c>
      <c r="N52">
        <v>139</v>
      </c>
      <c r="O52">
        <v>168</v>
      </c>
      <c r="P52">
        <v>191</v>
      </c>
      <c r="Q52">
        <v>212</v>
      </c>
      <c r="R52">
        <v>228</v>
      </c>
      <c r="S52">
        <v>253</v>
      </c>
      <c r="T52">
        <v>274</v>
      </c>
      <c r="U52">
        <v>297</v>
      </c>
      <c r="V52">
        <v>315</v>
      </c>
      <c r="W52">
        <v>326</v>
      </c>
      <c r="X52">
        <v>337</v>
      </c>
      <c r="Y52">
        <v>342</v>
      </c>
      <c r="Z52">
        <v>352</v>
      </c>
      <c r="AA52">
        <v>366</v>
      </c>
      <c r="AB52">
        <v>372</v>
      </c>
      <c r="AC52">
        <v>375</v>
      </c>
      <c r="AD52">
        <v>380</v>
      </c>
      <c r="AE52">
        <v>381</v>
      </c>
      <c r="AF52">
        <v>387</v>
      </c>
      <c r="AG52">
        <v>393</v>
      </c>
      <c r="AH52">
        <v>395</v>
      </c>
      <c r="AI52">
        <v>396</v>
      </c>
      <c r="AJ52">
        <v>399</v>
      </c>
      <c r="AK52">
        <v>399</v>
      </c>
      <c r="AL52">
        <v>399</v>
      </c>
      <c r="AM52">
        <v>400</v>
      </c>
      <c r="AN52">
        <v>400</v>
      </c>
      <c r="AO52">
        <v>410</v>
      </c>
      <c r="AP52">
        <v>410</v>
      </c>
      <c r="AQ52">
        <v>411</v>
      </c>
      <c r="AR52">
        <v>413</v>
      </c>
      <c r="AS52">
        <v>414</v>
      </c>
      <c r="AT52">
        <v>414</v>
      </c>
      <c r="AU52">
        <v>418</v>
      </c>
      <c r="AV52">
        <v>418</v>
      </c>
      <c r="AW52">
        <v>422</v>
      </c>
      <c r="AX52">
        <v>426</v>
      </c>
      <c r="AY52">
        <v>428</v>
      </c>
      <c r="AZ52">
        <v>428</v>
      </c>
      <c r="BA52">
        <v>429</v>
      </c>
      <c r="BB52">
        <v>435</v>
      </c>
      <c r="BC52">
        <v>435</v>
      </c>
      <c r="BD52">
        <v>436</v>
      </c>
      <c r="BE52">
        <v>437</v>
      </c>
      <c r="BF52">
        <v>442</v>
      </c>
      <c r="BG52">
        <v>452</v>
      </c>
      <c r="BH52">
        <v>456</v>
      </c>
      <c r="BI52">
        <v>469</v>
      </c>
      <c r="BJ52">
        <v>480</v>
      </c>
      <c r="BK52">
        <v>491</v>
      </c>
      <c r="BL52">
        <v>504</v>
      </c>
      <c r="BM52">
        <v>522</v>
      </c>
      <c r="BN52">
        <v>537</v>
      </c>
      <c r="BO52">
        <v>558</v>
      </c>
      <c r="BP52">
        <v>561</v>
      </c>
      <c r="BQ52">
        <v>566</v>
      </c>
      <c r="BR52">
        <v>569</v>
      </c>
      <c r="BS52">
        <v>573</v>
      </c>
      <c r="BT52">
        <v>577</v>
      </c>
      <c r="BU52">
        <v>577</v>
      </c>
      <c r="BV52">
        <v>580</v>
      </c>
      <c r="BW52">
        <v>580</v>
      </c>
    </row>
    <row r="53" spans="1:75" x14ac:dyDescent="0.25">
      <c r="A53" t="s">
        <v>6</v>
      </c>
      <c r="B53" t="s">
        <v>176</v>
      </c>
      <c r="C53">
        <v>30.057200000000002</v>
      </c>
      <c r="D53">
        <v>107.874</v>
      </c>
      <c r="E53">
        <v>6</v>
      </c>
      <c r="F53">
        <v>9</v>
      </c>
      <c r="G53">
        <v>27</v>
      </c>
      <c r="H53">
        <v>57</v>
      </c>
      <c r="I53">
        <v>75</v>
      </c>
      <c r="J53">
        <v>110</v>
      </c>
      <c r="K53">
        <v>132</v>
      </c>
      <c r="L53">
        <v>147</v>
      </c>
      <c r="M53">
        <v>182</v>
      </c>
      <c r="N53">
        <v>211</v>
      </c>
      <c r="O53">
        <v>247</v>
      </c>
      <c r="P53">
        <v>300</v>
      </c>
      <c r="Q53">
        <v>337</v>
      </c>
      <c r="R53">
        <v>366</v>
      </c>
      <c r="S53">
        <v>389</v>
      </c>
      <c r="T53">
        <v>411</v>
      </c>
      <c r="U53">
        <v>426</v>
      </c>
      <c r="V53">
        <v>428</v>
      </c>
      <c r="W53">
        <v>468</v>
      </c>
      <c r="X53">
        <v>486</v>
      </c>
      <c r="Y53">
        <v>505</v>
      </c>
      <c r="Z53">
        <v>518</v>
      </c>
      <c r="AA53">
        <v>529</v>
      </c>
      <c r="AB53">
        <v>537</v>
      </c>
      <c r="AC53">
        <v>544</v>
      </c>
      <c r="AD53">
        <v>551</v>
      </c>
      <c r="AE53">
        <v>553</v>
      </c>
      <c r="AF53">
        <v>555</v>
      </c>
      <c r="AG53">
        <v>560</v>
      </c>
      <c r="AH53">
        <v>567</v>
      </c>
      <c r="AI53">
        <v>572</v>
      </c>
      <c r="AJ53">
        <v>573</v>
      </c>
      <c r="AK53">
        <v>575</v>
      </c>
      <c r="AL53">
        <v>576</v>
      </c>
      <c r="AM53">
        <v>576</v>
      </c>
      <c r="AN53">
        <v>576</v>
      </c>
      <c r="AO53">
        <v>576</v>
      </c>
      <c r="AP53">
        <v>576</v>
      </c>
      <c r="AQ53">
        <v>576</v>
      </c>
      <c r="AR53">
        <v>576</v>
      </c>
      <c r="AS53">
        <v>576</v>
      </c>
      <c r="AT53">
        <v>576</v>
      </c>
      <c r="AU53">
        <v>576</v>
      </c>
      <c r="AV53">
        <v>576</v>
      </c>
      <c r="AW53">
        <v>576</v>
      </c>
      <c r="AX53">
        <v>576</v>
      </c>
      <c r="AY53">
        <v>576</v>
      </c>
      <c r="AZ53">
        <v>576</v>
      </c>
      <c r="BA53">
        <v>576</v>
      </c>
      <c r="BB53">
        <v>576</v>
      </c>
      <c r="BC53">
        <v>576</v>
      </c>
      <c r="BD53">
        <v>576</v>
      </c>
      <c r="BE53">
        <v>576</v>
      </c>
      <c r="BF53">
        <v>576</v>
      </c>
      <c r="BG53">
        <v>576</v>
      </c>
      <c r="BH53">
        <v>576</v>
      </c>
      <c r="BI53">
        <v>576</v>
      </c>
      <c r="BJ53">
        <v>576</v>
      </c>
      <c r="BK53">
        <v>576</v>
      </c>
      <c r="BL53">
        <v>576</v>
      </c>
      <c r="BM53">
        <v>577</v>
      </c>
      <c r="BN53">
        <v>578</v>
      </c>
      <c r="BO53">
        <v>578</v>
      </c>
      <c r="BP53">
        <v>578</v>
      </c>
      <c r="BQ53">
        <v>578</v>
      </c>
      <c r="BR53">
        <v>578</v>
      </c>
      <c r="BS53">
        <v>578</v>
      </c>
      <c r="BT53">
        <v>579</v>
      </c>
      <c r="BU53">
        <v>579</v>
      </c>
      <c r="BV53">
        <v>579</v>
      </c>
      <c r="BW53">
        <v>579</v>
      </c>
    </row>
    <row r="54" spans="1:75" x14ac:dyDescent="0.25">
      <c r="A54" t="s">
        <v>7</v>
      </c>
      <c r="B54" t="s">
        <v>176</v>
      </c>
      <c r="C54">
        <v>26.078900000000001</v>
      </c>
      <c r="D54">
        <v>117.98739999999999</v>
      </c>
      <c r="E54">
        <v>1</v>
      </c>
      <c r="F54">
        <v>5</v>
      </c>
      <c r="G54">
        <v>10</v>
      </c>
      <c r="H54">
        <v>18</v>
      </c>
      <c r="I54">
        <v>35</v>
      </c>
      <c r="J54">
        <v>59</v>
      </c>
      <c r="K54">
        <v>80</v>
      </c>
      <c r="L54">
        <v>84</v>
      </c>
      <c r="M54">
        <v>101</v>
      </c>
      <c r="N54">
        <v>120</v>
      </c>
      <c r="O54">
        <v>144</v>
      </c>
      <c r="P54">
        <v>159</v>
      </c>
      <c r="Q54">
        <v>179</v>
      </c>
      <c r="R54">
        <v>194</v>
      </c>
      <c r="S54">
        <v>205</v>
      </c>
      <c r="T54">
        <v>215</v>
      </c>
      <c r="U54">
        <v>224</v>
      </c>
      <c r="V54">
        <v>239</v>
      </c>
      <c r="W54">
        <v>250</v>
      </c>
      <c r="X54">
        <v>261</v>
      </c>
      <c r="Y54">
        <v>267</v>
      </c>
      <c r="Z54">
        <v>272</v>
      </c>
      <c r="AA54">
        <v>279</v>
      </c>
      <c r="AB54">
        <v>281</v>
      </c>
      <c r="AC54">
        <v>285</v>
      </c>
      <c r="AD54">
        <v>287</v>
      </c>
      <c r="AE54">
        <v>290</v>
      </c>
      <c r="AF54">
        <v>292</v>
      </c>
      <c r="AG54">
        <v>293</v>
      </c>
      <c r="AH54">
        <v>293</v>
      </c>
      <c r="AI54">
        <v>293</v>
      </c>
      <c r="AJ54">
        <v>293</v>
      </c>
      <c r="AK54">
        <v>293</v>
      </c>
      <c r="AL54">
        <v>293</v>
      </c>
      <c r="AM54">
        <v>294</v>
      </c>
      <c r="AN54">
        <v>294</v>
      </c>
      <c r="AO54">
        <v>296</v>
      </c>
      <c r="AP54">
        <v>296</v>
      </c>
      <c r="AQ54">
        <v>296</v>
      </c>
      <c r="AR54">
        <v>296</v>
      </c>
      <c r="AS54">
        <v>296</v>
      </c>
      <c r="AT54">
        <v>296</v>
      </c>
      <c r="AU54">
        <v>296</v>
      </c>
      <c r="AV54">
        <v>296</v>
      </c>
      <c r="AW54">
        <v>296</v>
      </c>
      <c r="AX54">
        <v>296</v>
      </c>
      <c r="AY54">
        <v>296</v>
      </c>
      <c r="AZ54">
        <v>296</v>
      </c>
      <c r="BA54">
        <v>296</v>
      </c>
      <c r="BB54">
        <v>296</v>
      </c>
      <c r="BC54">
        <v>296</v>
      </c>
      <c r="BD54">
        <v>296</v>
      </c>
      <c r="BE54">
        <v>296</v>
      </c>
      <c r="BF54">
        <v>296</v>
      </c>
      <c r="BG54">
        <v>296</v>
      </c>
      <c r="BH54">
        <v>296</v>
      </c>
      <c r="BI54">
        <v>296</v>
      </c>
      <c r="BJ54">
        <v>296</v>
      </c>
      <c r="BK54">
        <v>299</v>
      </c>
      <c r="BL54">
        <v>303</v>
      </c>
      <c r="BM54">
        <v>313</v>
      </c>
      <c r="BN54">
        <v>313</v>
      </c>
      <c r="BO54">
        <v>318</v>
      </c>
      <c r="BP54">
        <v>322</v>
      </c>
      <c r="BQ54">
        <v>328</v>
      </c>
      <c r="BR54">
        <v>331</v>
      </c>
      <c r="BS54">
        <v>337</v>
      </c>
      <c r="BT54">
        <v>338</v>
      </c>
      <c r="BU54">
        <v>340</v>
      </c>
      <c r="BV54">
        <v>343</v>
      </c>
      <c r="BW54">
        <v>345</v>
      </c>
    </row>
    <row r="55" spans="1:75" x14ac:dyDescent="0.25">
      <c r="A55" t="s">
        <v>8</v>
      </c>
      <c r="B55" t="s">
        <v>176</v>
      </c>
      <c r="C55">
        <v>37.809899999999999</v>
      </c>
      <c r="D55">
        <v>101.0583</v>
      </c>
      <c r="E55">
        <v>0</v>
      </c>
      <c r="F55">
        <v>2</v>
      </c>
      <c r="G55">
        <v>2</v>
      </c>
      <c r="H55">
        <v>4</v>
      </c>
      <c r="I55">
        <v>7</v>
      </c>
      <c r="J55">
        <v>14</v>
      </c>
      <c r="K55">
        <v>19</v>
      </c>
      <c r="L55">
        <v>24</v>
      </c>
      <c r="M55">
        <v>26</v>
      </c>
      <c r="N55">
        <v>29</v>
      </c>
      <c r="O55">
        <v>40</v>
      </c>
      <c r="P55">
        <v>51</v>
      </c>
      <c r="Q55">
        <v>55</v>
      </c>
      <c r="R55">
        <v>57</v>
      </c>
      <c r="S55">
        <v>62</v>
      </c>
      <c r="T55">
        <v>62</v>
      </c>
      <c r="U55">
        <v>67</v>
      </c>
      <c r="V55">
        <v>79</v>
      </c>
      <c r="W55">
        <v>83</v>
      </c>
      <c r="X55">
        <v>83</v>
      </c>
      <c r="Y55">
        <v>86</v>
      </c>
      <c r="Z55">
        <v>87</v>
      </c>
      <c r="AA55">
        <v>90</v>
      </c>
      <c r="AB55">
        <v>90</v>
      </c>
      <c r="AC55">
        <v>90</v>
      </c>
      <c r="AD55">
        <v>90</v>
      </c>
      <c r="AE55">
        <v>91</v>
      </c>
      <c r="AF55">
        <v>91</v>
      </c>
      <c r="AG55">
        <v>91</v>
      </c>
      <c r="AH55">
        <v>91</v>
      </c>
      <c r="AI55">
        <v>91</v>
      </c>
      <c r="AJ55">
        <v>91</v>
      </c>
      <c r="AK55">
        <v>91</v>
      </c>
      <c r="AL55">
        <v>91</v>
      </c>
      <c r="AM55">
        <v>91</v>
      </c>
      <c r="AN55">
        <v>91</v>
      </c>
      <c r="AO55">
        <v>91</v>
      </c>
      <c r="AP55">
        <v>91</v>
      </c>
      <c r="AQ55">
        <v>91</v>
      </c>
      <c r="AR55">
        <v>91</v>
      </c>
      <c r="AS55">
        <v>91</v>
      </c>
      <c r="AT55">
        <v>91</v>
      </c>
      <c r="AU55">
        <v>91</v>
      </c>
      <c r="AV55">
        <v>102</v>
      </c>
      <c r="AW55">
        <v>119</v>
      </c>
      <c r="AX55">
        <v>120</v>
      </c>
      <c r="AY55">
        <v>124</v>
      </c>
      <c r="AZ55">
        <v>124</v>
      </c>
      <c r="BA55">
        <v>125</v>
      </c>
      <c r="BB55">
        <v>127</v>
      </c>
      <c r="BC55">
        <v>127</v>
      </c>
      <c r="BD55">
        <v>127</v>
      </c>
      <c r="BE55">
        <v>129</v>
      </c>
      <c r="BF55">
        <v>133</v>
      </c>
      <c r="BG55">
        <v>133</v>
      </c>
      <c r="BH55">
        <v>133</v>
      </c>
      <c r="BI55">
        <v>133</v>
      </c>
      <c r="BJ55">
        <v>134</v>
      </c>
      <c r="BK55">
        <v>134</v>
      </c>
      <c r="BL55">
        <v>134</v>
      </c>
      <c r="BM55">
        <v>136</v>
      </c>
      <c r="BN55">
        <v>136</v>
      </c>
      <c r="BO55">
        <v>136</v>
      </c>
      <c r="BP55">
        <v>136</v>
      </c>
      <c r="BQ55">
        <v>136</v>
      </c>
      <c r="BR55">
        <v>136</v>
      </c>
      <c r="BS55">
        <v>136</v>
      </c>
      <c r="BT55">
        <v>138</v>
      </c>
      <c r="BU55">
        <v>138</v>
      </c>
      <c r="BV55">
        <v>138</v>
      </c>
      <c r="BW55">
        <v>138</v>
      </c>
    </row>
    <row r="56" spans="1:75" x14ac:dyDescent="0.25">
      <c r="A56" t="s">
        <v>9</v>
      </c>
      <c r="B56" t="s">
        <v>176</v>
      </c>
      <c r="C56">
        <v>23.341699999999999</v>
      </c>
      <c r="D56">
        <v>113.42440000000001</v>
      </c>
      <c r="E56">
        <v>26</v>
      </c>
      <c r="F56">
        <v>32</v>
      </c>
      <c r="G56">
        <v>53</v>
      </c>
      <c r="H56">
        <v>78</v>
      </c>
      <c r="I56">
        <v>111</v>
      </c>
      <c r="J56">
        <v>151</v>
      </c>
      <c r="K56">
        <v>207</v>
      </c>
      <c r="L56">
        <v>277</v>
      </c>
      <c r="M56">
        <v>354</v>
      </c>
      <c r="N56">
        <v>436</v>
      </c>
      <c r="O56">
        <v>535</v>
      </c>
      <c r="P56">
        <v>632</v>
      </c>
      <c r="Q56">
        <v>725</v>
      </c>
      <c r="R56">
        <v>813</v>
      </c>
      <c r="S56">
        <v>895</v>
      </c>
      <c r="T56">
        <v>970</v>
      </c>
      <c r="U56">
        <v>1034</v>
      </c>
      <c r="V56">
        <v>1095</v>
      </c>
      <c r="W56">
        <v>1131</v>
      </c>
      <c r="X56">
        <v>1159</v>
      </c>
      <c r="Y56">
        <v>1177</v>
      </c>
      <c r="Z56">
        <v>1219</v>
      </c>
      <c r="AA56">
        <v>1241</v>
      </c>
      <c r="AB56">
        <v>1261</v>
      </c>
      <c r="AC56">
        <v>1294</v>
      </c>
      <c r="AD56">
        <v>1316</v>
      </c>
      <c r="AE56">
        <v>1322</v>
      </c>
      <c r="AF56">
        <v>1328</v>
      </c>
      <c r="AG56">
        <v>1331</v>
      </c>
      <c r="AH56">
        <v>1332</v>
      </c>
      <c r="AI56">
        <v>1333</v>
      </c>
      <c r="AJ56">
        <v>1339</v>
      </c>
      <c r="AK56">
        <v>1342</v>
      </c>
      <c r="AL56">
        <v>1345</v>
      </c>
      <c r="AM56">
        <v>1347</v>
      </c>
      <c r="AN56">
        <v>1347</v>
      </c>
      <c r="AO56">
        <v>1347</v>
      </c>
      <c r="AP56">
        <v>1348</v>
      </c>
      <c r="AQ56">
        <v>1349</v>
      </c>
      <c r="AR56">
        <v>1349</v>
      </c>
      <c r="AS56">
        <v>1350</v>
      </c>
      <c r="AT56">
        <v>1350</v>
      </c>
      <c r="AU56">
        <v>1350</v>
      </c>
      <c r="AV56">
        <v>1351</v>
      </c>
      <c r="AW56">
        <v>1352</v>
      </c>
      <c r="AX56">
        <v>1352</v>
      </c>
      <c r="AY56">
        <v>1352</v>
      </c>
      <c r="AZ56">
        <v>1352</v>
      </c>
      <c r="BA56">
        <v>1353</v>
      </c>
      <c r="BB56">
        <v>1356</v>
      </c>
      <c r="BC56">
        <v>1356</v>
      </c>
      <c r="BD56">
        <v>1356</v>
      </c>
      <c r="BE56">
        <v>1356</v>
      </c>
      <c r="BF56">
        <v>1360</v>
      </c>
      <c r="BG56">
        <v>1361</v>
      </c>
      <c r="BH56">
        <v>1364</v>
      </c>
      <c r="BI56">
        <v>1370</v>
      </c>
      <c r="BJ56">
        <v>1378</v>
      </c>
      <c r="BK56">
        <v>1395</v>
      </c>
      <c r="BL56">
        <v>1400</v>
      </c>
      <c r="BM56">
        <v>1413</v>
      </c>
      <c r="BN56">
        <v>1415</v>
      </c>
      <c r="BO56">
        <v>1428</v>
      </c>
      <c r="BP56">
        <v>1433</v>
      </c>
      <c r="BQ56">
        <v>1448</v>
      </c>
      <c r="BR56">
        <v>1456</v>
      </c>
      <c r="BS56">
        <v>1467</v>
      </c>
      <c r="BT56">
        <v>1475</v>
      </c>
      <c r="BU56">
        <v>1484</v>
      </c>
      <c r="BV56">
        <v>1494</v>
      </c>
      <c r="BW56">
        <v>1501</v>
      </c>
    </row>
    <row r="57" spans="1:75" x14ac:dyDescent="0.25">
      <c r="A57" t="s">
        <v>10</v>
      </c>
      <c r="B57" t="s">
        <v>176</v>
      </c>
      <c r="C57">
        <v>23.829799999999999</v>
      </c>
      <c r="D57">
        <v>108.7881</v>
      </c>
      <c r="E57">
        <v>2</v>
      </c>
      <c r="F57">
        <v>5</v>
      </c>
      <c r="G57">
        <v>23</v>
      </c>
      <c r="H57">
        <v>23</v>
      </c>
      <c r="I57">
        <v>36</v>
      </c>
      <c r="J57">
        <v>46</v>
      </c>
      <c r="K57">
        <v>51</v>
      </c>
      <c r="L57">
        <v>58</v>
      </c>
      <c r="M57">
        <v>78</v>
      </c>
      <c r="N57">
        <v>87</v>
      </c>
      <c r="O57">
        <v>100</v>
      </c>
      <c r="P57">
        <v>111</v>
      </c>
      <c r="Q57">
        <v>127</v>
      </c>
      <c r="R57">
        <v>139</v>
      </c>
      <c r="S57">
        <v>150</v>
      </c>
      <c r="T57">
        <v>168</v>
      </c>
      <c r="U57">
        <v>172</v>
      </c>
      <c r="V57">
        <v>183</v>
      </c>
      <c r="W57">
        <v>195</v>
      </c>
      <c r="X57">
        <v>210</v>
      </c>
      <c r="Y57">
        <v>215</v>
      </c>
      <c r="Z57">
        <v>222</v>
      </c>
      <c r="AA57">
        <v>222</v>
      </c>
      <c r="AB57">
        <v>226</v>
      </c>
      <c r="AC57">
        <v>235</v>
      </c>
      <c r="AD57">
        <v>237</v>
      </c>
      <c r="AE57">
        <v>238</v>
      </c>
      <c r="AF57">
        <v>242</v>
      </c>
      <c r="AG57">
        <v>244</v>
      </c>
      <c r="AH57">
        <v>245</v>
      </c>
      <c r="AI57">
        <v>246</v>
      </c>
      <c r="AJ57">
        <v>249</v>
      </c>
      <c r="AK57">
        <v>249</v>
      </c>
      <c r="AL57">
        <v>251</v>
      </c>
      <c r="AM57">
        <v>252</v>
      </c>
      <c r="AN57">
        <v>252</v>
      </c>
      <c r="AO57">
        <v>252</v>
      </c>
      <c r="AP57">
        <v>252</v>
      </c>
      <c r="AQ57">
        <v>252</v>
      </c>
      <c r="AR57">
        <v>252</v>
      </c>
      <c r="AS57">
        <v>252</v>
      </c>
      <c r="AT57">
        <v>252</v>
      </c>
      <c r="AU57">
        <v>252</v>
      </c>
      <c r="AV57">
        <v>252</v>
      </c>
      <c r="AW57">
        <v>252</v>
      </c>
      <c r="AX57">
        <v>252</v>
      </c>
      <c r="AY57">
        <v>252</v>
      </c>
      <c r="AZ57">
        <v>252</v>
      </c>
      <c r="BA57">
        <v>252</v>
      </c>
      <c r="BB57">
        <v>252</v>
      </c>
      <c r="BC57">
        <v>252</v>
      </c>
      <c r="BD57">
        <v>252</v>
      </c>
      <c r="BE57">
        <v>252</v>
      </c>
      <c r="BF57">
        <v>252</v>
      </c>
      <c r="BG57">
        <v>252</v>
      </c>
      <c r="BH57">
        <v>253</v>
      </c>
      <c r="BI57">
        <v>253</v>
      </c>
      <c r="BJ57">
        <v>253</v>
      </c>
      <c r="BK57">
        <v>254</v>
      </c>
      <c r="BL57">
        <v>254</v>
      </c>
      <c r="BM57">
        <v>254</v>
      </c>
      <c r="BN57">
        <v>254</v>
      </c>
      <c r="BO57">
        <v>254</v>
      </c>
      <c r="BP57">
        <v>254</v>
      </c>
      <c r="BQ57">
        <v>254</v>
      </c>
      <c r="BR57">
        <v>254</v>
      </c>
      <c r="BS57">
        <v>254</v>
      </c>
      <c r="BT57">
        <v>254</v>
      </c>
      <c r="BU57">
        <v>254</v>
      </c>
      <c r="BV57">
        <v>254</v>
      </c>
      <c r="BW57">
        <v>254</v>
      </c>
    </row>
    <row r="58" spans="1:75" x14ac:dyDescent="0.25">
      <c r="A58" t="s">
        <v>11</v>
      </c>
      <c r="B58" t="s">
        <v>176</v>
      </c>
      <c r="C58">
        <v>26.8154</v>
      </c>
      <c r="D58">
        <v>106.87479999999999</v>
      </c>
      <c r="E58">
        <v>1</v>
      </c>
      <c r="F58">
        <v>3</v>
      </c>
      <c r="G58">
        <v>3</v>
      </c>
      <c r="H58">
        <v>4</v>
      </c>
      <c r="I58">
        <v>5</v>
      </c>
      <c r="J58">
        <v>7</v>
      </c>
      <c r="K58">
        <v>9</v>
      </c>
      <c r="L58">
        <v>9</v>
      </c>
      <c r="M58">
        <v>12</v>
      </c>
      <c r="N58">
        <v>29</v>
      </c>
      <c r="O58">
        <v>29</v>
      </c>
      <c r="P58">
        <v>38</v>
      </c>
      <c r="Q58">
        <v>46</v>
      </c>
      <c r="R58">
        <v>58</v>
      </c>
      <c r="S58">
        <v>64</v>
      </c>
      <c r="T58">
        <v>71</v>
      </c>
      <c r="U58">
        <v>81</v>
      </c>
      <c r="V58">
        <v>89</v>
      </c>
      <c r="W58">
        <v>99</v>
      </c>
      <c r="X58">
        <v>109</v>
      </c>
      <c r="Y58">
        <v>127</v>
      </c>
      <c r="Z58">
        <v>133</v>
      </c>
      <c r="AA58">
        <v>135</v>
      </c>
      <c r="AB58">
        <v>140</v>
      </c>
      <c r="AC58">
        <v>143</v>
      </c>
      <c r="AD58">
        <v>144</v>
      </c>
      <c r="AE58">
        <v>146</v>
      </c>
      <c r="AF58">
        <v>146</v>
      </c>
      <c r="AG58">
        <v>146</v>
      </c>
      <c r="AH58">
        <v>146</v>
      </c>
      <c r="AI58">
        <v>146</v>
      </c>
      <c r="AJ58">
        <v>146</v>
      </c>
      <c r="AK58">
        <v>146</v>
      </c>
      <c r="AL58">
        <v>146</v>
      </c>
      <c r="AM58">
        <v>146</v>
      </c>
      <c r="AN58">
        <v>146</v>
      </c>
      <c r="AO58">
        <v>146</v>
      </c>
      <c r="AP58">
        <v>146</v>
      </c>
      <c r="AQ58">
        <v>146</v>
      </c>
      <c r="AR58">
        <v>146</v>
      </c>
      <c r="AS58">
        <v>146</v>
      </c>
      <c r="AT58">
        <v>146</v>
      </c>
      <c r="AU58">
        <v>146</v>
      </c>
      <c r="AV58">
        <v>146</v>
      </c>
      <c r="AW58">
        <v>146</v>
      </c>
      <c r="AX58">
        <v>146</v>
      </c>
      <c r="AY58">
        <v>146</v>
      </c>
      <c r="AZ58">
        <v>146</v>
      </c>
      <c r="BA58">
        <v>146</v>
      </c>
      <c r="BB58">
        <v>146</v>
      </c>
      <c r="BC58">
        <v>146</v>
      </c>
      <c r="BD58">
        <v>146</v>
      </c>
      <c r="BE58">
        <v>146</v>
      </c>
      <c r="BF58">
        <v>146</v>
      </c>
      <c r="BG58">
        <v>146</v>
      </c>
      <c r="BH58">
        <v>147</v>
      </c>
      <c r="BI58">
        <v>146</v>
      </c>
      <c r="BJ58">
        <v>146</v>
      </c>
      <c r="BK58">
        <v>146</v>
      </c>
      <c r="BL58">
        <v>146</v>
      </c>
      <c r="BM58">
        <v>146</v>
      </c>
      <c r="BN58">
        <v>146</v>
      </c>
      <c r="BO58">
        <v>146</v>
      </c>
      <c r="BP58">
        <v>146</v>
      </c>
      <c r="BQ58">
        <v>146</v>
      </c>
      <c r="BR58">
        <v>146</v>
      </c>
      <c r="BS58">
        <v>146</v>
      </c>
      <c r="BT58">
        <v>146</v>
      </c>
      <c r="BU58">
        <v>146</v>
      </c>
      <c r="BV58">
        <v>146</v>
      </c>
      <c r="BW58">
        <v>146</v>
      </c>
    </row>
    <row r="59" spans="1:75" x14ac:dyDescent="0.25">
      <c r="A59" t="s">
        <v>12</v>
      </c>
      <c r="B59" t="s">
        <v>176</v>
      </c>
      <c r="C59">
        <v>19.195900000000002</v>
      </c>
      <c r="D59">
        <v>109.7453</v>
      </c>
      <c r="E59">
        <v>4</v>
      </c>
      <c r="F59">
        <v>5</v>
      </c>
      <c r="G59">
        <v>8</v>
      </c>
      <c r="H59">
        <v>19</v>
      </c>
      <c r="I59">
        <v>22</v>
      </c>
      <c r="J59">
        <v>33</v>
      </c>
      <c r="K59">
        <v>40</v>
      </c>
      <c r="L59">
        <v>43</v>
      </c>
      <c r="M59">
        <v>46</v>
      </c>
      <c r="N59">
        <v>52</v>
      </c>
      <c r="O59">
        <v>62</v>
      </c>
      <c r="P59">
        <v>64</v>
      </c>
      <c r="Q59">
        <v>72</v>
      </c>
      <c r="R59">
        <v>80</v>
      </c>
      <c r="S59">
        <v>99</v>
      </c>
      <c r="T59">
        <v>106</v>
      </c>
      <c r="U59">
        <v>117</v>
      </c>
      <c r="V59">
        <v>124</v>
      </c>
      <c r="W59">
        <v>131</v>
      </c>
      <c r="X59">
        <v>138</v>
      </c>
      <c r="Y59">
        <v>144</v>
      </c>
      <c r="Z59">
        <v>157</v>
      </c>
      <c r="AA59">
        <v>157</v>
      </c>
      <c r="AB59">
        <v>159</v>
      </c>
      <c r="AC59">
        <v>162</v>
      </c>
      <c r="AD59">
        <v>162</v>
      </c>
      <c r="AE59">
        <v>163</v>
      </c>
      <c r="AF59">
        <v>163</v>
      </c>
      <c r="AG59">
        <v>168</v>
      </c>
      <c r="AH59">
        <v>168</v>
      </c>
      <c r="AI59">
        <v>168</v>
      </c>
      <c r="AJ59">
        <v>168</v>
      </c>
      <c r="AK59">
        <v>168</v>
      </c>
      <c r="AL59">
        <v>168</v>
      </c>
      <c r="AM59">
        <v>168</v>
      </c>
      <c r="AN59">
        <v>168</v>
      </c>
      <c r="AO59">
        <v>168</v>
      </c>
      <c r="AP59">
        <v>168</v>
      </c>
      <c r="AQ59">
        <v>168</v>
      </c>
      <c r="AR59">
        <v>168</v>
      </c>
      <c r="AS59">
        <v>168</v>
      </c>
      <c r="AT59">
        <v>168</v>
      </c>
      <c r="AU59">
        <v>168</v>
      </c>
      <c r="AV59">
        <v>168</v>
      </c>
      <c r="AW59">
        <v>168</v>
      </c>
      <c r="AX59">
        <v>168</v>
      </c>
      <c r="AY59">
        <v>168</v>
      </c>
      <c r="AZ59">
        <v>168</v>
      </c>
      <c r="BA59">
        <v>168</v>
      </c>
      <c r="BB59">
        <v>168</v>
      </c>
      <c r="BC59">
        <v>168</v>
      </c>
      <c r="BD59">
        <v>168</v>
      </c>
      <c r="BE59">
        <v>168</v>
      </c>
      <c r="BF59">
        <v>168</v>
      </c>
      <c r="BG59">
        <v>168</v>
      </c>
      <c r="BH59">
        <v>168</v>
      </c>
      <c r="BI59">
        <v>168</v>
      </c>
      <c r="BJ59">
        <v>168</v>
      </c>
      <c r="BK59">
        <v>168</v>
      </c>
      <c r="BL59">
        <v>168</v>
      </c>
      <c r="BM59">
        <v>168</v>
      </c>
      <c r="BN59">
        <v>168</v>
      </c>
      <c r="BO59">
        <v>168</v>
      </c>
      <c r="BP59">
        <v>168</v>
      </c>
      <c r="BQ59">
        <v>168</v>
      </c>
      <c r="BR59">
        <v>168</v>
      </c>
      <c r="BS59">
        <v>168</v>
      </c>
      <c r="BT59">
        <v>168</v>
      </c>
      <c r="BU59">
        <v>168</v>
      </c>
      <c r="BV59">
        <v>168</v>
      </c>
      <c r="BW59">
        <v>168</v>
      </c>
    </row>
    <row r="60" spans="1:75" x14ac:dyDescent="0.25">
      <c r="A60" t="s">
        <v>13</v>
      </c>
      <c r="B60" t="s">
        <v>176</v>
      </c>
      <c r="C60">
        <v>39.548999999999999</v>
      </c>
      <c r="D60">
        <v>116.1306</v>
      </c>
      <c r="E60">
        <v>1</v>
      </c>
      <c r="F60">
        <v>1</v>
      </c>
      <c r="G60">
        <v>2</v>
      </c>
      <c r="H60">
        <v>8</v>
      </c>
      <c r="I60">
        <v>13</v>
      </c>
      <c r="J60">
        <v>18</v>
      </c>
      <c r="K60">
        <v>33</v>
      </c>
      <c r="L60">
        <v>48</v>
      </c>
      <c r="M60">
        <v>65</v>
      </c>
      <c r="N60">
        <v>82</v>
      </c>
      <c r="O60">
        <v>96</v>
      </c>
      <c r="P60">
        <v>104</v>
      </c>
      <c r="Q60">
        <v>113</v>
      </c>
      <c r="R60">
        <v>126</v>
      </c>
      <c r="S60">
        <v>135</v>
      </c>
      <c r="T60">
        <v>157</v>
      </c>
      <c r="U60">
        <v>172</v>
      </c>
      <c r="V60">
        <v>195</v>
      </c>
      <c r="W60">
        <v>206</v>
      </c>
      <c r="X60">
        <v>218</v>
      </c>
      <c r="Y60">
        <v>239</v>
      </c>
      <c r="Z60">
        <v>251</v>
      </c>
      <c r="AA60">
        <v>265</v>
      </c>
      <c r="AB60">
        <v>283</v>
      </c>
      <c r="AC60">
        <v>291</v>
      </c>
      <c r="AD60">
        <v>300</v>
      </c>
      <c r="AE60">
        <v>301</v>
      </c>
      <c r="AF60">
        <v>306</v>
      </c>
      <c r="AG60">
        <v>306</v>
      </c>
      <c r="AH60">
        <v>307</v>
      </c>
      <c r="AI60">
        <v>308</v>
      </c>
      <c r="AJ60">
        <v>309</v>
      </c>
      <c r="AK60">
        <v>311</v>
      </c>
      <c r="AL60">
        <v>311</v>
      </c>
      <c r="AM60">
        <v>311</v>
      </c>
      <c r="AN60">
        <v>312</v>
      </c>
      <c r="AO60">
        <v>317</v>
      </c>
      <c r="AP60">
        <v>318</v>
      </c>
      <c r="AQ60">
        <v>318</v>
      </c>
      <c r="AR60">
        <v>318</v>
      </c>
      <c r="AS60">
        <v>318</v>
      </c>
      <c r="AT60">
        <v>318</v>
      </c>
      <c r="AU60">
        <v>318</v>
      </c>
      <c r="AV60">
        <v>318</v>
      </c>
      <c r="AW60">
        <v>318</v>
      </c>
      <c r="AX60">
        <v>318</v>
      </c>
      <c r="AY60">
        <v>318</v>
      </c>
      <c r="AZ60">
        <v>318</v>
      </c>
      <c r="BA60">
        <v>318</v>
      </c>
      <c r="BB60">
        <v>318</v>
      </c>
      <c r="BC60">
        <v>318</v>
      </c>
      <c r="BD60">
        <v>318</v>
      </c>
      <c r="BE60">
        <v>318</v>
      </c>
      <c r="BF60">
        <v>318</v>
      </c>
      <c r="BG60">
        <v>318</v>
      </c>
      <c r="BH60">
        <v>318</v>
      </c>
      <c r="BI60">
        <v>318</v>
      </c>
      <c r="BJ60">
        <v>318</v>
      </c>
      <c r="BK60">
        <v>318</v>
      </c>
      <c r="BL60">
        <v>318</v>
      </c>
      <c r="BM60">
        <v>319</v>
      </c>
      <c r="BN60">
        <v>319</v>
      </c>
      <c r="BO60">
        <v>319</v>
      </c>
      <c r="BP60">
        <v>319</v>
      </c>
      <c r="BQ60">
        <v>319</v>
      </c>
      <c r="BR60">
        <v>319</v>
      </c>
      <c r="BS60">
        <v>319</v>
      </c>
      <c r="BT60">
        <v>319</v>
      </c>
      <c r="BU60">
        <v>321</v>
      </c>
      <c r="BV60">
        <v>321</v>
      </c>
      <c r="BW60">
        <v>323</v>
      </c>
    </row>
    <row r="61" spans="1:75" x14ac:dyDescent="0.25">
      <c r="A61" t="s">
        <v>14</v>
      </c>
      <c r="B61" t="s">
        <v>176</v>
      </c>
      <c r="C61">
        <v>47.861999999999902</v>
      </c>
      <c r="D61">
        <v>127.7615</v>
      </c>
      <c r="E61">
        <v>0</v>
      </c>
      <c r="F61">
        <v>2</v>
      </c>
      <c r="G61">
        <v>4</v>
      </c>
      <c r="H61">
        <v>9</v>
      </c>
      <c r="I61">
        <v>15</v>
      </c>
      <c r="J61">
        <v>21</v>
      </c>
      <c r="K61">
        <v>33</v>
      </c>
      <c r="L61">
        <v>38</v>
      </c>
      <c r="M61">
        <v>44</v>
      </c>
      <c r="N61">
        <v>59</v>
      </c>
      <c r="O61">
        <v>80</v>
      </c>
      <c r="P61">
        <v>95</v>
      </c>
      <c r="Q61">
        <v>121</v>
      </c>
      <c r="R61">
        <v>155</v>
      </c>
      <c r="S61">
        <v>190</v>
      </c>
      <c r="T61">
        <v>227</v>
      </c>
      <c r="U61">
        <v>277</v>
      </c>
      <c r="V61">
        <v>295</v>
      </c>
      <c r="W61">
        <v>307</v>
      </c>
      <c r="X61">
        <v>331</v>
      </c>
      <c r="Y61">
        <v>360</v>
      </c>
      <c r="Z61">
        <v>378</v>
      </c>
      <c r="AA61">
        <v>395</v>
      </c>
      <c r="AB61">
        <v>419</v>
      </c>
      <c r="AC61">
        <v>425</v>
      </c>
      <c r="AD61">
        <v>445</v>
      </c>
      <c r="AE61">
        <v>457</v>
      </c>
      <c r="AF61">
        <v>464</v>
      </c>
      <c r="AG61">
        <v>470</v>
      </c>
      <c r="AH61">
        <v>476</v>
      </c>
      <c r="AI61">
        <v>479</v>
      </c>
      <c r="AJ61">
        <v>479</v>
      </c>
      <c r="AK61">
        <v>480</v>
      </c>
      <c r="AL61">
        <v>480</v>
      </c>
      <c r="AM61">
        <v>480</v>
      </c>
      <c r="AN61">
        <v>480</v>
      </c>
      <c r="AO61">
        <v>480</v>
      </c>
      <c r="AP61">
        <v>480</v>
      </c>
      <c r="AQ61">
        <v>480</v>
      </c>
      <c r="AR61">
        <v>480</v>
      </c>
      <c r="AS61">
        <v>480</v>
      </c>
      <c r="AT61">
        <v>480</v>
      </c>
      <c r="AU61">
        <v>480</v>
      </c>
      <c r="AV61">
        <v>481</v>
      </c>
      <c r="AW61">
        <v>481</v>
      </c>
      <c r="AX61">
        <v>481</v>
      </c>
      <c r="AY61">
        <v>481</v>
      </c>
      <c r="AZ61">
        <v>481</v>
      </c>
      <c r="BA61">
        <v>481</v>
      </c>
      <c r="BB61">
        <v>482</v>
      </c>
      <c r="BC61">
        <v>482</v>
      </c>
      <c r="BD61">
        <v>482</v>
      </c>
      <c r="BE61">
        <v>482</v>
      </c>
      <c r="BF61">
        <v>482</v>
      </c>
      <c r="BG61">
        <v>482</v>
      </c>
      <c r="BH61">
        <v>482</v>
      </c>
      <c r="BI61">
        <v>482</v>
      </c>
      <c r="BJ61">
        <v>483</v>
      </c>
      <c r="BK61">
        <v>484</v>
      </c>
      <c r="BL61">
        <v>484</v>
      </c>
      <c r="BM61">
        <v>484</v>
      </c>
      <c r="BN61">
        <v>484</v>
      </c>
      <c r="BO61">
        <v>484</v>
      </c>
      <c r="BP61">
        <v>484</v>
      </c>
      <c r="BQ61">
        <v>484</v>
      </c>
      <c r="BR61">
        <v>484</v>
      </c>
      <c r="BS61">
        <v>484</v>
      </c>
      <c r="BT61">
        <v>484</v>
      </c>
      <c r="BU61">
        <v>484</v>
      </c>
      <c r="BV61">
        <v>484</v>
      </c>
      <c r="BW61">
        <v>484</v>
      </c>
    </row>
    <row r="62" spans="1:75" x14ac:dyDescent="0.25">
      <c r="A62" t="s">
        <v>15</v>
      </c>
      <c r="B62" t="s">
        <v>176</v>
      </c>
      <c r="C62">
        <v>33.881999999999998</v>
      </c>
      <c r="D62">
        <v>113.613999999999</v>
      </c>
      <c r="E62">
        <v>5</v>
      </c>
      <c r="F62">
        <v>5</v>
      </c>
      <c r="G62">
        <v>9</v>
      </c>
      <c r="H62">
        <v>32</v>
      </c>
      <c r="I62">
        <v>83</v>
      </c>
      <c r="J62">
        <v>128</v>
      </c>
      <c r="K62">
        <v>168</v>
      </c>
      <c r="L62">
        <v>206</v>
      </c>
      <c r="M62">
        <v>278</v>
      </c>
      <c r="N62">
        <v>352</v>
      </c>
      <c r="O62">
        <v>422</v>
      </c>
      <c r="P62">
        <v>493</v>
      </c>
      <c r="Q62">
        <v>566</v>
      </c>
      <c r="R62">
        <v>675</v>
      </c>
      <c r="S62">
        <v>764</v>
      </c>
      <c r="T62">
        <v>851</v>
      </c>
      <c r="U62">
        <v>914</v>
      </c>
      <c r="V62">
        <v>981</v>
      </c>
      <c r="W62">
        <v>1033</v>
      </c>
      <c r="X62">
        <v>1073</v>
      </c>
      <c r="Y62">
        <v>1105</v>
      </c>
      <c r="Z62">
        <v>1135</v>
      </c>
      <c r="AA62">
        <v>1169</v>
      </c>
      <c r="AB62">
        <v>1184</v>
      </c>
      <c r="AC62">
        <v>1212</v>
      </c>
      <c r="AD62">
        <v>1231</v>
      </c>
      <c r="AE62">
        <v>1246</v>
      </c>
      <c r="AF62">
        <v>1257</v>
      </c>
      <c r="AG62">
        <v>1262</v>
      </c>
      <c r="AH62">
        <v>1265</v>
      </c>
      <c r="AI62">
        <v>1267</v>
      </c>
      <c r="AJ62">
        <v>1270</v>
      </c>
      <c r="AK62">
        <v>1271</v>
      </c>
      <c r="AL62">
        <v>1271</v>
      </c>
      <c r="AM62">
        <v>1271</v>
      </c>
      <c r="AN62">
        <v>1271</v>
      </c>
      <c r="AO62">
        <v>1272</v>
      </c>
      <c r="AP62">
        <v>1272</v>
      </c>
      <c r="AQ62">
        <v>1272</v>
      </c>
      <c r="AR62">
        <v>1272</v>
      </c>
      <c r="AS62">
        <v>1272</v>
      </c>
      <c r="AT62">
        <v>1272</v>
      </c>
      <c r="AU62">
        <v>1272</v>
      </c>
      <c r="AV62">
        <v>1272</v>
      </c>
      <c r="AW62">
        <v>1272</v>
      </c>
      <c r="AX62">
        <v>1272</v>
      </c>
      <c r="AY62">
        <v>1272</v>
      </c>
      <c r="AZ62">
        <v>1272</v>
      </c>
      <c r="BA62">
        <v>1272</v>
      </c>
      <c r="BB62">
        <v>1273</v>
      </c>
      <c r="BC62">
        <v>1273</v>
      </c>
      <c r="BD62">
        <v>1273</v>
      </c>
      <c r="BE62">
        <v>1273</v>
      </c>
      <c r="BF62">
        <v>1273</v>
      </c>
      <c r="BG62">
        <v>1273</v>
      </c>
      <c r="BH62">
        <v>1273</v>
      </c>
      <c r="BI62">
        <v>1273</v>
      </c>
      <c r="BJ62">
        <v>1273</v>
      </c>
      <c r="BK62">
        <v>1273</v>
      </c>
      <c r="BL62">
        <v>1273</v>
      </c>
      <c r="BM62">
        <v>1274</v>
      </c>
      <c r="BN62">
        <v>1274</v>
      </c>
      <c r="BO62">
        <v>1274</v>
      </c>
      <c r="BP62">
        <v>1274</v>
      </c>
      <c r="BQ62">
        <v>1275</v>
      </c>
      <c r="BR62">
        <v>1275</v>
      </c>
      <c r="BS62">
        <v>1275</v>
      </c>
      <c r="BT62">
        <v>1276</v>
      </c>
      <c r="BU62">
        <v>1276</v>
      </c>
      <c r="BV62">
        <v>1276</v>
      </c>
      <c r="BW62">
        <v>1276</v>
      </c>
    </row>
    <row r="63" spans="1:75" x14ac:dyDescent="0.25">
      <c r="A63" t="s">
        <v>39</v>
      </c>
      <c r="B63" t="s">
        <v>176</v>
      </c>
      <c r="C63">
        <v>22.3</v>
      </c>
      <c r="D63">
        <v>114.2</v>
      </c>
      <c r="E63">
        <v>0</v>
      </c>
      <c r="F63">
        <v>2</v>
      </c>
      <c r="G63">
        <v>2</v>
      </c>
      <c r="H63">
        <v>5</v>
      </c>
      <c r="I63">
        <v>8</v>
      </c>
      <c r="J63">
        <v>8</v>
      </c>
      <c r="K63">
        <v>8</v>
      </c>
      <c r="L63">
        <v>10</v>
      </c>
      <c r="M63">
        <v>10</v>
      </c>
      <c r="N63">
        <v>12</v>
      </c>
      <c r="O63">
        <v>13</v>
      </c>
      <c r="P63">
        <v>15</v>
      </c>
      <c r="Q63">
        <v>15</v>
      </c>
      <c r="R63">
        <v>17</v>
      </c>
      <c r="S63">
        <v>21</v>
      </c>
      <c r="T63">
        <v>24</v>
      </c>
      <c r="U63">
        <v>25</v>
      </c>
      <c r="V63">
        <v>26</v>
      </c>
      <c r="W63">
        <v>29</v>
      </c>
      <c r="X63">
        <v>38</v>
      </c>
      <c r="Y63">
        <v>49</v>
      </c>
      <c r="Z63">
        <v>50</v>
      </c>
      <c r="AA63">
        <v>53</v>
      </c>
      <c r="AB63">
        <v>56</v>
      </c>
      <c r="AC63">
        <v>56</v>
      </c>
      <c r="AD63">
        <v>57</v>
      </c>
      <c r="AE63">
        <v>60</v>
      </c>
      <c r="AF63">
        <v>62</v>
      </c>
      <c r="AG63">
        <v>63</v>
      </c>
      <c r="AH63">
        <v>68</v>
      </c>
      <c r="AI63">
        <v>68</v>
      </c>
      <c r="AJ63">
        <v>69</v>
      </c>
      <c r="AK63">
        <v>74</v>
      </c>
      <c r="AL63">
        <v>79</v>
      </c>
      <c r="AM63">
        <v>84</v>
      </c>
      <c r="AN63">
        <v>91</v>
      </c>
      <c r="AO63">
        <v>92</v>
      </c>
      <c r="AP63">
        <v>94</v>
      </c>
      <c r="AQ63">
        <v>95</v>
      </c>
      <c r="AR63">
        <v>96</v>
      </c>
      <c r="AS63">
        <v>100</v>
      </c>
      <c r="AT63">
        <v>100</v>
      </c>
      <c r="AU63">
        <v>105</v>
      </c>
      <c r="AV63">
        <v>105</v>
      </c>
      <c r="AW63">
        <v>107</v>
      </c>
      <c r="AX63">
        <v>108</v>
      </c>
      <c r="AY63">
        <v>114</v>
      </c>
      <c r="AZ63">
        <v>115</v>
      </c>
      <c r="BA63">
        <v>120</v>
      </c>
      <c r="BB63">
        <v>126</v>
      </c>
      <c r="BC63">
        <v>129</v>
      </c>
      <c r="BD63">
        <v>134</v>
      </c>
      <c r="BE63">
        <v>140</v>
      </c>
      <c r="BF63">
        <v>145</v>
      </c>
      <c r="BG63">
        <v>155</v>
      </c>
      <c r="BH63">
        <v>162</v>
      </c>
      <c r="BI63">
        <v>181</v>
      </c>
      <c r="BJ63">
        <v>208</v>
      </c>
      <c r="BK63">
        <v>256</v>
      </c>
      <c r="BL63">
        <v>273</v>
      </c>
      <c r="BM63">
        <v>317</v>
      </c>
      <c r="BN63">
        <v>356</v>
      </c>
      <c r="BO63">
        <v>386</v>
      </c>
      <c r="BP63">
        <v>410</v>
      </c>
      <c r="BQ63">
        <v>453</v>
      </c>
      <c r="BR63">
        <v>519</v>
      </c>
      <c r="BS63">
        <v>561</v>
      </c>
      <c r="BT63">
        <v>641</v>
      </c>
      <c r="BU63">
        <v>682</v>
      </c>
      <c r="BV63">
        <v>714</v>
      </c>
      <c r="BW63">
        <v>765</v>
      </c>
    </row>
    <row r="64" spans="1:75" x14ac:dyDescent="0.25">
      <c r="A64" t="s">
        <v>16</v>
      </c>
      <c r="B64" t="s">
        <v>176</v>
      </c>
      <c r="C64">
        <v>30.9756</v>
      </c>
      <c r="D64">
        <v>112.27070000000001</v>
      </c>
      <c r="E64">
        <v>444</v>
      </c>
      <c r="F64">
        <v>444</v>
      </c>
      <c r="G64">
        <v>549</v>
      </c>
      <c r="H64">
        <v>761</v>
      </c>
      <c r="I64">
        <v>1058</v>
      </c>
      <c r="J64">
        <v>1423</v>
      </c>
      <c r="K64">
        <v>3554</v>
      </c>
      <c r="L64">
        <v>3554</v>
      </c>
      <c r="M64">
        <v>4903</v>
      </c>
      <c r="N64">
        <v>5806</v>
      </c>
      <c r="O64">
        <v>7153</v>
      </c>
      <c r="P64">
        <v>11177</v>
      </c>
      <c r="Q64">
        <v>13522</v>
      </c>
      <c r="R64">
        <v>16678</v>
      </c>
      <c r="S64">
        <v>19665</v>
      </c>
      <c r="T64">
        <v>22112</v>
      </c>
      <c r="U64">
        <v>24953</v>
      </c>
      <c r="V64">
        <v>27100</v>
      </c>
      <c r="W64">
        <v>29631</v>
      </c>
      <c r="X64">
        <v>31728</v>
      </c>
      <c r="Y64">
        <v>33366</v>
      </c>
      <c r="Z64">
        <v>33366</v>
      </c>
      <c r="AA64">
        <v>48206</v>
      </c>
      <c r="AB64">
        <v>54406</v>
      </c>
      <c r="AC64">
        <v>56249</v>
      </c>
      <c r="AD64">
        <v>58182</v>
      </c>
      <c r="AE64">
        <v>59989</v>
      </c>
      <c r="AF64">
        <v>61682</v>
      </c>
      <c r="AG64">
        <v>62031</v>
      </c>
      <c r="AH64">
        <v>62442</v>
      </c>
      <c r="AI64">
        <v>62662</v>
      </c>
      <c r="AJ64">
        <v>64084</v>
      </c>
      <c r="AK64">
        <v>64084</v>
      </c>
      <c r="AL64">
        <v>64287</v>
      </c>
      <c r="AM64">
        <v>64786</v>
      </c>
      <c r="AN64">
        <v>65187</v>
      </c>
      <c r="AO64">
        <v>65596</v>
      </c>
      <c r="AP64">
        <v>65914</v>
      </c>
      <c r="AQ64">
        <v>66337</v>
      </c>
      <c r="AR64">
        <v>66907</v>
      </c>
      <c r="AS64">
        <v>67103</v>
      </c>
      <c r="AT64">
        <v>67217</v>
      </c>
      <c r="AU64">
        <v>67332</v>
      </c>
      <c r="AV64">
        <v>67466</v>
      </c>
      <c r="AW64">
        <v>67592</v>
      </c>
      <c r="AX64">
        <v>67666</v>
      </c>
      <c r="AY64">
        <v>67707</v>
      </c>
      <c r="AZ64">
        <v>67743</v>
      </c>
      <c r="BA64">
        <v>67760</v>
      </c>
      <c r="BB64">
        <v>67773</v>
      </c>
      <c r="BC64">
        <v>67781</v>
      </c>
      <c r="BD64">
        <v>67786</v>
      </c>
      <c r="BE64">
        <v>67790</v>
      </c>
      <c r="BF64">
        <v>67794</v>
      </c>
      <c r="BG64">
        <v>67798</v>
      </c>
      <c r="BH64">
        <v>67799</v>
      </c>
      <c r="BI64">
        <v>67800</v>
      </c>
      <c r="BJ64">
        <v>67800</v>
      </c>
      <c r="BK64">
        <v>67800</v>
      </c>
      <c r="BL64">
        <v>67800</v>
      </c>
      <c r="BM64">
        <v>67800</v>
      </c>
      <c r="BN64">
        <v>67800</v>
      </c>
      <c r="BO64">
        <v>67801</v>
      </c>
      <c r="BP64">
        <v>67801</v>
      </c>
      <c r="BQ64">
        <v>67801</v>
      </c>
      <c r="BR64">
        <v>67801</v>
      </c>
      <c r="BS64">
        <v>67801</v>
      </c>
      <c r="BT64">
        <v>67801</v>
      </c>
      <c r="BU64">
        <v>67801</v>
      </c>
      <c r="BV64">
        <v>67801</v>
      </c>
      <c r="BW64">
        <v>67802</v>
      </c>
    </row>
    <row r="65" spans="1:75" x14ac:dyDescent="0.25">
      <c r="A65" t="s">
        <v>17</v>
      </c>
      <c r="B65" t="s">
        <v>176</v>
      </c>
      <c r="C65">
        <v>27.610399999999998</v>
      </c>
      <c r="D65">
        <v>111.7088</v>
      </c>
      <c r="E65">
        <v>4</v>
      </c>
      <c r="F65">
        <v>9</v>
      </c>
      <c r="G65">
        <v>24</v>
      </c>
      <c r="H65">
        <v>43</v>
      </c>
      <c r="I65">
        <v>69</v>
      </c>
      <c r="J65">
        <v>100</v>
      </c>
      <c r="K65">
        <v>143</v>
      </c>
      <c r="L65">
        <v>221</v>
      </c>
      <c r="M65">
        <v>277</v>
      </c>
      <c r="N65">
        <v>332</v>
      </c>
      <c r="O65">
        <v>389</v>
      </c>
      <c r="P65">
        <v>463</v>
      </c>
      <c r="Q65">
        <v>521</v>
      </c>
      <c r="R65">
        <v>593</v>
      </c>
      <c r="S65">
        <v>661</v>
      </c>
      <c r="T65">
        <v>711</v>
      </c>
      <c r="U65">
        <v>772</v>
      </c>
      <c r="V65">
        <v>803</v>
      </c>
      <c r="W65">
        <v>838</v>
      </c>
      <c r="X65">
        <v>879</v>
      </c>
      <c r="Y65">
        <v>912</v>
      </c>
      <c r="Z65">
        <v>946</v>
      </c>
      <c r="AA65">
        <v>968</v>
      </c>
      <c r="AB65">
        <v>988</v>
      </c>
      <c r="AC65">
        <v>1001</v>
      </c>
      <c r="AD65">
        <v>1004</v>
      </c>
      <c r="AE65">
        <v>1006</v>
      </c>
      <c r="AF65">
        <v>1007</v>
      </c>
      <c r="AG65">
        <v>1008</v>
      </c>
      <c r="AH65">
        <v>1010</v>
      </c>
      <c r="AI65">
        <v>1011</v>
      </c>
      <c r="AJ65">
        <v>1013</v>
      </c>
      <c r="AK65">
        <v>1016</v>
      </c>
      <c r="AL65">
        <v>1016</v>
      </c>
      <c r="AM65">
        <v>1016</v>
      </c>
      <c r="AN65">
        <v>1016</v>
      </c>
      <c r="AO65">
        <v>1017</v>
      </c>
      <c r="AP65">
        <v>1017</v>
      </c>
      <c r="AQ65">
        <v>1018</v>
      </c>
      <c r="AR65">
        <v>1018</v>
      </c>
      <c r="AS65">
        <v>1018</v>
      </c>
      <c r="AT65">
        <v>1018</v>
      </c>
      <c r="AU65">
        <v>1018</v>
      </c>
      <c r="AV65">
        <v>1018</v>
      </c>
      <c r="AW65">
        <v>1018</v>
      </c>
      <c r="AX65">
        <v>1018</v>
      </c>
      <c r="AY65">
        <v>1018</v>
      </c>
      <c r="AZ65">
        <v>1018</v>
      </c>
      <c r="BA65">
        <v>1018</v>
      </c>
      <c r="BB65">
        <v>1018</v>
      </c>
      <c r="BC65">
        <v>1018</v>
      </c>
      <c r="BD65">
        <v>1018</v>
      </c>
      <c r="BE65">
        <v>1018</v>
      </c>
      <c r="BF65">
        <v>1018</v>
      </c>
      <c r="BG65">
        <v>1018</v>
      </c>
      <c r="BH65">
        <v>1018</v>
      </c>
      <c r="BI65">
        <v>1018</v>
      </c>
      <c r="BJ65">
        <v>1018</v>
      </c>
      <c r="BK65">
        <v>1018</v>
      </c>
      <c r="BL65">
        <v>1018</v>
      </c>
      <c r="BM65">
        <v>1018</v>
      </c>
      <c r="BN65">
        <v>1018</v>
      </c>
      <c r="BO65">
        <v>1018</v>
      </c>
      <c r="BP65">
        <v>1018</v>
      </c>
      <c r="BQ65">
        <v>1018</v>
      </c>
      <c r="BR65">
        <v>1018</v>
      </c>
      <c r="BS65">
        <v>1018</v>
      </c>
      <c r="BT65">
        <v>1018</v>
      </c>
      <c r="BU65">
        <v>1018</v>
      </c>
      <c r="BV65">
        <v>1018</v>
      </c>
      <c r="BW65">
        <v>1018</v>
      </c>
    </row>
    <row r="66" spans="1:75" x14ac:dyDescent="0.25">
      <c r="A66" t="s">
        <v>18</v>
      </c>
      <c r="B66" t="s">
        <v>176</v>
      </c>
      <c r="C66">
        <v>44.093499999999999</v>
      </c>
      <c r="D66">
        <v>113.9448</v>
      </c>
      <c r="E66">
        <v>0</v>
      </c>
      <c r="F66">
        <v>0</v>
      </c>
      <c r="G66">
        <v>1</v>
      </c>
      <c r="H66">
        <v>7</v>
      </c>
      <c r="I66">
        <v>7</v>
      </c>
      <c r="J66">
        <v>11</v>
      </c>
      <c r="K66">
        <v>15</v>
      </c>
      <c r="L66">
        <v>16</v>
      </c>
      <c r="M66">
        <v>19</v>
      </c>
      <c r="N66">
        <v>20</v>
      </c>
      <c r="O66">
        <v>23</v>
      </c>
      <c r="P66">
        <v>27</v>
      </c>
      <c r="Q66">
        <v>34</v>
      </c>
      <c r="R66">
        <v>35</v>
      </c>
      <c r="S66">
        <v>42</v>
      </c>
      <c r="T66">
        <v>46</v>
      </c>
      <c r="U66">
        <v>50</v>
      </c>
      <c r="V66">
        <v>52</v>
      </c>
      <c r="W66">
        <v>54</v>
      </c>
      <c r="X66">
        <v>58</v>
      </c>
      <c r="Y66">
        <v>58</v>
      </c>
      <c r="Z66">
        <v>60</v>
      </c>
      <c r="AA66">
        <v>61</v>
      </c>
      <c r="AB66">
        <v>65</v>
      </c>
      <c r="AC66">
        <v>68</v>
      </c>
      <c r="AD66">
        <v>70</v>
      </c>
      <c r="AE66">
        <v>72</v>
      </c>
      <c r="AF66">
        <v>73</v>
      </c>
      <c r="AG66">
        <v>75</v>
      </c>
      <c r="AH66">
        <v>75</v>
      </c>
      <c r="AI66">
        <v>75</v>
      </c>
      <c r="AJ66">
        <v>75</v>
      </c>
      <c r="AK66">
        <v>75</v>
      </c>
      <c r="AL66">
        <v>75</v>
      </c>
      <c r="AM66">
        <v>75</v>
      </c>
      <c r="AN66">
        <v>75</v>
      </c>
      <c r="AO66">
        <v>75</v>
      </c>
      <c r="AP66">
        <v>75</v>
      </c>
      <c r="AQ66">
        <v>75</v>
      </c>
      <c r="AR66">
        <v>75</v>
      </c>
      <c r="AS66">
        <v>75</v>
      </c>
      <c r="AT66">
        <v>75</v>
      </c>
      <c r="AU66">
        <v>75</v>
      </c>
      <c r="AV66">
        <v>75</v>
      </c>
      <c r="AW66">
        <v>75</v>
      </c>
      <c r="AX66">
        <v>75</v>
      </c>
      <c r="AY66">
        <v>75</v>
      </c>
      <c r="AZ66">
        <v>75</v>
      </c>
      <c r="BA66">
        <v>75</v>
      </c>
      <c r="BB66">
        <v>75</v>
      </c>
      <c r="BC66">
        <v>75</v>
      </c>
      <c r="BD66">
        <v>75</v>
      </c>
      <c r="BE66">
        <v>75</v>
      </c>
      <c r="BF66">
        <v>75</v>
      </c>
      <c r="BG66">
        <v>75</v>
      </c>
      <c r="BH66">
        <v>75</v>
      </c>
      <c r="BI66">
        <v>75</v>
      </c>
      <c r="BJ66">
        <v>75</v>
      </c>
      <c r="BK66">
        <v>75</v>
      </c>
      <c r="BL66">
        <v>75</v>
      </c>
      <c r="BM66">
        <v>75</v>
      </c>
      <c r="BN66">
        <v>75</v>
      </c>
      <c r="BO66">
        <v>75</v>
      </c>
      <c r="BP66">
        <v>77</v>
      </c>
      <c r="BQ66">
        <v>89</v>
      </c>
      <c r="BR66">
        <v>92</v>
      </c>
      <c r="BS66">
        <v>94</v>
      </c>
      <c r="BT66">
        <v>95</v>
      </c>
      <c r="BU66">
        <v>97</v>
      </c>
      <c r="BV66">
        <v>107</v>
      </c>
      <c r="BW66">
        <v>111</v>
      </c>
    </row>
    <row r="67" spans="1:75" x14ac:dyDescent="0.25">
      <c r="A67" t="s">
        <v>19</v>
      </c>
      <c r="B67" t="s">
        <v>176</v>
      </c>
      <c r="C67">
        <v>32.9711</v>
      </c>
      <c r="D67">
        <v>119.455</v>
      </c>
      <c r="E67">
        <v>1</v>
      </c>
      <c r="F67">
        <v>5</v>
      </c>
      <c r="G67">
        <v>9</v>
      </c>
      <c r="H67">
        <v>18</v>
      </c>
      <c r="I67">
        <v>33</v>
      </c>
      <c r="J67">
        <v>47</v>
      </c>
      <c r="K67">
        <v>70</v>
      </c>
      <c r="L67">
        <v>99</v>
      </c>
      <c r="M67">
        <v>129</v>
      </c>
      <c r="N67">
        <v>168</v>
      </c>
      <c r="O67">
        <v>202</v>
      </c>
      <c r="P67">
        <v>236</v>
      </c>
      <c r="Q67">
        <v>271</v>
      </c>
      <c r="R67">
        <v>308</v>
      </c>
      <c r="S67">
        <v>341</v>
      </c>
      <c r="T67">
        <v>373</v>
      </c>
      <c r="U67">
        <v>408</v>
      </c>
      <c r="V67">
        <v>439</v>
      </c>
      <c r="W67">
        <v>468</v>
      </c>
      <c r="X67">
        <v>492</v>
      </c>
      <c r="Y67">
        <v>515</v>
      </c>
      <c r="Z67">
        <v>543</v>
      </c>
      <c r="AA67">
        <v>570</v>
      </c>
      <c r="AB67">
        <v>593</v>
      </c>
      <c r="AC67">
        <v>604</v>
      </c>
      <c r="AD67">
        <v>617</v>
      </c>
      <c r="AE67">
        <v>626</v>
      </c>
      <c r="AF67">
        <v>629</v>
      </c>
      <c r="AG67">
        <v>631</v>
      </c>
      <c r="AH67">
        <v>631</v>
      </c>
      <c r="AI67">
        <v>631</v>
      </c>
      <c r="AJ67">
        <v>631</v>
      </c>
      <c r="AK67">
        <v>631</v>
      </c>
      <c r="AL67">
        <v>631</v>
      </c>
      <c r="AM67">
        <v>631</v>
      </c>
      <c r="AN67">
        <v>631</v>
      </c>
      <c r="AO67">
        <v>631</v>
      </c>
      <c r="AP67">
        <v>631</v>
      </c>
      <c r="AQ67">
        <v>631</v>
      </c>
      <c r="AR67">
        <v>631</v>
      </c>
      <c r="AS67">
        <v>631</v>
      </c>
      <c r="AT67">
        <v>631</v>
      </c>
      <c r="AU67">
        <v>631</v>
      </c>
      <c r="AV67">
        <v>631</v>
      </c>
      <c r="AW67">
        <v>631</v>
      </c>
      <c r="AX67">
        <v>631</v>
      </c>
      <c r="AY67">
        <v>631</v>
      </c>
      <c r="AZ67">
        <v>631</v>
      </c>
      <c r="BA67">
        <v>631</v>
      </c>
      <c r="BB67">
        <v>631</v>
      </c>
      <c r="BC67">
        <v>631</v>
      </c>
      <c r="BD67">
        <v>631</v>
      </c>
      <c r="BE67">
        <v>631</v>
      </c>
      <c r="BF67">
        <v>631</v>
      </c>
      <c r="BG67">
        <v>631</v>
      </c>
      <c r="BH67">
        <v>631</v>
      </c>
      <c r="BI67">
        <v>631</v>
      </c>
      <c r="BJ67">
        <v>631</v>
      </c>
      <c r="BK67">
        <v>631</v>
      </c>
      <c r="BL67">
        <v>631</v>
      </c>
      <c r="BM67">
        <v>633</v>
      </c>
      <c r="BN67">
        <v>633</v>
      </c>
      <c r="BO67">
        <v>636</v>
      </c>
      <c r="BP67">
        <v>638</v>
      </c>
      <c r="BQ67">
        <v>640</v>
      </c>
      <c r="BR67">
        <v>641</v>
      </c>
      <c r="BS67">
        <v>641</v>
      </c>
      <c r="BT67">
        <v>644</v>
      </c>
      <c r="BU67">
        <v>645</v>
      </c>
      <c r="BV67">
        <v>646</v>
      </c>
      <c r="BW67">
        <v>646</v>
      </c>
    </row>
    <row r="68" spans="1:75" x14ac:dyDescent="0.25">
      <c r="A68" t="s">
        <v>20</v>
      </c>
      <c r="B68" t="s">
        <v>176</v>
      </c>
      <c r="C68">
        <v>27.614000000000001</v>
      </c>
      <c r="D68">
        <v>115.7221</v>
      </c>
      <c r="E68">
        <v>2</v>
      </c>
      <c r="F68">
        <v>7</v>
      </c>
      <c r="G68">
        <v>18</v>
      </c>
      <c r="H68">
        <v>18</v>
      </c>
      <c r="I68">
        <v>36</v>
      </c>
      <c r="J68">
        <v>72</v>
      </c>
      <c r="K68">
        <v>109</v>
      </c>
      <c r="L68">
        <v>109</v>
      </c>
      <c r="M68">
        <v>162</v>
      </c>
      <c r="N68">
        <v>240</v>
      </c>
      <c r="O68">
        <v>286</v>
      </c>
      <c r="P68">
        <v>333</v>
      </c>
      <c r="Q68">
        <v>391</v>
      </c>
      <c r="R68">
        <v>476</v>
      </c>
      <c r="S68">
        <v>548</v>
      </c>
      <c r="T68">
        <v>600</v>
      </c>
      <c r="U68">
        <v>661</v>
      </c>
      <c r="V68">
        <v>698</v>
      </c>
      <c r="W68">
        <v>740</v>
      </c>
      <c r="X68">
        <v>771</v>
      </c>
      <c r="Y68">
        <v>804</v>
      </c>
      <c r="Z68">
        <v>844</v>
      </c>
      <c r="AA68">
        <v>872</v>
      </c>
      <c r="AB68">
        <v>900</v>
      </c>
      <c r="AC68">
        <v>913</v>
      </c>
      <c r="AD68">
        <v>925</v>
      </c>
      <c r="AE68">
        <v>930</v>
      </c>
      <c r="AF68">
        <v>933</v>
      </c>
      <c r="AG68">
        <v>934</v>
      </c>
      <c r="AH68">
        <v>934</v>
      </c>
      <c r="AI68">
        <v>934</v>
      </c>
      <c r="AJ68">
        <v>934</v>
      </c>
      <c r="AK68">
        <v>934</v>
      </c>
      <c r="AL68">
        <v>934</v>
      </c>
      <c r="AM68">
        <v>934</v>
      </c>
      <c r="AN68">
        <v>934</v>
      </c>
      <c r="AO68">
        <v>934</v>
      </c>
      <c r="AP68">
        <v>935</v>
      </c>
      <c r="AQ68">
        <v>935</v>
      </c>
      <c r="AR68">
        <v>935</v>
      </c>
      <c r="AS68">
        <v>935</v>
      </c>
      <c r="AT68">
        <v>935</v>
      </c>
      <c r="AU68">
        <v>935</v>
      </c>
      <c r="AV68">
        <v>935</v>
      </c>
      <c r="AW68">
        <v>935</v>
      </c>
      <c r="AX68">
        <v>935</v>
      </c>
      <c r="AY68">
        <v>935</v>
      </c>
      <c r="AZ68">
        <v>935</v>
      </c>
      <c r="BA68">
        <v>935</v>
      </c>
      <c r="BB68">
        <v>935</v>
      </c>
      <c r="BC68">
        <v>935</v>
      </c>
      <c r="BD68">
        <v>935</v>
      </c>
      <c r="BE68">
        <v>935</v>
      </c>
      <c r="BF68">
        <v>935</v>
      </c>
      <c r="BG68">
        <v>935</v>
      </c>
      <c r="BH68">
        <v>935</v>
      </c>
      <c r="BI68">
        <v>935</v>
      </c>
      <c r="BJ68">
        <v>935</v>
      </c>
      <c r="BK68">
        <v>935</v>
      </c>
      <c r="BL68">
        <v>935</v>
      </c>
      <c r="BM68">
        <v>936</v>
      </c>
      <c r="BN68">
        <v>936</v>
      </c>
      <c r="BO68">
        <v>936</v>
      </c>
      <c r="BP68">
        <v>936</v>
      </c>
      <c r="BQ68">
        <v>936</v>
      </c>
      <c r="BR68">
        <v>936</v>
      </c>
      <c r="BS68">
        <v>936</v>
      </c>
      <c r="BT68">
        <v>937</v>
      </c>
      <c r="BU68">
        <v>937</v>
      </c>
      <c r="BV68">
        <v>937</v>
      </c>
      <c r="BW68">
        <v>937</v>
      </c>
    </row>
    <row r="69" spans="1:75" x14ac:dyDescent="0.25">
      <c r="A69" t="s">
        <v>21</v>
      </c>
      <c r="B69" t="s">
        <v>176</v>
      </c>
      <c r="C69">
        <v>43.6661</v>
      </c>
      <c r="D69">
        <v>126.1923</v>
      </c>
      <c r="E69">
        <v>0</v>
      </c>
      <c r="F69">
        <v>1</v>
      </c>
      <c r="G69">
        <v>3</v>
      </c>
      <c r="H69">
        <v>4</v>
      </c>
      <c r="I69">
        <v>4</v>
      </c>
      <c r="J69">
        <v>6</v>
      </c>
      <c r="K69">
        <v>8</v>
      </c>
      <c r="L69">
        <v>9</v>
      </c>
      <c r="M69">
        <v>14</v>
      </c>
      <c r="N69">
        <v>14</v>
      </c>
      <c r="O69">
        <v>17</v>
      </c>
      <c r="P69">
        <v>23</v>
      </c>
      <c r="Q69">
        <v>31</v>
      </c>
      <c r="R69">
        <v>42</v>
      </c>
      <c r="S69">
        <v>54</v>
      </c>
      <c r="T69">
        <v>59</v>
      </c>
      <c r="U69">
        <v>65</v>
      </c>
      <c r="V69">
        <v>69</v>
      </c>
      <c r="W69">
        <v>78</v>
      </c>
      <c r="X69">
        <v>80</v>
      </c>
      <c r="Y69">
        <v>81</v>
      </c>
      <c r="Z69">
        <v>83</v>
      </c>
      <c r="AA69">
        <v>84</v>
      </c>
      <c r="AB69">
        <v>86</v>
      </c>
      <c r="AC69">
        <v>88</v>
      </c>
      <c r="AD69">
        <v>89</v>
      </c>
      <c r="AE69">
        <v>89</v>
      </c>
      <c r="AF69">
        <v>89</v>
      </c>
      <c r="AG69">
        <v>90</v>
      </c>
      <c r="AH69">
        <v>91</v>
      </c>
      <c r="AI69">
        <v>91</v>
      </c>
      <c r="AJ69">
        <v>91</v>
      </c>
      <c r="AK69">
        <v>91</v>
      </c>
      <c r="AL69">
        <v>93</v>
      </c>
      <c r="AM69">
        <v>93</v>
      </c>
      <c r="AN69">
        <v>93</v>
      </c>
      <c r="AO69">
        <v>93</v>
      </c>
      <c r="AP69">
        <v>93</v>
      </c>
      <c r="AQ69">
        <v>93</v>
      </c>
      <c r="AR69">
        <v>93</v>
      </c>
      <c r="AS69">
        <v>93</v>
      </c>
      <c r="AT69">
        <v>93</v>
      </c>
      <c r="AU69">
        <v>93</v>
      </c>
      <c r="AV69">
        <v>93</v>
      </c>
      <c r="AW69">
        <v>93</v>
      </c>
      <c r="AX69">
        <v>93</v>
      </c>
      <c r="AY69">
        <v>93</v>
      </c>
      <c r="AZ69">
        <v>93</v>
      </c>
      <c r="BA69">
        <v>93</v>
      </c>
      <c r="BB69">
        <v>93</v>
      </c>
      <c r="BC69">
        <v>93</v>
      </c>
      <c r="BD69">
        <v>93</v>
      </c>
      <c r="BE69">
        <v>93</v>
      </c>
      <c r="BF69">
        <v>93</v>
      </c>
      <c r="BG69">
        <v>93</v>
      </c>
      <c r="BH69">
        <v>93</v>
      </c>
      <c r="BI69">
        <v>93</v>
      </c>
      <c r="BJ69">
        <v>93</v>
      </c>
      <c r="BK69">
        <v>93</v>
      </c>
      <c r="BL69">
        <v>93</v>
      </c>
      <c r="BM69">
        <v>93</v>
      </c>
      <c r="BN69">
        <v>93</v>
      </c>
      <c r="BO69">
        <v>93</v>
      </c>
      <c r="BP69">
        <v>94</v>
      </c>
      <c r="BQ69">
        <v>95</v>
      </c>
      <c r="BR69">
        <v>95</v>
      </c>
      <c r="BS69">
        <v>97</v>
      </c>
      <c r="BT69">
        <v>98</v>
      </c>
      <c r="BU69">
        <v>98</v>
      </c>
      <c r="BV69">
        <v>98</v>
      </c>
      <c r="BW69">
        <v>98</v>
      </c>
    </row>
    <row r="70" spans="1:75" x14ac:dyDescent="0.25">
      <c r="A70" t="s">
        <v>22</v>
      </c>
      <c r="B70" t="s">
        <v>176</v>
      </c>
      <c r="C70">
        <v>41.2956</v>
      </c>
      <c r="D70">
        <v>122.60850000000001</v>
      </c>
      <c r="E70">
        <v>2</v>
      </c>
      <c r="F70">
        <v>3</v>
      </c>
      <c r="G70">
        <v>4</v>
      </c>
      <c r="H70">
        <v>17</v>
      </c>
      <c r="I70">
        <v>21</v>
      </c>
      <c r="J70">
        <v>27</v>
      </c>
      <c r="K70">
        <v>34</v>
      </c>
      <c r="L70">
        <v>39</v>
      </c>
      <c r="M70">
        <v>41</v>
      </c>
      <c r="N70">
        <v>48</v>
      </c>
      <c r="O70">
        <v>64</v>
      </c>
      <c r="P70">
        <v>70</v>
      </c>
      <c r="Q70">
        <v>74</v>
      </c>
      <c r="R70">
        <v>81</v>
      </c>
      <c r="S70">
        <v>89</v>
      </c>
      <c r="T70">
        <v>94</v>
      </c>
      <c r="U70">
        <v>99</v>
      </c>
      <c r="V70">
        <v>105</v>
      </c>
      <c r="W70">
        <v>107</v>
      </c>
      <c r="X70">
        <v>108</v>
      </c>
      <c r="Y70">
        <v>111</v>
      </c>
      <c r="Z70">
        <v>116</v>
      </c>
      <c r="AA70">
        <v>117</v>
      </c>
      <c r="AB70">
        <v>119</v>
      </c>
      <c r="AC70">
        <v>119</v>
      </c>
      <c r="AD70">
        <v>121</v>
      </c>
      <c r="AE70">
        <v>121</v>
      </c>
      <c r="AF70">
        <v>121</v>
      </c>
      <c r="AG70">
        <v>121</v>
      </c>
      <c r="AH70">
        <v>121</v>
      </c>
      <c r="AI70">
        <v>121</v>
      </c>
      <c r="AJ70">
        <v>121</v>
      </c>
      <c r="AK70">
        <v>121</v>
      </c>
      <c r="AL70">
        <v>121</v>
      </c>
      <c r="AM70">
        <v>121</v>
      </c>
      <c r="AN70">
        <v>121</v>
      </c>
      <c r="AO70">
        <v>121</v>
      </c>
      <c r="AP70">
        <v>121</v>
      </c>
      <c r="AQ70">
        <v>121</v>
      </c>
      <c r="AR70">
        <v>122</v>
      </c>
      <c r="AS70">
        <v>122</v>
      </c>
      <c r="AT70">
        <v>125</v>
      </c>
      <c r="AU70">
        <v>125</v>
      </c>
      <c r="AV70">
        <v>125</v>
      </c>
      <c r="AW70">
        <v>125</v>
      </c>
      <c r="AX70">
        <v>125</v>
      </c>
      <c r="AY70">
        <v>125</v>
      </c>
      <c r="AZ70">
        <v>125</v>
      </c>
      <c r="BA70">
        <v>125</v>
      </c>
      <c r="BB70">
        <v>125</v>
      </c>
      <c r="BC70">
        <v>125</v>
      </c>
      <c r="BD70">
        <v>125</v>
      </c>
      <c r="BE70">
        <v>125</v>
      </c>
      <c r="BF70">
        <v>125</v>
      </c>
      <c r="BG70">
        <v>125</v>
      </c>
      <c r="BH70">
        <v>125</v>
      </c>
      <c r="BI70">
        <v>125</v>
      </c>
      <c r="BJ70">
        <v>125</v>
      </c>
      <c r="BK70">
        <v>126</v>
      </c>
      <c r="BL70">
        <v>126</v>
      </c>
      <c r="BM70">
        <v>127</v>
      </c>
      <c r="BN70">
        <v>127</v>
      </c>
      <c r="BO70">
        <v>127</v>
      </c>
      <c r="BP70">
        <v>127</v>
      </c>
      <c r="BQ70">
        <v>128</v>
      </c>
      <c r="BR70">
        <v>128</v>
      </c>
      <c r="BS70">
        <v>132</v>
      </c>
      <c r="BT70">
        <v>134</v>
      </c>
      <c r="BU70">
        <v>136</v>
      </c>
      <c r="BV70">
        <v>139</v>
      </c>
      <c r="BW70">
        <v>140</v>
      </c>
    </row>
    <row r="71" spans="1:75" x14ac:dyDescent="0.25">
      <c r="A71" t="s">
        <v>38</v>
      </c>
      <c r="B71" t="s">
        <v>176</v>
      </c>
      <c r="C71">
        <v>22.166699999999999</v>
      </c>
      <c r="D71">
        <v>113.55</v>
      </c>
      <c r="E71">
        <v>1</v>
      </c>
      <c r="F71">
        <v>2</v>
      </c>
      <c r="G71">
        <v>2</v>
      </c>
      <c r="H71">
        <v>2</v>
      </c>
      <c r="I71">
        <v>5</v>
      </c>
      <c r="J71">
        <v>6</v>
      </c>
      <c r="K71">
        <v>7</v>
      </c>
      <c r="L71">
        <v>7</v>
      </c>
      <c r="M71">
        <v>7</v>
      </c>
      <c r="N71">
        <v>7</v>
      </c>
      <c r="O71">
        <v>7</v>
      </c>
      <c r="P71">
        <v>8</v>
      </c>
      <c r="Q71">
        <v>8</v>
      </c>
      <c r="R71">
        <v>10</v>
      </c>
      <c r="S71">
        <v>10</v>
      </c>
      <c r="T71">
        <v>10</v>
      </c>
      <c r="U71">
        <v>10</v>
      </c>
      <c r="V71">
        <v>10</v>
      </c>
      <c r="W71">
        <v>10</v>
      </c>
      <c r="X71">
        <v>10</v>
      </c>
      <c r="Y71">
        <v>10</v>
      </c>
      <c r="Z71">
        <v>10</v>
      </c>
      <c r="AA71">
        <v>10</v>
      </c>
      <c r="AB71">
        <v>10</v>
      </c>
      <c r="AC71">
        <v>10</v>
      </c>
      <c r="AD71">
        <v>10</v>
      </c>
      <c r="AE71">
        <v>10</v>
      </c>
      <c r="AF71">
        <v>10</v>
      </c>
      <c r="AG71">
        <v>10</v>
      </c>
      <c r="AH71">
        <v>10</v>
      </c>
      <c r="AI71">
        <v>10</v>
      </c>
      <c r="AJ71">
        <v>10</v>
      </c>
      <c r="AK71">
        <v>10</v>
      </c>
      <c r="AL71">
        <v>10</v>
      </c>
      <c r="AM71">
        <v>10</v>
      </c>
      <c r="AN71">
        <v>10</v>
      </c>
      <c r="AO71">
        <v>10</v>
      </c>
      <c r="AP71">
        <v>10</v>
      </c>
      <c r="AQ71">
        <v>10</v>
      </c>
      <c r="AR71">
        <v>10</v>
      </c>
      <c r="AS71">
        <v>10</v>
      </c>
      <c r="AT71">
        <v>10</v>
      </c>
      <c r="AU71">
        <v>10</v>
      </c>
      <c r="AV71">
        <v>10</v>
      </c>
      <c r="AW71">
        <v>10</v>
      </c>
      <c r="AX71">
        <v>10</v>
      </c>
      <c r="AY71">
        <v>10</v>
      </c>
      <c r="AZ71">
        <v>10</v>
      </c>
      <c r="BA71">
        <v>10</v>
      </c>
      <c r="BB71">
        <v>10</v>
      </c>
      <c r="BC71">
        <v>10</v>
      </c>
      <c r="BD71">
        <v>10</v>
      </c>
      <c r="BE71">
        <v>10</v>
      </c>
      <c r="BF71">
        <v>10</v>
      </c>
      <c r="BG71">
        <v>11</v>
      </c>
      <c r="BH71">
        <v>12</v>
      </c>
      <c r="BI71">
        <v>15</v>
      </c>
      <c r="BJ71">
        <v>17</v>
      </c>
      <c r="BK71">
        <v>17</v>
      </c>
      <c r="BL71">
        <v>18</v>
      </c>
      <c r="BM71">
        <v>24</v>
      </c>
      <c r="BN71">
        <v>24</v>
      </c>
      <c r="BO71">
        <v>25</v>
      </c>
      <c r="BP71">
        <v>30</v>
      </c>
      <c r="BQ71">
        <v>31</v>
      </c>
      <c r="BR71">
        <v>33</v>
      </c>
      <c r="BS71">
        <v>37</v>
      </c>
      <c r="BT71">
        <v>37</v>
      </c>
      <c r="BU71">
        <v>38</v>
      </c>
      <c r="BV71">
        <v>41</v>
      </c>
      <c r="BW71">
        <v>41</v>
      </c>
    </row>
    <row r="72" spans="1:75" x14ac:dyDescent="0.25">
      <c r="A72" t="s">
        <v>23</v>
      </c>
      <c r="B72" t="s">
        <v>176</v>
      </c>
      <c r="C72">
        <v>37.269199999999998</v>
      </c>
      <c r="D72">
        <v>106.16549999999999</v>
      </c>
      <c r="E72">
        <v>1</v>
      </c>
      <c r="F72">
        <v>1</v>
      </c>
      <c r="G72">
        <v>2</v>
      </c>
      <c r="H72">
        <v>3</v>
      </c>
      <c r="I72">
        <v>4</v>
      </c>
      <c r="J72">
        <v>7</v>
      </c>
      <c r="K72">
        <v>11</v>
      </c>
      <c r="L72">
        <v>12</v>
      </c>
      <c r="M72">
        <v>17</v>
      </c>
      <c r="N72">
        <v>21</v>
      </c>
      <c r="O72">
        <v>26</v>
      </c>
      <c r="P72">
        <v>28</v>
      </c>
      <c r="Q72">
        <v>31</v>
      </c>
      <c r="R72">
        <v>34</v>
      </c>
      <c r="S72">
        <v>34</v>
      </c>
      <c r="T72">
        <v>40</v>
      </c>
      <c r="U72">
        <v>43</v>
      </c>
      <c r="V72">
        <v>45</v>
      </c>
      <c r="W72">
        <v>45</v>
      </c>
      <c r="X72">
        <v>49</v>
      </c>
      <c r="Y72">
        <v>53</v>
      </c>
      <c r="Z72">
        <v>58</v>
      </c>
      <c r="AA72">
        <v>64</v>
      </c>
      <c r="AB72">
        <v>67</v>
      </c>
      <c r="AC72">
        <v>70</v>
      </c>
      <c r="AD72">
        <v>70</v>
      </c>
      <c r="AE72">
        <v>70</v>
      </c>
      <c r="AF72">
        <v>70</v>
      </c>
      <c r="AG72">
        <v>71</v>
      </c>
      <c r="AH72">
        <v>71</v>
      </c>
      <c r="AI72">
        <v>71</v>
      </c>
      <c r="AJ72">
        <v>71</v>
      </c>
      <c r="AK72">
        <v>71</v>
      </c>
      <c r="AL72">
        <v>71</v>
      </c>
      <c r="AM72">
        <v>71</v>
      </c>
      <c r="AN72">
        <v>71</v>
      </c>
      <c r="AO72">
        <v>72</v>
      </c>
      <c r="AP72">
        <v>72</v>
      </c>
      <c r="AQ72">
        <v>73</v>
      </c>
      <c r="AR72">
        <v>73</v>
      </c>
      <c r="AS72">
        <v>74</v>
      </c>
      <c r="AT72">
        <v>74</v>
      </c>
      <c r="AU72">
        <v>75</v>
      </c>
      <c r="AV72">
        <v>75</v>
      </c>
      <c r="AW72">
        <v>75</v>
      </c>
      <c r="AX72">
        <v>75</v>
      </c>
      <c r="AY72">
        <v>75</v>
      </c>
      <c r="AZ72">
        <v>75</v>
      </c>
      <c r="BA72">
        <v>75</v>
      </c>
      <c r="BB72">
        <v>75</v>
      </c>
      <c r="BC72">
        <v>75</v>
      </c>
      <c r="BD72">
        <v>75</v>
      </c>
      <c r="BE72">
        <v>75</v>
      </c>
      <c r="BF72">
        <v>75</v>
      </c>
      <c r="BG72">
        <v>75</v>
      </c>
      <c r="BH72">
        <v>75</v>
      </c>
      <c r="BI72">
        <v>75</v>
      </c>
      <c r="BJ72">
        <v>75</v>
      </c>
      <c r="BK72">
        <v>75</v>
      </c>
      <c r="BL72">
        <v>75</v>
      </c>
      <c r="BM72">
        <v>75</v>
      </c>
      <c r="BN72">
        <v>75</v>
      </c>
      <c r="BO72">
        <v>75</v>
      </c>
      <c r="BP72">
        <v>75</v>
      </c>
      <c r="BQ72">
        <v>75</v>
      </c>
      <c r="BR72">
        <v>75</v>
      </c>
      <c r="BS72">
        <v>75</v>
      </c>
      <c r="BT72">
        <v>75</v>
      </c>
      <c r="BU72">
        <v>75</v>
      </c>
      <c r="BV72">
        <v>75</v>
      </c>
      <c r="BW72">
        <v>75</v>
      </c>
    </row>
    <row r="73" spans="1:75" x14ac:dyDescent="0.25">
      <c r="A73" t="s">
        <v>24</v>
      </c>
      <c r="B73" t="s">
        <v>176</v>
      </c>
      <c r="C73">
        <v>35.745199999999997</v>
      </c>
      <c r="D73">
        <v>95.995599999999996</v>
      </c>
      <c r="E73">
        <v>0</v>
      </c>
      <c r="F73">
        <v>0</v>
      </c>
      <c r="G73">
        <v>0</v>
      </c>
      <c r="H73">
        <v>1</v>
      </c>
      <c r="I73">
        <v>1</v>
      </c>
      <c r="J73">
        <v>6</v>
      </c>
      <c r="K73">
        <v>6</v>
      </c>
      <c r="L73">
        <v>6</v>
      </c>
      <c r="M73">
        <v>8</v>
      </c>
      <c r="N73">
        <v>8</v>
      </c>
      <c r="O73">
        <v>9</v>
      </c>
      <c r="P73">
        <v>11</v>
      </c>
      <c r="Q73">
        <v>13</v>
      </c>
      <c r="R73">
        <v>15</v>
      </c>
      <c r="S73">
        <v>17</v>
      </c>
      <c r="T73">
        <v>18</v>
      </c>
      <c r="U73">
        <v>18</v>
      </c>
      <c r="V73">
        <v>18</v>
      </c>
      <c r="W73">
        <v>18</v>
      </c>
      <c r="X73">
        <v>18</v>
      </c>
      <c r="Y73">
        <v>18</v>
      </c>
      <c r="Z73">
        <v>18</v>
      </c>
      <c r="AA73">
        <v>18</v>
      </c>
      <c r="AB73">
        <v>18</v>
      </c>
      <c r="AC73">
        <v>18</v>
      </c>
      <c r="AD73">
        <v>18</v>
      </c>
      <c r="AE73">
        <v>18</v>
      </c>
      <c r="AF73">
        <v>18</v>
      </c>
      <c r="AG73">
        <v>18</v>
      </c>
      <c r="AH73">
        <v>18</v>
      </c>
      <c r="AI73">
        <v>18</v>
      </c>
      <c r="AJ73">
        <v>18</v>
      </c>
      <c r="AK73">
        <v>18</v>
      </c>
      <c r="AL73">
        <v>18</v>
      </c>
      <c r="AM73">
        <v>18</v>
      </c>
      <c r="AN73">
        <v>18</v>
      </c>
      <c r="AO73">
        <v>18</v>
      </c>
      <c r="AP73">
        <v>18</v>
      </c>
      <c r="AQ73">
        <v>18</v>
      </c>
      <c r="AR73">
        <v>18</v>
      </c>
      <c r="AS73">
        <v>18</v>
      </c>
      <c r="AT73">
        <v>18</v>
      </c>
      <c r="AU73">
        <v>18</v>
      </c>
      <c r="AV73">
        <v>18</v>
      </c>
      <c r="AW73">
        <v>18</v>
      </c>
      <c r="AX73">
        <v>18</v>
      </c>
      <c r="AY73">
        <v>18</v>
      </c>
      <c r="AZ73">
        <v>18</v>
      </c>
      <c r="BA73">
        <v>18</v>
      </c>
      <c r="BB73">
        <v>18</v>
      </c>
      <c r="BC73">
        <v>18</v>
      </c>
      <c r="BD73">
        <v>18</v>
      </c>
      <c r="BE73">
        <v>18</v>
      </c>
      <c r="BF73">
        <v>18</v>
      </c>
      <c r="BG73">
        <v>18</v>
      </c>
      <c r="BH73">
        <v>18</v>
      </c>
      <c r="BI73">
        <v>18</v>
      </c>
      <c r="BJ73">
        <v>18</v>
      </c>
      <c r="BK73">
        <v>18</v>
      </c>
      <c r="BL73">
        <v>18</v>
      </c>
      <c r="BM73">
        <v>18</v>
      </c>
      <c r="BN73">
        <v>18</v>
      </c>
      <c r="BO73">
        <v>18</v>
      </c>
      <c r="BP73">
        <v>18</v>
      </c>
      <c r="BQ73">
        <v>18</v>
      </c>
      <c r="BR73">
        <v>18</v>
      </c>
      <c r="BS73">
        <v>18</v>
      </c>
      <c r="BT73">
        <v>18</v>
      </c>
      <c r="BU73">
        <v>18</v>
      </c>
      <c r="BV73">
        <v>18</v>
      </c>
      <c r="BW73">
        <v>18</v>
      </c>
    </row>
    <row r="74" spans="1:75" x14ac:dyDescent="0.25">
      <c r="A74" t="s">
        <v>25</v>
      </c>
      <c r="B74" t="s">
        <v>176</v>
      </c>
      <c r="C74">
        <v>35.191699999999997</v>
      </c>
      <c r="D74">
        <v>108.87009999999999</v>
      </c>
      <c r="E74">
        <v>0</v>
      </c>
      <c r="F74">
        <v>3</v>
      </c>
      <c r="G74">
        <v>5</v>
      </c>
      <c r="H74">
        <v>15</v>
      </c>
      <c r="I74">
        <v>22</v>
      </c>
      <c r="J74">
        <v>35</v>
      </c>
      <c r="K74">
        <v>46</v>
      </c>
      <c r="L74">
        <v>56</v>
      </c>
      <c r="M74">
        <v>63</v>
      </c>
      <c r="N74">
        <v>87</v>
      </c>
      <c r="O74">
        <v>101</v>
      </c>
      <c r="P74">
        <v>116</v>
      </c>
      <c r="Q74">
        <v>128</v>
      </c>
      <c r="R74">
        <v>142</v>
      </c>
      <c r="S74">
        <v>165</v>
      </c>
      <c r="T74">
        <v>173</v>
      </c>
      <c r="U74">
        <v>184</v>
      </c>
      <c r="V74">
        <v>195</v>
      </c>
      <c r="W74">
        <v>208</v>
      </c>
      <c r="X74">
        <v>213</v>
      </c>
      <c r="Y74">
        <v>219</v>
      </c>
      <c r="Z74">
        <v>225</v>
      </c>
      <c r="AA74">
        <v>229</v>
      </c>
      <c r="AB74">
        <v>230</v>
      </c>
      <c r="AC74">
        <v>232</v>
      </c>
      <c r="AD74">
        <v>236</v>
      </c>
      <c r="AE74">
        <v>240</v>
      </c>
      <c r="AF74">
        <v>240</v>
      </c>
      <c r="AG74">
        <v>242</v>
      </c>
      <c r="AH74">
        <v>245</v>
      </c>
      <c r="AI74">
        <v>245</v>
      </c>
      <c r="AJ74">
        <v>245</v>
      </c>
      <c r="AK74">
        <v>245</v>
      </c>
      <c r="AL74">
        <v>245</v>
      </c>
      <c r="AM74">
        <v>245</v>
      </c>
      <c r="AN74">
        <v>245</v>
      </c>
      <c r="AO74">
        <v>245</v>
      </c>
      <c r="AP74">
        <v>245</v>
      </c>
      <c r="AQ74">
        <v>245</v>
      </c>
      <c r="AR74">
        <v>245</v>
      </c>
      <c r="AS74">
        <v>245</v>
      </c>
      <c r="AT74">
        <v>245</v>
      </c>
      <c r="AU74">
        <v>245</v>
      </c>
      <c r="AV74">
        <v>245</v>
      </c>
      <c r="AW74">
        <v>245</v>
      </c>
      <c r="AX74">
        <v>245</v>
      </c>
      <c r="AY74">
        <v>245</v>
      </c>
      <c r="AZ74">
        <v>245</v>
      </c>
      <c r="BA74">
        <v>245</v>
      </c>
      <c r="BB74">
        <v>245</v>
      </c>
      <c r="BC74">
        <v>245</v>
      </c>
      <c r="BD74">
        <v>245</v>
      </c>
      <c r="BE74">
        <v>245</v>
      </c>
      <c r="BF74">
        <v>245</v>
      </c>
      <c r="BG74">
        <v>245</v>
      </c>
      <c r="BH74">
        <v>246</v>
      </c>
      <c r="BI74">
        <v>246</v>
      </c>
      <c r="BJ74">
        <v>246</v>
      </c>
      <c r="BK74">
        <v>247</v>
      </c>
      <c r="BL74">
        <v>248</v>
      </c>
      <c r="BM74">
        <v>248</v>
      </c>
      <c r="BN74">
        <v>248</v>
      </c>
      <c r="BO74">
        <v>249</v>
      </c>
      <c r="BP74">
        <v>250</v>
      </c>
      <c r="BQ74">
        <v>253</v>
      </c>
      <c r="BR74">
        <v>253</v>
      </c>
      <c r="BS74">
        <v>253</v>
      </c>
      <c r="BT74">
        <v>253</v>
      </c>
      <c r="BU74">
        <v>253</v>
      </c>
      <c r="BV74">
        <v>253</v>
      </c>
      <c r="BW74">
        <v>255</v>
      </c>
    </row>
    <row r="75" spans="1:75" x14ac:dyDescent="0.25">
      <c r="A75" t="s">
        <v>26</v>
      </c>
      <c r="B75" t="s">
        <v>176</v>
      </c>
      <c r="C75">
        <v>36.342700000000001</v>
      </c>
      <c r="D75">
        <v>118.1498</v>
      </c>
      <c r="E75">
        <v>2</v>
      </c>
      <c r="F75">
        <v>6</v>
      </c>
      <c r="G75">
        <v>15</v>
      </c>
      <c r="H75">
        <v>27</v>
      </c>
      <c r="I75">
        <v>46</v>
      </c>
      <c r="J75">
        <v>75</v>
      </c>
      <c r="K75">
        <v>95</v>
      </c>
      <c r="L75">
        <v>130</v>
      </c>
      <c r="M75">
        <v>158</v>
      </c>
      <c r="N75">
        <v>184</v>
      </c>
      <c r="O75">
        <v>206</v>
      </c>
      <c r="P75">
        <v>230</v>
      </c>
      <c r="Q75">
        <v>259</v>
      </c>
      <c r="R75">
        <v>275</v>
      </c>
      <c r="S75">
        <v>307</v>
      </c>
      <c r="T75">
        <v>347</v>
      </c>
      <c r="U75">
        <v>386</v>
      </c>
      <c r="V75">
        <v>416</v>
      </c>
      <c r="W75">
        <v>444</v>
      </c>
      <c r="X75">
        <v>466</v>
      </c>
      <c r="Y75">
        <v>487</v>
      </c>
      <c r="Z75">
        <v>497</v>
      </c>
      <c r="AA75">
        <v>509</v>
      </c>
      <c r="AB75">
        <v>523</v>
      </c>
      <c r="AC75">
        <v>532</v>
      </c>
      <c r="AD75">
        <v>537</v>
      </c>
      <c r="AE75">
        <v>541</v>
      </c>
      <c r="AF75">
        <v>543</v>
      </c>
      <c r="AG75">
        <v>544</v>
      </c>
      <c r="AH75">
        <v>546</v>
      </c>
      <c r="AI75">
        <v>749</v>
      </c>
      <c r="AJ75">
        <v>750</v>
      </c>
      <c r="AK75">
        <v>754</v>
      </c>
      <c r="AL75">
        <v>755</v>
      </c>
      <c r="AM75">
        <v>756</v>
      </c>
      <c r="AN75">
        <v>756</v>
      </c>
      <c r="AO75">
        <v>756</v>
      </c>
      <c r="AP75">
        <v>756</v>
      </c>
      <c r="AQ75">
        <v>756</v>
      </c>
      <c r="AR75">
        <v>758</v>
      </c>
      <c r="AS75">
        <v>758</v>
      </c>
      <c r="AT75">
        <v>758</v>
      </c>
      <c r="AU75">
        <v>758</v>
      </c>
      <c r="AV75">
        <v>758</v>
      </c>
      <c r="AW75">
        <v>758</v>
      </c>
      <c r="AX75">
        <v>758</v>
      </c>
      <c r="AY75">
        <v>758</v>
      </c>
      <c r="AZ75">
        <v>758</v>
      </c>
      <c r="BA75">
        <v>758</v>
      </c>
      <c r="BB75">
        <v>760</v>
      </c>
      <c r="BC75">
        <v>760</v>
      </c>
      <c r="BD75">
        <v>760</v>
      </c>
      <c r="BE75">
        <v>760</v>
      </c>
      <c r="BF75">
        <v>760</v>
      </c>
      <c r="BG75">
        <v>760</v>
      </c>
      <c r="BH75">
        <v>761</v>
      </c>
      <c r="BI75">
        <v>761</v>
      </c>
      <c r="BJ75">
        <v>761</v>
      </c>
      <c r="BK75">
        <v>762</v>
      </c>
      <c r="BL75">
        <v>764</v>
      </c>
      <c r="BM75">
        <v>767</v>
      </c>
      <c r="BN75">
        <v>768</v>
      </c>
      <c r="BO75">
        <v>768</v>
      </c>
      <c r="BP75">
        <v>769</v>
      </c>
      <c r="BQ75">
        <v>771</v>
      </c>
      <c r="BR75">
        <v>772</v>
      </c>
      <c r="BS75">
        <v>772</v>
      </c>
      <c r="BT75">
        <v>772</v>
      </c>
      <c r="BU75">
        <v>773</v>
      </c>
      <c r="BV75">
        <v>774</v>
      </c>
      <c r="BW75">
        <v>774</v>
      </c>
    </row>
    <row r="76" spans="1:75" x14ac:dyDescent="0.25">
      <c r="A76" t="s">
        <v>27</v>
      </c>
      <c r="B76" t="s">
        <v>176</v>
      </c>
      <c r="C76">
        <v>31.201999999999899</v>
      </c>
      <c r="D76">
        <v>121.4491</v>
      </c>
      <c r="E76">
        <v>9</v>
      </c>
      <c r="F76">
        <v>16</v>
      </c>
      <c r="G76">
        <v>20</v>
      </c>
      <c r="H76">
        <v>33</v>
      </c>
      <c r="I76">
        <v>40</v>
      </c>
      <c r="J76">
        <v>53</v>
      </c>
      <c r="K76">
        <v>66</v>
      </c>
      <c r="L76">
        <v>96</v>
      </c>
      <c r="M76">
        <v>112</v>
      </c>
      <c r="N76">
        <v>135</v>
      </c>
      <c r="O76">
        <v>169</v>
      </c>
      <c r="P76">
        <v>182</v>
      </c>
      <c r="Q76">
        <v>203</v>
      </c>
      <c r="R76">
        <v>219</v>
      </c>
      <c r="S76">
        <v>243</v>
      </c>
      <c r="T76">
        <v>257</v>
      </c>
      <c r="U76">
        <v>277</v>
      </c>
      <c r="V76">
        <v>286</v>
      </c>
      <c r="W76">
        <v>293</v>
      </c>
      <c r="X76">
        <v>299</v>
      </c>
      <c r="Y76">
        <v>303</v>
      </c>
      <c r="Z76">
        <v>311</v>
      </c>
      <c r="AA76">
        <v>315</v>
      </c>
      <c r="AB76">
        <v>318</v>
      </c>
      <c r="AC76">
        <v>326</v>
      </c>
      <c r="AD76">
        <v>328</v>
      </c>
      <c r="AE76">
        <v>333</v>
      </c>
      <c r="AF76">
        <v>333</v>
      </c>
      <c r="AG76">
        <v>333</v>
      </c>
      <c r="AH76">
        <v>334</v>
      </c>
      <c r="AI76">
        <v>334</v>
      </c>
      <c r="AJ76">
        <v>335</v>
      </c>
      <c r="AK76">
        <v>335</v>
      </c>
      <c r="AL76">
        <v>335</v>
      </c>
      <c r="AM76">
        <v>336</v>
      </c>
      <c r="AN76">
        <v>337</v>
      </c>
      <c r="AO76">
        <v>337</v>
      </c>
      <c r="AP76">
        <v>337</v>
      </c>
      <c r="AQ76">
        <v>337</v>
      </c>
      <c r="AR76">
        <v>337</v>
      </c>
      <c r="AS76">
        <v>337</v>
      </c>
      <c r="AT76">
        <v>338</v>
      </c>
      <c r="AU76">
        <v>338</v>
      </c>
      <c r="AV76">
        <v>339</v>
      </c>
      <c r="AW76">
        <v>342</v>
      </c>
      <c r="AX76">
        <v>342</v>
      </c>
      <c r="AY76">
        <v>342</v>
      </c>
      <c r="AZ76">
        <v>342</v>
      </c>
      <c r="BA76">
        <v>344</v>
      </c>
      <c r="BB76">
        <v>344</v>
      </c>
      <c r="BC76">
        <v>344</v>
      </c>
      <c r="BD76">
        <v>346</v>
      </c>
      <c r="BE76">
        <v>353</v>
      </c>
      <c r="BF76">
        <v>353</v>
      </c>
      <c r="BG76">
        <v>355</v>
      </c>
      <c r="BH76">
        <v>358</v>
      </c>
      <c r="BI76">
        <v>361</v>
      </c>
      <c r="BJ76">
        <v>363</v>
      </c>
      <c r="BK76">
        <v>371</v>
      </c>
      <c r="BL76">
        <v>380</v>
      </c>
      <c r="BM76">
        <v>404</v>
      </c>
      <c r="BN76">
        <v>404</v>
      </c>
      <c r="BO76">
        <v>414</v>
      </c>
      <c r="BP76">
        <v>433</v>
      </c>
      <c r="BQ76">
        <v>451</v>
      </c>
      <c r="BR76">
        <v>468</v>
      </c>
      <c r="BS76">
        <v>485</v>
      </c>
      <c r="BT76">
        <v>492</v>
      </c>
      <c r="BU76">
        <v>498</v>
      </c>
      <c r="BV76">
        <v>509</v>
      </c>
      <c r="BW76">
        <v>516</v>
      </c>
    </row>
    <row r="77" spans="1:75" x14ac:dyDescent="0.25">
      <c r="A77" t="s">
        <v>28</v>
      </c>
      <c r="B77" t="s">
        <v>176</v>
      </c>
      <c r="C77">
        <v>37.5777</v>
      </c>
      <c r="D77">
        <v>112.29219999999999</v>
      </c>
      <c r="E77">
        <v>1</v>
      </c>
      <c r="F77">
        <v>1</v>
      </c>
      <c r="G77">
        <v>1</v>
      </c>
      <c r="H77">
        <v>6</v>
      </c>
      <c r="I77">
        <v>9</v>
      </c>
      <c r="J77">
        <v>13</v>
      </c>
      <c r="K77">
        <v>27</v>
      </c>
      <c r="L77">
        <v>27</v>
      </c>
      <c r="M77">
        <v>35</v>
      </c>
      <c r="N77">
        <v>39</v>
      </c>
      <c r="O77">
        <v>47</v>
      </c>
      <c r="P77">
        <v>66</v>
      </c>
      <c r="Q77">
        <v>74</v>
      </c>
      <c r="R77">
        <v>81</v>
      </c>
      <c r="S77">
        <v>81</v>
      </c>
      <c r="T77">
        <v>96</v>
      </c>
      <c r="U77">
        <v>104</v>
      </c>
      <c r="V77">
        <v>115</v>
      </c>
      <c r="W77">
        <v>119</v>
      </c>
      <c r="X77">
        <v>119</v>
      </c>
      <c r="Y77">
        <v>124</v>
      </c>
      <c r="Z77">
        <v>126</v>
      </c>
      <c r="AA77">
        <v>126</v>
      </c>
      <c r="AB77">
        <v>127</v>
      </c>
      <c r="AC77">
        <v>128</v>
      </c>
      <c r="AD77">
        <v>129</v>
      </c>
      <c r="AE77">
        <v>130</v>
      </c>
      <c r="AF77">
        <v>131</v>
      </c>
      <c r="AG77">
        <v>131</v>
      </c>
      <c r="AH77">
        <v>132</v>
      </c>
      <c r="AI77">
        <v>132</v>
      </c>
      <c r="AJ77">
        <v>132</v>
      </c>
      <c r="AK77">
        <v>132</v>
      </c>
      <c r="AL77">
        <v>133</v>
      </c>
      <c r="AM77">
        <v>133</v>
      </c>
      <c r="AN77">
        <v>133</v>
      </c>
      <c r="AO77">
        <v>133</v>
      </c>
      <c r="AP77">
        <v>133</v>
      </c>
      <c r="AQ77">
        <v>133</v>
      </c>
      <c r="AR77">
        <v>133</v>
      </c>
      <c r="AS77">
        <v>133</v>
      </c>
      <c r="AT77">
        <v>133</v>
      </c>
      <c r="AU77">
        <v>133</v>
      </c>
      <c r="AV77">
        <v>133</v>
      </c>
      <c r="AW77">
        <v>133</v>
      </c>
      <c r="AX77">
        <v>133</v>
      </c>
      <c r="AY77">
        <v>133</v>
      </c>
      <c r="AZ77">
        <v>133</v>
      </c>
      <c r="BA77">
        <v>133</v>
      </c>
      <c r="BB77">
        <v>133</v>
      </c>
      <c r="BC77">
        <v>133</v>
      </c>
      <c r="BD77">
        <v>133</v>
      </c>
      <c r="BE77">
        <v>133</v>
      </c>
      <c r="BF77">
        <v>133</v>
      </c>
      <c r="BG77">
        <v>133</v>
      </c>
      <c r="BH77">
        <v>133</v>
      </c>
      <c r="BI77">
        <v>133</v>
      </c>
      <c r="BJ77">
        <v>133</v>
      </c>
      <c r="BK77">
        <v>133</v>
      </c>
      <c r="BL77">
        <v>133</v>
      </c>
      <c r="BM77">
        <v>133</v>
      </c>
      <c r="BN77">
        <v>134</v>
      </c>
      <c r="BO77">
        <v>134</v>
      </c>
      <c r="BP77">
        <v>134</v>
      </c>
      <c r="BQ77">
        <v>135</v>
      </c>
      <c r="BR77">
        <v>135</v>
      </c>
      <c r="BS77">
        <v>135</v>
      </c>
      <c r="BT77">
        <v>136</v>
      </c>
      <c r="BU77">
        <v>136</v>
      </c>
      <c r="BV77">
        <v>136</v>
      </c>
      <c r="BW77">
        <v>137</v>
      </c>
    </row>
    <row r="78" spans="1:75" x14ac:dyDescent="0.25">
      <c r="A78" t="s">
        <v>29</v>
      </c>
      <c r="B78" t="s">
        <v>176</v>
      </c>
      <c r="C78">
        <v>30.617100000000001</v>
      </c>
      <c r="D78">
        <v>102.7103</v>
      </c>
      <c r="E78">
        <v>5</v>
      </c>
      <c r="F78">
        <v>8</v>
      </c>
      <c r="G78">
        <v>15</v>
      </c>
      <c r="H78">
        <v>28</v>
      </c>
      <c r="I78">
        <v>44</v>
      </c>
      <c r="J78">
        <v>69</v>
      </c>
      <c r="K78">
        <v>90</v>
      </c>
      <c r="L78">
        <v>108</v>
      </c>
      <c r="M78">
        <v>142</v>
      </c>
      <c r="N78">
        <v>177</v>
      </c>
      <c r="O78">
        <v>207</v>
      </c>
      <c r="P78">
        <v>231</v>
      </c>
      <c r="Q78">
        <v>254</v>
      </c>
      <c r="R78">
        <v>282</v>
      </c>
      <c r="S78">
        <v>301</v>
      </c>
      <c r="T78">
        <v>321</v>
      </c>
      <c r="U78">
        <v>344</v>
      </c>
      <c r="V78">
        <v>364</v>
      </c>
      <c r="W78">
        <v>386</v>
      </c>
      <c r="X78">
        <v>405</v>
      </c>
      <c r="Y78">
        <v>417</v>
      </c>
      <c r="Z78">
        <v>436</v>
      </c>
      <c r="AA78">
        <v>451</v>
      </c>
      <c r="AB78">
        <v>463</v>
      </c>
      <c r="AC78">
        <v>470</v>
      </c>
      <c r="AD78">
        <v>481</v>
      </c>
      <c r="AE78">
        <v>495</v>
      </c>
      <c r="AF78">
        <v>508</v>
      </c>
      <c r="AG78">
        <v>514</v>
      </c>
      <c r="AH78">
        <v>520</v>
      </c>
      <c r="AI78">
        <v>525</v>
      </c>
      <c r="AJ78">
        <v>526</v>
      </c>
      <c r="AK78">
        <v>526</v>
      </c>
      <c r="AL78">
        <v>527</v>
      </c>
      <c r="AM78">
        <v>529</v>
      </c>
      <c r="AN78">
        <v>531</v>
      </c>
      <c r="AO78">
        <v>534</v>
      </c>
      <c r="AP78">
        <v>538</v>
      </c>
      <c r="AQ78">
        <v>538</v>
      </c>
      <c r="AR78">
        <v>538</v>
      </c>
      <c r="AS78">
        <v>538</v>
      </c>
      <c r="AT78">
        <v>538</v>
      </c>
      <c r="AU78">
        <v>538</v>
      </c>
      <c r="AV78">
        <v>539</v>
      </c>
      <c r="AW78">
        <v>539</v>
      </c>
      <c r="AX78">
        <v>539</v>
      </c>
      <c r="AY78">
        <v>539</v>
      </c>
      <c r="AZ78">
        <v>539</v>
      </c>
      <c r="BA78">
        <v>539</v>
      </c>
      <c r="BB78">
        <v>539</v>
      </c>
      <c r="BC78">
        <v>539</v>
      </c>
      <c r="BD78">
        <v>539</v>
      </c>
      <c r="BE78">
        <v>539</v>
      </c>
      <c r="BF78">
        <v>539</v>
      </c>
      <c r="BG78">
        <v>539</v>
      </c>
      <c r="BH78">
        <v>540</v>
      </c>
      <c r="BI78">
        <v>540</v>
      </c>
      <c r="BJ78">
        <v>540</v>
      </c>
      <c r="BK78">
        <v>541</v>
      </c>
      <c r="BL78">
        <v>542</v>
      </c>
      <c r="BM78">
        <v>543</v>
      </c>
      <c r="BN78">
        <v>543</v>
      </c>
      <c r="BO78">
        <v>545</v>
      </c>
      <c r="BP78">
        <v>547</v>
      </c>
      <c r="BQ78">
        <v>547</v>
      </c>
      <c r="BR78">
        <v>548</v>
      </c>
      <c r="BS78">
        <v>548</v>
      </c>
      <c r="BT78">
        <v>550</v>
      </c>
      <c r="BU78">
        <v>550</v>
      </c>
      <c r="BV78">
        <v>550</v>
      </c>
      <c r="BW78">
        <v>552</v>
      </c>
    </row>
    <row r="79" spans="1:75" x14ac:dyDescent="0.25">
      <c r="A79" t="s">
        <v>30</v>
      </c>
      <c r="B79" t="s">
        <v>176</v>
      </c>
      <c r="C79">
        <v>39.305399999999999</v>
      </c>
      <c r="D79">
        <v>117.32299999999999</v>
      </c>
      <c r="E79">
        <v>4</v>
      </c>
      <c r="F79">
        <v>4</v>
      </c>
      <c r="G79">
        <v>8</v>
      </c>
      <c r="H79">
        <v>10</v>
      </c>
      <c r="I79">
        <v>14</v>
      </c>
      <c r="J79">
        <v>23</v>
      </c>
      <c r="K79">
        <v>24</v>
      </c>
      <c r="L79">
        <v>27</v>
      </c>
      <c r="M79">
        <v>31</v>
      </c>
      <c r="N79">
        <v>32</v>
      </c>
      <c r="O79">
        <v>41</v>
      </c>
      <c r="P79">
        <v>48</v>
      </c>
      <c r="Q79">
        <v>60</v>
      </c>
      <c r="R79">
        <v>67</v>
      </c>
      <c r="S79">
        <v>69</v>
      </c>
      <c r="T79">
        <v>79</v>
      </c>
      <c r="U79">
        <v>81</v>
      </c>
      <c r="V79">
        <v>88</v>
      </c>
      <c r="W79">
        <v>91</v>
      </c>
      <c r="X79">
        <v>95</v>
      </c>
      <c r="Y79">
        <v>106</v>
      </c>
      <c r="Z79">
        <v>112</v>
      </c>
      <c r="AA79">
        <v>119</v>
      </c>
      <c r="AB79">
        <v>120</v>
      </c>
      <c r="AC79">
        <v>122</v>
      </c>
      <c r="AD79">
        <v>124</v>
      </c>
      <c r="AE79">
        <v>125</v>
      </c>
      <c r="AF79">
        <v>128</v>
      </c>
      <c r="AG79">
        <v>130</v>
      </c>
      <c r="AH79">
        <v>131</v>
      </c>
      <c r="AI79">
        <v>132</v>
      </c>
      <c r="AJ79">
        <v>135</v>
      </c>
      <c r="AK79">
        <v>135</v>
      </c>
      <c r="AL79">
        <v>135</v>
      </c>
      <c r="AM79">
        <v>135</v>
      </c>
      <c r="AN79">
        <v>135</v>
      </c>
      <c r="AO79">
        <v>136</v>
      </c>
      <c r="AP79">
        <v>136</v>
      </c>
      <c r="AQ79">
        <v>136</v>
      </c>
      <c r="AR79">
        <v>136</v>
      </c>
      <c r="AS79">
        <v>136</v>
      </c>
      <c r="AT79">
        <v>136</v>
      </c>
      <c r="AU79">
        <v>136</v>
      </c>
      <c r="AV79">
        <v>136</v>
      </c>
      <c r="AW79">
        <v>136</v>
      </c>
      <c r="AX79">
        <v>136</v>
      </c>
      <c r="AY79">
        <v>136</v>
      </c>
      <c r="AZ79">
        <v>136</v>
      </c>
      <c r="BA79">
        <v>136</v>
      </c>
      <c r="BB79">
        <v>136</v>
      </c>
      <c r="BC79">
        <v>136</v>
      </c>
      <c r="BD79">
        <v>136</v>
      </c>
      <c r="BE79">
        <v>136</v>
      </c>
      <c r="BF79">
        <v>136</v>
      </c>
      <c r="BG79">
        <v>136</v>
      </c>
      <c r="BH79">
        <v>136</v>
      </c>
      <c r="BI79">
        <v>136</v>
      </c>
      <c r="BJ79">
        <v>137</v>
      </c>
      <c r="BK79">
        <v>137</v>
      </c>
      <c r="BL79">
        <v>137</v>
      </c>
      <c r="BM79">
        <v>137</v>
      </c>
      <c r="BN79">
        <v>141</v>
      </c>
      <c r="BO79">
        <v>145</v>
      </c>
      <c r="BP79">
        <v>145</v>
      </c>
      <c r="BQ79">
        <v>151</v>
      </c>
      <c r="BR79">
        <v>155</v>
      </c>
      <c r="BS79">
        <v>161</v>
      </c>
      <c r="BT79">
        <v>166</v>
      </c>
      <c r="BU79">
        <v>174</v>
      </c>
      <c r="BV79">
        <v>174</v>
      </c>
      <c r="BW79">
        <v>176</v>
      </c>
    </row>
    <row r="80" spans="1:75" x14ac:dyDescent="0.25">
      <c r="A80" t="s">
        <v>31</v>
      </c>
      <c r="B80" t="s">
        <v>176</v>
      </c>
      <c r="C80">
        <v>31.692699999999999</v>
      </c>
      <c r="D80">
        <v>88.092399999999998</v>
      </c>
      <c r="E80">
        <v>0</v>
      </c>
      <c r="F80">
        <v>0</v>
      </c>
      <c r="G80">
        <v>0</v>
      </c>
      <c r="H80">
        <v>0</v>
      </c>
      <c r="I80">
        <v>0</v>
      </c>
      <c r="J80">
        <v>0</v>
      </c>
      <c r="K80">
        <v>0</v>
      </c>
      <c r="L80">
        <v>0</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c r="AR80">
        <v>1</v>
      </c>
      <c r="AS80">
        <v>1</v>
      </c>
      <c r="AT80">
        <v>1</v>
      </c>
      <c r="AU80">
        <v>1</v>
      </c>
      <c r="AV80">
        <v>1</v>
      </c>
      <c r="AW80">
        <v>1</v>
      </c>
      <c r="AX80">
        <v>1</v>
      </c>
      <c r="AY80">
        <v>1</v>
      </c>
      <c r="AZ80">
        <v>1</v>
      </c>
      <c r="BA80">
        <v>1</v>
      </c>
      <c r="BB80">
        <v>1</v>
      </c>
      <c r="BC80">
        <v>1</v>
      </c>
      <c r="BD80">
        <v>1</v>
      </c>
      <c r="BE80">
        <v>1</v>
      </c>
      <c r="BF80">
        <v>1</v>
      </c>
      <c r="BG80">
        <v>1</v>
      </c>
      <c r="BH80">
        <v>1</v>
      </c>
      <c r="BI80">
        <v>1</v>
      </c>
      <c r="BJ80">
        <v>1</v>
      </c>
      <c r="BK80">
        <v>1</v>
      </c>
      <c r="BL80">
        <v>1</v>
      </c>
      <c r="BM80">
        <v>1</v>
      </c>
      <c r="BN80">
        <v>1</v>
      </c>
      <c r="BO80">
        <v>1</v>
      </c>
      <c r="BP80">
        <v>1</v>
      </c>
      <c r="BQ80">
        <v>1</v>
      </c>
      <c r="BR80">
        <v>1</v>
      </c>
      <c r="BS80">
        <v>1</v>
      </c>
      <c r="BT80">
        <v>1</v>
      </c>
      <c r="BU80">
        <v>1</v>
      </c>
      <c r="BV80">
        <v>1</v>
      </c>
      <c r="BW80">
        <v>1</v>
      </c>
    </row>
    <row r="81" spans="1:75" x14ac:dyDescent="0.25">
      <c r="A81" t="s">
        <v>32</v>
      </c>
      <c r="B81" t="s">
        <v>176</v>
      </c>
      <c r="C81">
        <v>41.112900000000003</v>
      </c>
      <c r="D81">
        <v>85.240099999999998</v>
      </c>
      <c r="E81">
        <v>0</v>
      </c>
      <c r="F81">
        <v>2</v>
      </c>
      <c r="G81">
        <v>2</v>
      </c>
      <c r="H81">
        <v>3</v>
      </c>
      <c r="I81">
        <v>4</v>
      </c>
      <c r="J81">
        <v>5</v>
      </c>
      <c r="K81">
        <v>10</v>
      </c>
      <c r="L81">
        <v>13</v>
      </c>
      <c r="M81">
        <v>14</v>
      </c>
      <c r="N81">
        <v>17</v>
      </c>
      <c r="O81">
        <v>18</v>
      </c>
      <c r="P81">
        <v>21</v>
      </c>
      <c r="Q81">
        <v>24</v>
      </c>
      <c r="R81">
        <v>29</v>
      </c>
      <c r="S81">
        <v>32</v>
      </c>
      <c r="T81">
        <v>36</v>
      </c>
      <c r="U81">
        <v>39</v>
      </c>
      <c r="V81">
        <v>42</v>
      </c>
      <c r="W81">
        <v>45</v>
      </c>
      <c r="X81">
        <v>49</v>
      </c>
      <c r="Y81">
        <v>55</v>
      </c>
      <c r="Z81">
        <v>59</v>
      </c>
      <c r="AA81">
        <v>63</v>
      </c>
      <c r="AB81">
        <v>65</v>
      </c>
      <c r="AC81">
        <v>70</v>
      </c>
      <c r="AD81">
        <v>71</v>
      </c>
      <c r="AE81">
        <v>75</v>
      </c>
      <c r="AF81">
        <v>76</v>
      </c>
      <c r="AG81">
        <v>76</v>
      </c>
      <c r="AH81">
        <v>76</v>
      </c>
      <c r="AI81">
        <v>76</v>
      </c>
      <c r="AJ81">
        <v>76</v>
      </c>
      <c r="AK81">
        <v>76</v>
      </c>
      <c r="AL81">
        <v>76</v>
      </c>
      <c r="AM81">
        <v>76</v>
      </c>
      <c r="AN81">
        <v>76</v>
      </c>
      <c r="AO81">
        <v>76</v>
      </c>
      <c r="AP81">
        <v>76</v>
      </c>
      <c r="AQ81">
        <v>76</v>
      </c>
      <c r="AR81">
        <v>76</v>
      </c>
      <c r="AS81">
        <v>76</v>
      </c>
      <c r="AT81">
        <v>76</v>
      </c>
      <c r="AU81">
        <v>76</v>
      </c>
      <c r="AV81">
        <v>76</v>
      </c>
      <c r="AW81">
        <v>76</v>
      </c>
      <c r="AX81">
        <v>76</v>
      </c>
      <c r="AY81">
        <v>76</v>
      </c>
      <c r="AZ81">
        <v>76</v>
      </c>
      <c r="BA81">
        <v>76</v>
      </c>
      <c r="BB81">
        <v>76</v>
      </c>
      <c r="BC81">
        <v>76</v>
      </c>
      <c r="BD81">
        <v>76</v>
      </c>
      <c r="BE81">
        <v>76</v>
      </c>
      <c r="BF81">
        <v>76</v>
      </c>
      <c r="BG81">
        <v>76</v>
      </c>
      <c r="BH81">
        <v>76</v>
      </c>
      <c r="BI81">
        <v>76</v>
      </c>
      <c r="BJ81">
        <v>76</v>
      </c>
      <c r="BK81">
        <v>76</v>
      </c>
      <c r="BL81">
        <v>76</v>
      </c>
      <c r="BM81">
        <v>76</v>
      </c>
      <c r="BN81">
        <v>76</v>
      </c>
      <c r="BO81">
        <v>76</v>
      </c>
      <c r="BP81">
        <v>76</v>
      </c>
      <c r="BQ81">
        <v>76</v>
      </c>
      <c r="BR81">
        <v>76</v>
      </c>
      <c r="BS81">
        <v>76</v>
      </c>
      <c r="BT81">
        <v>76</v>
      </c>
      <c r="BU81">
        <v>76</v>
      </c>
      <c r="BV81">
        <v>76</v>
      </c>
      <c r="BW81">
        <v>76</v>
      </c>
    </row>
    <row r="82" spans="1:75" x14ac:dyDescent="0.25">
      <c r="A82" t="s">
        <v>33</v>
      </c>
      <c r="B82" t="s">
        <v>176</v>
      </c>
      <c r="C82">
        <v>24.974</v>
      </c>
      <c r="D82">
        <v>101.48699999999999</v>
      </c>
      <c r="E82">
        <v>1</v>
      </c>
      <c r="F82">
        <v>2</v>
      </c>
      <c r="G82">
        <v>5</v>
      </c>
      <c r="H82">
        <v>11</v>
      </c>
      <c r="I82">
        <v>16</v>
      </c>
      <c r="J82">
        <v>26</v>
      </c>
      <c r="K82">
        <v>44</v>
      </c>
      <c r="L82">
        <v>55</v>
      </c>
      <c r="M82">
        <v>70</v>
      </c>
      <c r="N82">
        <v>83</v>
      </c>
      <c r="O82">
        <v>93</v>
      </c>
      <c r="P82">
        <v>105</v>
      </c>
      <c r="Q82">
        <v>117</v>
      </c>
      <c r="R82">
        <v>122</v>
      </c>
      <c r="S82">
        <v>128</v>
      </c>
      <c r="T82">
        <v>133</v>
      </c>
      <c r="U82">
        <v>138</v>
      </c>
      <c r="V82">
        <v>138</v>
      </c>
      <c r="W82">
        <v>141</v>
      </c>
      <c r="X82">
        <v>149</v>
      </c>
      <c r="Y82">
        <v>153</v>
      </c>
      <c r="Z82">
        <v>154</v>
      </c>
      <c r="AA82">
        <v>156</v>
      </c>
      <c r="AB82">
        <v>162</v>
      </c>
      <c r="AC82">
        <v>168</v>
      </c>
      <c r="AD82">
        <v>171</v>
      </c>
      <c r="AE82">
        <v>171</v>
      </c>
      <c r="AF82">
        <v>172</v>
      </c>
      <c r="AG82">
        <v>172</v>
      </c>
      <c r="AH82">
        <v>174</v>
      </c>
      <c r="AI82">
        <v>174</v>
      </c>
      <c r="AJ82">
        <v>174</v>
      </c>
      <c r="AK82">
        <v>174</v>
      </c>
      <c r="AL82">
        <v>174</v>
      </c>
      <c r="AM82">
        <v>174</v>
      </c>
      <c r="AN82">
        <v>174</v>
      </c>
      <c r="AO82">
        <v>174</v>
      </c>
      <c r="AP82">
        <v>174</v>
      </c>
      <c r="AQ82">
        <v>174</v>
      </c>
      <c r="AR82">
        <v>174</v>
      </c>
      <c r="AS82">
        <v>174</v>
      </c>
      <c r="AT82">
        <v>174</v>
      </c>
      <c r="AU82">
        <v>174</v>
      </c>
      <c r="AV82">
        <v>174</v>
      </c>
      <c r="AW82">
        <v>174</v>
      </c>
      <c r="AX82">
        <v>174</v>
      </c>
      <c r="AY82">
        <v>174</v>
      </c>
      <c r="AZ82">
        <v>174</v>
      </c>
      <c r="BA82">
        <v>174</v>
      </c>
      <c r="BB82">
        <v>174</v>
      </c>
      <c r="BC82">
        <v>174</v>
      </c>
      <c r="BD82">
        <v>174</v>
      </c>
      <c r="BE82">
        <v>174</v>
      </c>
      <c r="BF82">
        <v>174</v>
      </c>
      <c r="BG82">
        <v>176</v>
      </c>
      <c r="BH82">
        <v>176</v>
      </c>
      <c r="BI82">
        <v>176</v>
      </c>
      <c r="BJ82">
        <v>176</v>
      </c>
      <c r="BK82">
        <v>176</v>
      </c>
      <c r="BL82">
        <v>176</v>
      </c>
      <c r="BM82">
        <v>176</v>
      </c>
      <c r="BN82">
        <v>176</v>
      </c>
      <c r="BO82">
        <v>176</v>
      </c>
      <c r="BP82">
        <v>176</v>
      </c>
      <c r="BQ82">
        <v>178</v>
      </c>
      <c r="BR82">
        <v>180</v>
      </c>
      <c r="BS82">
        <v>180</v>
      </c>
      <c r="BT82">
        <v>180</v>
      </c>
      <c r="BU82">
        <v>180</v>
      </c>
      <c r="BV82">
        <v>182</v>
      </c>
      <c r="BW82">
        <v>182</v>
      </c>
    </row>
    <row r="83" spans="1:75" x14ac:dyDescent="0.25">
      <c r="A83" t="s">
        <v>34</v>
      </c>
      <c r="B83" t="s">
        <v>176</v>
      </c>
      <c r="C83">
        <v>29.183199999999999</v>
      </c>
      <c r="D83">
        <v>120.0934</v>
      </c>
      <c r="E83">
        <v>10</v>
      </c>
      <c r="F83">
        <v>27</v>
      </c>
      <c r="G83">
        <v>43</v>
      </c>
      <c r="H83">
        <v>62</v>
      </c>
      <c r="I83">
        <v>104</v>
      </c>
      <c r="J83">
        <v>128</v>
      </c>
      <c r="K83">
        <v>173</v>
      </c>
      <c r="L83">
        <v>296</v>
      </c>
      <c r="M83">
        <v>428</v>
      </c>
      <c r="N83">
        <v>538</v>
      </c>
      <c r="O83">
        <v>599</v>
      </c>
      <c r="P83">
        <v>661</v>
      </c>
      <c r="Q83">
        <v>724</v>
      </c>
      <c r="R83">
        <v>829</v>
      </c>
      <c r="S83">
        <v>895</v>
      </c>
      <c r="T83">
        <v>954</v>
      </c>
      <c r="U83">
        <v>1006</v>
      </c>
      <c r="V83">
        <v>1048</v>
      </c>
      <c r="W83">
        <v>1075</v>
      </c>
      <c r="X83">
        <v>1092</v>
      </c>
      <c r="Y83">
        <v>1117</v>
      </c>
      <c r="Z83">
        <v>1131</v>
      </c>
      <c r="AA83">
        <v>1145</v>
      </c>
      <c r="AB83">
        <v>1155</v>
      </c>
      <c r="AC83">
        <v>1162</v>
      </c>
      <c r="AD83">
        <v>1167</v>
      </c>
      <c r="AE83">
        <v>1171</v>
      </c>
      <c r="AF83">
        <v>1172</v>
      </c>
      <c r="AG83">
        <v>1174</v>
      </c>
      <c r="AH83">
        <v>1175</v>
      </c>
      <c r="AI83">
        <v>1203</v>
      </c>
      <c r="AJ83">
        <v>1205</v>
      </c>
      <c r="AK83">
        <v>1205</v>
      </c>
      <c r="AL83">
        <v>1205</v>
      </c>
      <c r="AM83">
        <v>1205</v>
      </c>
      <c r="AN83">
        <v>1205</v>
      </c>
      <c r="AO83">
        <v>1205</v>
      </c>
      <c r="AP83">
        <v>1205</v>
      </c>
      <c r="AQ83">
        <v>1205</v>
      </c>
      <c r="AR83">
        <v>1205</v>
      </c>
      <c r="AS83">
        <v>1206</v>
      </c>
      <c r="AT83">
        <v>1213</v>
      </c>
      <c r="AU83">
        <v>1213</v>
      </c>
      <c r="AV83">
        <v>1215</v>
      </c>
      <c r="AW83">
        <v>1215</v>
      </c>
      <c r="AX83">
        <v>1215</v>
      </c>
      <c r="AY83">
        <v>1215</v>
      </c>
      <c r="AZ83">
        <v>1215</v>
      </c>
      <c r="BA83">
        <v>1215</v>
      </c>
      <c r="BB83">
        <v>1215</v>
      </c>
      <c r="BC83">
        <v>1215</v>
      </c>
      <c r="BD83">
        <v>1215</v>
      </c>
      <c r="BE83">
        <v>1227</v>
      </c>
      <c r="BF83">
        <v>1231</v>
      </c>
      <c r="BG83">
        <v>1231</v>
      </c>
      <c r="BH83">
        <v>1232</v>
      </c>
      <c r="BI83">
        <v>1232</v>
      </c>
      <c r="BJ83">
        <v>1233</v>
      </c>
      <c r="BK83">
        <v>1234</v>
      </c>
      <c r="BL83">
        <v>1236</v>
      </c>
      <c r="BM83">
        <v>1238</v>
      </c>
      <c r="BN83">
        <v>1238</v>
      </c>
      <c r="BO83">
        <v>1240</v>
      </c>
      <c r="BP83">
        <v>1241</v>
      </c>
      <c r="BQ83">
        <v>1243</v>
      </c>
      <c r="BR83">
        <v>1247</v>
      </c>
      <c r="BS83">
        <v>1251</v>
      </c>
      <c r="BT83">
        <v>1254</v>
      </c>
      <c r="BU83">
        <v>1255</v>
      </c>
      <c r="BV83">
        <v>1257</v>
      </c>
      <c r="BW83">
        <v>1257</v>
      </c>
    </row>
    <row r="84" spans="1:75" x14ac:dyDescent="0.25">
      <c r="B84" t="s">
        <v>127</v>
      </c>
      <c r="C84">
        <v>4.5709</v>
      </c>
      <c r="D84">
        <v>-74.297300000000007</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1</v>
      </c>
      <c r="AX84">
        <v>1</v>
      </c>
      <c r="AY84">
        <v>1</v>
      </c>
      <c r="AZ84">
        <v>1</v>
      </c>
      <c r="BA84">
        <v>3</v>
      </c>
      <c r="BB84">
        <v>9</v>
      </c>
      <c r="BC84">
        <v>9</v>
      </c>
      <c r="BD84">
        <v>13</v>
      </c>
      <c r="BE84">
        <v>22</v>
      </c>
      <c r="BF84">
        <v>34</v>
      </c>
      <c r="BG84">
        <v>54</v>
      </c>
      <c r="BH84">
        <v>65</v>
      </c>
      <c r="BI84">
        <v>93</v>
      </c>
      <c r="BJ84">
        <v>102</v>
      </c>
      <c r="BK84">
        <v>128</v>
      </c>
      <c r="BL84">
        <v>196</v>
      </c>
      <c r="BM84">
        <v>231</v>
      </c>
      <c r="BN84">
        <v>277</v>
      </c>
      <c r="BO84">
        <v>378</v>
      </c>
      <c r="BP84">
        <v>470</v>
      </c>
      <c r="BQ84">
        <v>491</v>
      </c>
      <c r="BR84">
        <v>539</v>
      </c>
      <c r="BS84">
        <v>608</v>
      </c>
      <c r="BT84">
        <v>702</v>
      </c>
      <c r="BU84">
        <v>798</v>
      </c>
      <c r="BV84">
        <v>906</v>
      </c>
      <c r="BW84">
        <v>1065</v>
      </c>
    </row>
    <row r="85" spans="1:75" x14ac:dyDescent="0.25">
      <c r="B85" t="s">
        <v>517</v>
      </c>
      <c r="C85">
        <v>-4.0382999999999996</v>
      </c>
      <c r="D85">
        <v>21.758700000000001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1</v>
      </c>
      <c r="BG85">
        <v>1</v>
      </c>
      <c r="BH85">
        <v>1</v>
      </c>
      <c r="BI85">
        <v>1</v>
      </c>
      <c r="BJ85">
        <v>3</v>
      </c>
      <c r="BK85">
        <v>3</v>
      </c>
      <c r="BL85">
        <v>3</v>
      </c>
      <c r="BM85">
        <v>3</v>
      </c>
      <c r="BN85">
        <v>4</v>
      </c>
      <c r="BO85">
        <v>4</v>
      </c>
      <c r="BP85">
        <v>4</v>
      </c>
      <c r="BQ85">
        <v>4</v>
      </c>
      <c r="BR85">
        <v>4</v>
      </c>
      <c r="BS85">
        <v>4</v>
      </c>
      <c r="BT85">
        <v>19</v>
      </c>
      <c r="BU85">
        <v>19</v>
      </c>
      <c r="BV85">
        <v>19</v>
      </c>
      <c r="BW85">
        <v>19</v>
      </c>
    </row>
    <row r="86" spans="1:75" x14ac:dyDescent="0.25">
      <c r="B86" t="s">
        <v>183</v>
      </c>
      <c r="C86">
        <v>-4.0382999999999996</v>
      </c>
      <c r="D86">
        <v>21.758700000000001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1</v>
      </c>
      <c r="BC86">
        <v>1</v>
      </c>
      <c r="BD86">
        <v>2</v>
      </c>
      <c r="BE86">
        <v>2</v>
      </c>
      <c r="BF86">
        <v>2</v>
      </c>
      <c r="BG86">
        <v>2</v>
      </c>
      <c r="BH86">
        <v>3</v>
      </c>
      <c r="BI86">
        <v>4</v>
      </c>
      <c r="BJ86">
        <v>14</v>
      </c>
      <c r="BK86">
        <v>18</v>
      </c>
      <c r="BL86">
        <v>23</v>
      </c>
      <c r="BM86">
        <v>30</v>
      </c>
      <c r="BN86">
        <v>36</v>
      </c>
      <c r="BO86">
        <v>45</v>
      </c>
      <c r="BP86">
        <v>48</v>
      </c>
      <c r="BQ86">
        <v>51</v>
      </c>
      <c r="BR86">
        <v>51</v>
      </c>
      <c r="BS86">
        <v>65</v>
      </c>
      <c r="BT86">
        <v>65</v>
      </c>
      <c r="BU86">
        <v>81</v>
      </c>
      <c r="BV86">
        <v>98</v>
      </c>
      <c r="BW86">
        <v>109</v>
      </c>
    </row>
    <row r="87" spans="1:75" x14ac:dyDescent="0.25">
      <c r="B87" t="s">
        <v>128</v>
      </c>
      <c r="C87">
        <v>9.7489000000000008</v>
      </c>
      <c r="D87">
        <v>-83.753399999999999</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1</v>
      </c>
      <c r="AX87">
        <v>1</v>
      </c>
      <c r="AY87">
        <v>5</v>
      </c>
      <c r="AZ87">
        <v>9</v>
      </c>
      <c r="BA87">
        <v>9</v>
      </c>
      <c r="BB87">
        <v>13</v>
      </c>
      <c r="BC87">
        <v>22</v>
      </c>
      <c r="BD87">
        <v>23</v>
      </c>
      <c r="BE87">
        <v>26</v>
      </c>
      <c r="BF87">
        <v>27</v>
      </c>
      <c r="BG87">
        <v>35</v>
      </c>
      <c r="BH87">
        <v>41</v>
      </c>
      <c r="BI87">
        <v>50</v>
      </c>
      <c r="BJ87">
        <v>69</v>
      </c>
      <c r="BK87">
        <v>89</v>
      </c>
      <c r="BL87">
        <v>117</v>
      </c>
      <c r="BM87">
        <v>134</v>
      </c>
      <c r="BN87">
        <v>158</v>
      </c>
      <c r="BO87">
        <v>177</v>
      </c>
      <c r="BP87">
        <v>201</v>
      </c>
      <c r="BQ87">
        <v>231</v>
      </c>
      <c r="BR87">
        <v>263</v>
      </c>
      <c r="BS87">
        <v>295</v>
      </c>
      <c r="BT87">
        <v>314</v>
      </c>
      <c r="BU87">
        <v>330</v>
      </c>
      <c r="BV87">
        <v>347</v>
      </c>
      <c r="BW87">
        <v>375</v>
      </c>
    </row>
    <row r="88" spans="1:75" x14ac:dyDescent="0.25">
      <c r="B88" t="s">
        <v>184</v>
      </c>
      <c r="C88">
        <v>7.54</v>
      </c>
      <c r="D88">
        <v>-5.5471000000000004</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1</v>
      </c>
      <c r="BC88">
        <v>1</v>
      </c>
      <c r="BD88">
        <v>1</v>
      </c>
      <c r="BE88">
        <v>1</v>
      </c>
      <c r="BF88">
        <v>1</v>
      </c>
      <c r="BG88">
        <v>1</v>
      </c>
      <c r="BH88">
        <v>5</v>
      </c>
      <c r="BI88">
        <v>6</v>
      </c>
      <c r="BJ88">
        <v>9</v>
      </c>
      <c r="BK88">
        <v>9</v>
      </c>
      <c r="BL88">
        <v>14</v>
      </c>
      <c r="BM88">
        <v>14</v>
      </c>
      <c r="BN88">
        <v>25</v>
      </c>
      <c r="BO88">
        <v>73</v>
      </c>
      <c r="BP88">
        <v>80</v>
      </c>
      <c r="BQ88">
        <v>96</v>
      </c>
      <c r="BR88">
        <v>101</v>
      </c>
      <c r="BS88">
        <v>101</v>
      </c>
      <c r="BT88">
        <v>165</v>
      </c>
      <c r="BU88">
        <v>168</v>
      </c>
      <c r="BV88">
        <v>179</v>
      </c>
      <c r="BW88">
        <v>190</v>
      </c>
    </row>
    <row r="89" spans="1:75" x14ac:dyDescent="0.25">
      <c r="B89" t="s">
        <v>74</v>
      </c>
      <c r="C89">
        <v>45.1</v>
      </c>
      <c r="D89">
        <v>15.2</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1</v>
      </c>
      <c r="AN89">
        <v>3</v>
      </c>
      <c r="AO89">
        <v>3</v>
      </c>
      <c r="AP89">
        <v>5</v>
      </c>
      <c r="AQ89">
        <v>6</v>
      </c>
      <c r="AR89">
        <v>7</v>
      </c>
      <c r="AS89">
        <v>7</v>
      </c>
      <c r="AT89">
        <v>9</v>
      </c>
      <c r="AU89">
        <v>10</v>
      </c>
      <c r="AV89">
        <v>10</v>
      </c>
      <c r="AW89">
        <v>11</v>
      </c>
      <c r="AX89">
        <v>12</v>
      </c>
      <c r="AY89">
        <v>12</v>
      </c>
      <c r="AZ89">
        <v>12</v>
      </c>
      <c r="BA89">
        <v>14</v>
      </c>
      <c r="BB89">
        <v>19</v>
      </c>
      <c r="BC89">
        <v>19</v>
      </c>
      <c r="BD89">
        <v>32</v>
      </c>
      <c r="BE89">
        <v>38</v>
      </c>
      <c r="BF89">
        <v>49</v>
      </c>
      <c r="BG89">
        <v>57</v>
      </c>
      <c r="BH89">
        <v>65</v>
      </c>
      <c r="BI89">
        <v>81</v>
      </c>
      <c r="BJ89">
        <v>105</v>
      </c>
      <c r="BK89">
        <v>128</v>
      </c>
      <c r="BL89">
        <v>206</v>
      </c>
      <c r="BM89">
        <v>254</v>
      </c>
      <c r="BN89">
        <v>315</v>
      </c>
      <c r="BO89">
        <v>382</v>
      </c>
      <c r="BP89">
        <v>442</v>
      </c>
      <c r="BQ89">
        <v>495</v>
      </c>
      <c r="BR89">
        <v>586</v>
      </c>
      <c r="BS89">
        <v>657</v>
      </c>
      <c r="BT89">
        <v>713</v>
      </c>
      <c r="BU89">
        <v>790</v>
      </c>
      <c r="BV89">
        <v>867</v>
      </c>
      <c r="BW89">
        <v>963</v>
      </c>
    </row>
    <row r="90" spans="1:75" x14ac:dyDescent="0.25">
      <c r="B90" t="s">
        <v>147</v>
      </c>
      <c r="C90">
        <v>0</v>
      </c>
      <c r="D90">
        <v>0</v>
      </c>
      <c r="E90">
        <v>0</v>
      </c>
      <c r="F90">
        <v>0</v>
      </c>
      <c r="G90">
        <v>0</v>
      </c>
      <c r="H90">
        <v>0</v>
      </c>
      <c r="I90">
        <v>0</v>
      </c>
      <c r="J90">
        <v>0</v>
      </c>
      <c r="K90">
        <v>0</v>
      </c>
      <c r="L90">
        <v>0</v>
      </c>
      <c r="M90">
        <v>0</v>
      </c>
      <c r="N90">
        <v>0</v>
      </c>
      <c r="O90">
        <v>0</v>
      </c>
      <c r="P90">
        <v>0</v>
      </c>
      <c r="Q90">
        <v>0</v>
      </c>
      <c r="R90">
        <v>0</v>
      </c>
      <c r="S90">
        <v>0</v>
      </c>
      <c r="T90">
        <v>0</v>
      </c>
      <c r="U90">
        <v>61</v>
      </c>
      <c r="V90">
        <v>61</v>
      </c>
      <c r="W90">
        <v>64</v>
      </c>
      <c r="X90">
        <v>135</v>
      </c>
      <c r="Y90">
        <v>135</v>
      </c>
      <c r="Z90">
        <v>175</v>
      </c>
      <c r="AA90">
        <v>175</v>
      </c>
      <c r="AB90">
        <v>218</v>
      </c>
      <c r="AC90">
        <v>285</v>
      </c>
      <c r="AD90">
        <v>355</v>
      </c>
      <c r="AE90">
        <v>454</v>
      </c>
      <c r="AF90">
        <v>542</v>
      </c>
      <c r="AG90">
        <v>621</v>
      </c>
      <c r="AH90">
        <v>634</v>
      </c>
      <c r="AI90">
        <v>634</v>
      </c>
      <c r="AJ90">
        <v>634</v>
      </c>
      <c r="AK90">
        <v>691</v>
      </c>
      <c r="AL90">
        <v>691</v>
      </c>
      <c r="AM90">
        <v>691</v>
      </c>
      <c r="AN90">
        <v>705</v>
      </c>
      <c r="AO90">
        <v>705</v>
      </c>
      <c r="AP90">
        <v>705</v>
      </c>
      <c r="AQ90">
        <v>705</v>
      </c>
      <c r="AR90">
        <v>705</v>
      </c>
      <c r="AS90">
        <v>705</v>
      </c>
      <c r="AT90">
        <v>706</v>
      </c>
      <c r="AU90">
        <v>706</v>
      </c>
      <c r="AV90">
        <v>706</v>
      </c>
      <c r="AW90">
        <v>706</v>
      </c>
      <c r="AX90">
        <v>706</v>
      </c>
      <c r="AY90">
        <v>706</v>
      </c>
      <c r="AZ90">
        <v>706</v>
      </c>
      <c r="BA90">
        <v>706</v>
      </c>
      <c r="BB90">
        <v>706</v>
      </c>
      <c r="BC90">
        <v>706</v>
      </c>
      <c r="BD90">
        <v>706</v>
      </c>
      <c r="BE90">
        <v>706</v>
      </c>
      <c r="BF90">
        <v>706</v>
      </c>
      <c r="BG90">
        <v>706</v>
      </c>
      <c r="BH90">
        <v>706</v>
      </c>
      <c r="BI90">
        <v>712</v>
      </c>
      <c r="BJ90">
        <v>712</v>
      </c>
      <c r="BK90">
        <v>712</v>
      </c>
      <c r="BL90">
        <v>712</v>
      </c>
      <c r="BM90">
        <v>712</v>
      </c>
      <c r="BN90">
        <v>712</v>
      </c>
      <c r="BO90">
        <v>712</v>
      </c>
      <c r="BP90">
        <v>712</v>
      </c>
      <c r="BQ90">
        <v>712</v>
      </c>
      <c r="BR90">
        <v>712</v>
      </c>
      <c r="BS90">
        <v>712</v>
      </c>
      <c r="BT90">
        <v>712</v>
      </c>
      <c r="BU90">
        <v>712</v>
      </c>
      <c r="BV90">
        <v>712</v>
      </c>
      <c r="BW90">
        <v>712</v>
      </c>
    </row>
    <row r="91" spans="1:75" x14ac:dyDescent="0.25">
      <c r="B91" t="s">
        <v>195</v>
      </c>
      <c r="C91">
        <v>22</v>
      </c>
      <c r="D91">
        <v>-80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3</v>
      </c>
      <c r="BD91">
        <v>4</v>
      </c>
      <c r="BE91">
        <v>4</v>
      </c>
      <c r="BF91">
        <v>4</v>
      </c>
      <c r="BG91">
        <v>4</v>
      </c>
      <c r="BH91">
        <v>5</v>
      </c>
      <c r="BI91">
        <v>7</v>
      </c>
      <c r="BJ91">
        <v>11</v>
      </c>
      <c r="BK91">
        <v>16</v>
      </c>
      <c r="BL91">
        <v>21</v>
      </c>
      <c r="BM91">
        <v>35</v>
      </c>
      <c r="BN91">
        <v>40</v>
      </c>
      <c r="BO91">
        <v>48</v>
      </c>
      <c r="BP91">
        <v>57</v>
      </c>
      <c r="BQ91">
        <v>67</v>
      </c>
      <c r="BR91">
        <v>80</v>
      </c>
      <c r="BS91">
        <v>119</v>
      </c>
      <c r="BT91">
        <v>139</v>
      </c>
      <c r="BU91">
        <v>170</v>
      </c>
      <c r="BV91">
        <v>186</v>
      </c>
      <c r="BW91">
        <v>212</v>
      </c>
    </row>
    <row r="92" spans="1:75" x14ac:dyDescent="0.25">
      <c r="B92" t="s">
        <v>145</v>
      </c>
      <c r="C92">
        <v>35.126399999999997</v>
      </c>
      <c r="D92">
        <v>33.429900000000004</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2</v>
      </c>
      <c r="BA92">
        <v>3</v>
      </c>
      <c r="BB92">
        <v>6</v>
      </c>
      <c r="BC92">
        <v>6</v>
      </c>
      <c r="BD92">
        <v>14</v>
      </c>
      <c r="BE92">
        <v>26</v>
      </c>
      <c r="BF92">
        <v>26</v>
      </c>
      <c r="BG92">
        <v>33</v>
      </c>
      <c r="BH92">
        <v>46</v>
      </c>
      <c r="BI92">
        <v>49</v>
      </c>
      <c r="BJ92">
        <v>67</v>
      </c>
      <c r="BK92">
        <v>67</v>
      </c>
      <c r="BL92">
        <v>84</v>
      </c>
      <c r="BM92">
        <v>95</v>
      </c>
      <c r="BN92">
        <v>116</v>
      </c>
      <c r="BO92">
        <v>124</v>
      </c>
      <c r="BP92">
        <v>132</v>
      </c>
      <c r="BQ92">
        <v>146</v>
      </c>
      <c r="BR92">
        <v>162</v>
      </c>
      <c r="BS92">
        <v>179</v>
      </c>
      <c r="BT92">
        <v>214</v>
      </c>
      <c r="BU92">
        <v>230</v>
      </c>
      <c r="BV92">
        <v>262</v>
      </c>
      <c r="BW92">
        <v>320</v>
      </c>
    </row>
    <row r="93" spans="1:75" x14ac:dyDescent="0.25">
      <c r="B93" t="s">
        <v>177</v>
      </c>
      <c r="C93">
        <v>49.817500000000003</v>
      </c>
      <c r="D93">
        <v>15.4729999999999</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3</v>
      </c>
      <c r="AS93">
        <v>3</v>
      </c>
      <c r="AT93">
        <v>5</v>
      </c>
      <c r="AU93">
        <v>8</v>
      </c>
      <c r="AV93">
        <v>12</v>
      </c>
      <c r="AW93">
        <v>18</v>
      </c>
      <c r="AX93">
        <v>19</v>
      </c>
      <c r="AY93">
        <v>31</v>
      </c>
      <c r="AZ93">
        <v>31</v>
      </c>
      <c r="BA93">
        <v>41</v>
      </c>
      <c r="BB93">
        <v>91</v>
      </c>
      <c r="BC93">
        <v>94</v>
      </c>
      <c r="BD93">
        <v>141</v>
      </c>
      <c r="BE93">
        <v>189</v>
      </c>
      <c r="BF93">
        <v>253</v>
      </c>
      <c r="BG93">
        <v>298</v>
      </c>
      <c r="BH93">
        <v>396</v>
      </c>
      <c r="BI93">
        <v>464</v>
      </c>
      <c r="BJ93">
        <v>694</v>
      </c>
      <c r="BK93">
        <v>833</v>
      </c>
      <c r="BL93">
        <v>995</v>
      </c>
      <c r="BM93">
        <v>1120</v>
      </c>
      <c r="BN93">
        <v>1236</v>
      </c>
      <c r="BO93">
        <v>1394</v>
      </c>
      <c r="BP93">
        <v>1654</v>
      </c>
      <c r="BQ93">
        <v>1925</v>
      </c>
      <c r="BR93">
        <v>2279</v>
      </c>
      <c r="BS93">
        <v>2631</v>
      </c>
      <c r="BT93">
        <v>2817</v>
      </c>
      <c r="BU93">
        <v>3001</v>
      </c>
      <c r="BV93">
        <v>3308</v>
      </c>
      <c r="BW93">
        <v>3508</v>
      </c>
    </row>
    <row r="94" spans="1:75" x14ac:dyDescent="0.25">
      <c r="A94" t="s">
        <v>118</v>
      </c>
      <c r="B94" t="s">
        <v>85</v>
      </c>
      <c r="C94">
        <v>61.892600000000002</v>
      </c>
      <c r="D94">
        <v>-6.9118000000000004</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1</v>
      </c>
      <c r="AV94">
        <v>1</v>
      </c>
      <c r="AW94">
        <v>1</v>
      </c>
      <c r="AX94">
        <v>1</v>
      </c>
      <c r="AY94">
        <v>2</v>
      </c>
      <c r="AZ94">
        <v>2</v>
      </c>
      <c r="BA94">
        <v>2</v>
      </c>
      <c r="BB94">
        <v>2</v>
      </c>
      <c r="BC94">
        <v>2</v>
      </c>
      <c r="BD94">
        <v>3</v>
      </c>
      <c r="BE94">
        <v>9</v>
      </c>
      <c r="BF94">
        <v>11</v>
      </c>
      <c r="BG94">
        <v>18</v>
      </c>
      <c r="BH94">
        <v>47</v>
      </c>
      <c r="BI94">
        <v>58</v>
      </c>
      <c r="BJ94">
        <v>72</v>
      </c>
      <c r="BK94">
        <v>80</v>
      </c>
      <c r="BL94">
        <v>92</v>
      </c>
      <c r="BM94">
        <v>115</v>
      </c>
      <c r="BN94">
        <v>118</v>
      </c>
      <c r="BO94">
        <v>122</v>
      </c>
      <c r="BP94">
        <v>132</v>
      </c>
      <c r="BQ94">
        <v>140</v>
      </c>
      <c r="BR94">
        <v>144</v>
      </c>
      <c r="BS94">
        <v>155</v>
      </c>
      <c r="BT94">
        <v>159</v>
      </c>
      <c r="BU94">
        <v>168</v>
      </c>
      <c r="BV94">
        <v>169</v>
      </c>
      <c r="BW94">
        <v>173</v>
      </c>
    </row>
    <row r="95" spans="1:75" x14ac:dyDescent="0.25">
      <c r="A95" t="s">
        <v>941</v>
      </c>
      <c r="B95" t="s">
        <v>85</v>
      </c>
      <c r="C95">
        <v>71.706900000000005</v>
      </c>
      <c r="D95">
        <v>-42.604300000000002</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1</v>
      </c>
      <c r="BH95">
        <v>1</v>
      </c>
      <c r="BI95">
        <v>1</v>
      </c>
      <c r="BJ95">
        <v>2</v>
      </c>
      <c r="BK95">
        <v>2</v>
      </c>
      <c r="BL95">
        <v>2</v>
      </c>
      <c r="BM95">
        <v>4</v>
      </c>
      <c r="BN95">
        <v>4</v>
      </c>
      <c r="BO95">
        <v>5</v>
      </c>
      <c r="BP95">
        <v>6</v>
      </c>
      <c r="BQ95">
        <v>6</v>
      </c>
      <c r="BR95">
        <v>10</v>
      </c>
      <c r="BS95">
        <v>10</v>
      </c>
      <c r="BT95">
        <v>10</v>
      </c>
      <c r="BU95">
        <v>10</v>
      </c>
      <c r="BV95">
        <v>10</v>
      </c>
      <c r="BW95">
        <v>10</v>
      </c>
    </row>
    <row r="96" spans="1:75" x14ac:dyDescent="0.25">
      <c r="B96" t="s">
        <v>85</v>
      </c>
      <c r="C96">
        <v>56.2639</v>
      </c>
      <c r="D96">
        <v>9.5017999999999994</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1</v>
      </c>
      <c r="AP96">
        <v>1</v>
      </c>
      <c r="AQ96">
        <v>3</v>
      </c>
      <c r="AR96">
        <v>4</v>
      </c>
      <c r="AS96">
        <v>4</v>
      </c>
      <c r="AT96">
        <v>6</v>
      </c>
      <c r="AU96">
        <v>10</v>
      </c>
      <c r="AV96">
        <v>10</v>
      </c>
      <c r="AW96">
        <v>23</v>
      </c>
      <c r="AX96">
        <v>23</v>
      </c>
      <c r="AY96">
        <v>35</v>
      </c>
      <c r="AZ96">
        <v>90</v>
      </c>
      <c r="BA96">
        <v>262</v>
      </c>
      <c r="BB96">
        <v>442</v>
      </c>
      <c r="BC96">
        <v>615</v>
      </c>
      <c r="BD96">
        <v>801</v>
      </c>
      <c r="BE96">
        <v>827</v>
      </c>
      <c r="BF96">
        <v>864</v>
      </c>
      <c r="BG96">
        <v>914</v>
      </c>
      <c r="BH96">
        <v>977</v>
      </c>
      <c r="BI96">
        <v>1057</v>
      </c>
      <c r="BJ96">
        <v>1151</v>
      </c>
      <c r="BK96">
        <v>1255</v>
      </c>
      <c r="BL96">
        <v>1326</v>
      </c>
      <c r="BM96">
        <v>1395</v>
      </c>
      <c r="BN96">
        <v>1450</v>
      </c>
      <c r="BO96">
        <v>1591</v>
      </c>
      <c r="BP96">
        <v>1724</v>
      </c>
      <c r="BQ96">
        <v>1877</v>
      </c>
      <c r="BR96">
        <v>2046</v>
      </c>
      <c r="BS96">
        <v>2201</v>
      </c>
      <c r="BT96">
        <v>2395</v>
      </c>
      <c r="BU96">
        <v>2577</v>
      </c>
      <c r="BV96">
        <v>2860</v>
      </c>
      <c r="BW96">
        <v>3107</v>
      </c>
    </row>
    <row r="97" spans="1:75" x14ac:dyDescent="0.25">
      <c r="B97" t="s">
        <v>950</v>
      </c>
      <c r="C97">
        <v>11.825100000000001</v>
      </c>
      <c r="D97">
        <v>42.590299999999999</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1</v>
      </c>
      <c r="BJ97">
        <v>1</v>
      </c>
      <c r="BK97">
        <v>1</v>
      </c>
      <c r="BL97">
        <v>1</v>
      </c>
      <c r="BM97">
        <v>1</v>
      </c>
      <c r="BN97">
        <v>3</v>
      </c>
      <c r="BO97">
        <v>3</v>
      </c>
      <c r="BP97">
        <v>11</v>
      </c>
      <c r="BQ97">
        <v>11</v>
      </c>
      <c r="BR97">
        <v>12</v>
      </c>
      <c r="BS97">
        <v>14</v>
      </c>
      <c r="BT97">
        <v>18</v>
      </c>
      <c r="BU97">
        <v>18</v>
      </c>
      <c r="BV97">
        <v>30</v>
      </c>
      <c r="BW97">
        <v>33</v>
      </c>
    </row>
    <row r="98" spans="1:75" x14ac:dyDescent="0.25">
      <c r="B98" t="s">
        <v>102</v>
      </c>
      <c r="C98">
        <v>18.735700000000001</v>
      </c>
      <c r="D98">
        <v>-70.162700000000001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1</v>
      </c>
      <c r="AS98">
        <v>1</v>
      </c>
      <c r="AT98">
        <v>1</v>
      </c>
      <c r="AU98">
        <v>1</v>
      </c>
      <c r="AV98">
        <v>1</v>
      </c>
      <c r="AW98">
        <v>2</v>
      </c>
      <c r="AX98">
        <v>2</v>
      </c>
      <c r="AY98">
        <v>5</v>
      </c>
      <c r="AZ98">
        <v>5</v>
      </c>
      <c r="BA98">
        <v>5</v>
      </c>
      <c r="BB98">
        <v>5</v>
      </c>
      <c r="BC98">
        <v>5</v>
      </c>
      <c r="BD98">
        <v>5</v>
      </c>
      <c r="BE98">
        <v>11</v>
      </c>
      <c r="BF98">
        <v>11</v>
      </c>
      <c r="BG98">
        <v>11</v>
      </c>
      <c r="BH98">
        <v>21</v>
      </c>
      <c r="BI98">
        <v>21</v>
      </c>
      <c r="BJ98">
        <v>34</v>
      </c>
      <c r="BK98">
        <v>72</v>
      </c>
      <c r="BL98">
        <v>112</v>
      </c>
      <c r="BM98">
        <v>202</v>
      </c>
      <c r="BN98">
        <v>245</v>
      </c>
      <c r="BO98">
        <v>312</v>
      </c>
      <c r="BP98">
        <v>392</v>
      </c>
      <c r="BQ98">
        <v>488</v>
      </c>
      <c r="BR98">
        <v>581</v>
      </c>
      <c r="BS98">
        <v>719</v>
      </c>
      <c r="BT98">
        <v>859</v>
      </c>
      <c r="BU98">
        <v>901</v>
      </c>
      <c r="BV98">
        <v>1109</v>
      </c>
      <c r="BW98">
        <v>1284</v>
      </c>
    </row>
    <row r="99" spans="1:75" x14ac:dyDescent="0.25">
      <c r="B99" t="s">
        <v>99</v>
      </c>
      <c r="C99">
        <v>-1.8311999999999999</v>
      </c>
      <c r="D99">
        <v>-78.183400000000006</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6</v>
      </c>
      <c r="AS99">
        <v>6</v>
      </c>
      <c r="AT99">
        <v>7</v>
      </c>
      <c r="AU99">
        <v>10</v>
      </c>
      <c r="AV99">
        <v>13</v>
      </c>
      <c r="AW99">
        <v>13</v>
      </c>
      <c r="AX99">
        <v>13</v>
      </c>
      <c r="AY99">
        <v>14</v>
      </c>
      <c r="AZ99">
        <v>15</v>
      </c>
      <c r="BA99">
        <v>15</v>
      </c>
      <c r="BB99">
        <v>17</v>
      </c>
      <c r="BC99">
        <v>17</v>
      </c>
      <c r="BD99">
        <v>17</v>
      </c>
      <c r="BE99">
        <v>28</v>
      </c>
      <c r="BF99">
        <v>28</v>
      </c>
      <c r="BG99">
        <v>37</v>
      </c>
      <c r="BH99">
        <v>58</v>
      </c>
      <c r="BI99">
        <v>111</v>
      </c>
      <c r="BJ99">
        <v>199</v>
      </c>
      <c r="BK99">
        <v>367</v>
      </c>
      <c r="BL99">
        <v>506</v>
      </c>
      <c r="BM99">
        <v>789</v>
      </c>
      <c r="BN99">
        <v>981</v>
      </c>
      <c r="BO99">
        <v>1082</v>
      </c>
      <c r="BP99">
        <v>1173</v>
      </c>
      <c r="BQ99">
        <v>1403</v>
      </c>
      <c r="BR99">
        <v>1595</v>
      </c>
      <c r="BS99">
        <v>1823</v>
      </c>
      <c r="BT99">
        <v>1924</v>
      </c>
      <c r="BU99">
        <v>1962</v>
      </c>
      <c r="BV99">
        <v>2240</v>
      </c>
      <c r="BW99">
        <v>2748</v>
      </c>
    </row>
    <row r="100" spans="1:75" x14ac:dyDescent="0.25">
      <c r="B100" t="s">
        <v>64</v>
      </c>
      <c r="C100">
        <v>26</v>
      </c>
      <c r="D100">
        <v>30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1</v>
      </c>
      <c r="AC100">
        <v>1</v>
      </c>
      <c r="AD100">
        <v>1</v>
      </c>
      <c r="AE100">
        <v>1</v>
      </c>
      <c r="AF100">
        <v>1</v>
      </c>
      <c r="AG100">
        <v>1</v>
      </c>
      <c r="AH100">
        <v>1</v>
      </c>
      <c r="AI100">
        <v>1</v>
      </c>
      <c r="AJ100">
        <v>1</v>
      </c>
      <c r="AK100">
        <v>1</v>
      </c>
      <c r="AL100">
        <v>1</v>
      </c>
      <c r="AM100">
        <v>1</v>
      </c>
      <c r="AN100">
        <v>1</v>
      </c>
      <c r="AO100">
        <v>1</v>
      </c>
      <c r="AP100">
        <v>1</v>
      </c>
      <c r="AQ100">
        <v>1</v>
      </c>
      <c r="AR100">
        <v>2</v>
      </c>
      <c r="AS100">
        <v>2</v>
      </c>
      <c r="AT100">
        <v>2</v>
      </c>
      <c r="AU100">
        <v>2</v>
      </c>
      <c r="AV100">
        <v>3</v>
      </c>
      <c r="AW100">
        <v>15</v>
      </c>
      <c r="AX100">
        <v>15</v>
      </c>
      <c r="AY100">
        <v>49</v>
      </c>
      <c r="AZ100">
        <v>55</v>
      </c>
      <c r="BA100">
        <v>59</v>
      </c>
      <c r="BB100">
        <v>60</v>
      </c>
      <c r="BC100">
        <v>67</v>
      </c>
      <c r="BD100">
        <v>80</v>
      </c>
      <c r="BE100">
        <v>109</v>
      </c>
      <c r="BF100">
        <v>110</v>
      </c>
      <c r="BG100">
        <v>150</v>
      </c>
      <c r="BH100">
        <v>196</v>
      </c>
      <c r="BI100">
        <v>196</v>
      </c>
      <c r="BJ100">
        <v>256</v>
      </c>
      <c r="BK100">
        <v>285</v>
      </c>
      <c r="BL100">
        <v>294</v>
      </c>
      <c r="BM100">
        <v>327</v>
      </c>
      <c r="BN100">
        <v>366</v>
      </c>
      <c r="BO100">
        <v>402</v>
      </c>
      <c r="BP100">
        <v>456</v>
      </c>
      <c r="BQ100">
        <v>495</v>
      </c>
      <c r="BR100">
        <v>536</v>
      </c>
      <c r="BS100">
        <v>576</v>
      </c>
      <c r="BT100">
        <v>609</v>
      </c>
      <c r="BU100">
        <v>656</v>
      </c>
      <c r="BV100">
        <v>710</v>
      </c>
      <c r="BW100">
        <v>779</v>
      </c>
    </row>
    <row r="101" spans="1:75" x14ac:dyDescent="0.25">
      <c r="B101" t="s">
        <v>1017</v>
      </c>
      <c r="C101">
        <v>13.7942</v>
      </c>
      <c r="D101">
        <v>-88.896500000000003</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1</v>
      </c>
      <c r="BK101">
        <v>1</v>
      </c>
      <c r="BL101">
        <v>3</v>
      </c>
      <c r="BM101">
        <v>3</v>
      </c>
      <c r="BN101">
        <v>3</v>
      </c>
      <c r="BO101">
        <v>5</v>
      </c>
      <c r="BP101">
        <v>9</v>
      </c>
      <c r="BQ101">
        <v>13</v>
      </c>
      <c r="BR101">
        <v>13</v>
      </c>
      <c r="BS101">
        <v>19</v>
      </c>
      <c r="BT101">
        <v>24</v>
      </c>
      <c r="BU101">
        <v>30</v>
      </c>
      <c r="BV101">
        <v>32</v>
      </c>
      <c r="BW101">
        <v>32</v>
      </c>
    </row>
    <row r="102" spans="1:75" x14ac:dyDescent="0.25">
      <c r="B102" t="s">
        <v>518</v>
      </c>
      <c r="C102">
        <v>1.5</v>
      </c>
      <c r="D102">
        <v>10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1</v>
      </c>
      <c r="BG102">
        <v>1</v>
      </c>
      <c r="BH102">
        <v>1</v>
      </c>
      <c r="BI102">
        <v>4</v>
      </c>
      <c r="BJ102">
        <v>6</v>
      </c>
      <c r="BK102">
        <v>6</v>
      </c>
      <c r="BL102">
        <v>6</v>
      </c>
      <c r="BM102">
        <v>6</v>
      </c>
      <c r="BN102">
        <v>9</v>
      </c>
      <c r="BO102">
        <v>9</v>
      </c>
      <c r="BP102">
        <v>9</v>
      </c>
      <c r="BQ102">
        <v>12</v>
      </c>
      <c r="BR102">
        <v>12</v>
      </c>
      <c r="BS102">
        <v>12</v>
      </c>
      <c r="BT102">
        <v>12</v>
      </c>
      <c r="BU102">
        <v>12</v>
      </c>
      <c r="BV102">
        <v>12</v>
      </c>
      <c r="BW102">
        <v>15</v>
      </c>
    </row>
    <row r="103" spans="1:75" x14ac:dyDescent="0.25">
      <c r="B103" t="s">
        <v>1086</v>
      </c>
      <c r="C103">
        <v>15.179399999999999</v>
      </c>
      <c r="D103">
        <v>39.782299999999999</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1</v>
      </c>
      <c r="BM103">
        <v>1</v>
      </c>
      <c r="BN103">
        <v>1</v>
      </c>
      <c r="BO103">
        <v>1</v>
      </c>
      <c r="BP103">
        <v>4</v>
      </c>
      <c r="BQ103">
        <v>6</v>
      </c>
      <c r="BR103">
        <v>6</v>
      </c>
      <c r="BS103">
        <v>6</v>
      </c>
      <c r="BT103">
        <v>12</v>
      </c>
      <c r="BU103">
        <v>12</v>
      </c>
      <c r="BV103">
        <v>15</v>
      </c>
      <c r="BW103">
        <v>15</v>
      </c>
    </row>
    <row r="104" spans="1:75" x14ac:dyDescent="0.25">
      <c r="B104" t="s">
        <v>86</v>
      </c>
      <c r="C104">
        <v>58.595300000000002</v>
      </c>
      <c r="D104">
        <v>25.0136</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1</v>
      </c>
      <c r="AP104">
        <v>1</v>
      </c>
      <c r="AQ104">
        <v>1</v>
      </c>
      <c r="AR104">
        <v>1</v>
      </c>
      <c r="AS104">
        <v>1</v>
      </c>
      <c r="AT104">
        <v>2</v>
      </c>
      <c r="AU104">
        <v>2</v>
      </c>
      <c r="AV104">
        <v>3</v>
      </c>
      <c r="AW104">
        <v>10</v>
      </c>
      <c r="AX104">
        <v>10</v>
      </c>
      <c r="AY104">
        <v>10</v>
      </c>
      <c r="AZ104">
        <v>10</v>
      </c>
      <c r="BA104">
        <v>12</v>
      </c>
      <c r="BB104">
        <v>16</v>
      </c>
      <c r="BC104">
        <v>16</v>
      </c>
      <c r="BD104">
        <v>79</v>
      </c>
      <c r="BE104">
        <v>115</v>
      </c>
      <c r="BF104">
        <v>171</v>
      </c>
      <c r="BG104">
        <v>205</v>
      </c>
      <c r="BH104">
        <v>225</v>
      </c>
      <c r="BI104">
        <v>258</v>
      </c>
      <c r="BJ104">
        <v>267</v>
      </c>
      <c r="BK104">
        <v>283</v>
      </c>
      <c r="BL104">
        <v>306</v>
      </c>
      <c r="BM104">
        <v>326</v>
      </c>
      <c r="BN104">
        <v>352</v>
      </c>
      <c r="BO104">
        <v>369</v>
      </c>
      <c r="BP104">
        <v>404</v>
      </c>
      <c r="BQ104">
        <v>538</v>
      </c>
      <c r="BR104">
        <v>575</v>
      </c>
      <c r="BS104">
        <v>645</v>
      </c>
      <c r="BT104">
        <v>679</v>
      </c>
      <c r="BU104">
        <v>715</v>
      </c>
      <c r="BV104">
        <v>745</v>
      </c>
      <c r="BW104">
        <v>779</v>
      </c>
    </row>
    <row r="105" spans="1:75" x14ac:dyDescent="0.25">
      <c r="B105" t="s">
        <v>376</v>
      </c>
      <c r="C105">
        <v>-26.522500000000001</v>
      </c>
      <c r="D105">
        <v>31.465900000000001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1</v>
      </c>
      <c r="BF105">
        <v>1</v>
      </c>
      <c r="BG105">
        <v>1</v>
      </c>
      <c r="BH105">
        <v>1</v>
      </c>
      <c r="BI105">
        <v>1</v>
      </c>
      <c r="BJ105">
        <v>1</v>
      </c>
      <c r="BK105">
        <v>1</v>
      </c>
      <c r="BL105">
        <v>1</v>
      </c>
      <c r="BM105">
        <v>4</v>
      </c>
      <c r="BN105">
        <v>4</v>
      </c>
      <c r="BO105">
        <v>4</v>
      </c>
      <c r="BP105">
        <v>4</v>
      </c>
      <c r="BQ105">
        <v>6</v>
      </c>
      <c r="BR105">
        <v>9</v>
      </c>
      <c r="BS105">
        <v>9</v>
      </c>
      <c r="BT105">
        <v>9</v>
      </c>
      <c r="BU105">
        <v>9</v>
      </c>
      <c r="BV105">
        <v>9</v>
      </c>
      <c r="BW105">
        <v>9</v>
      </c>
    </row>
    <row r="106" spans="1:75" x14ac:dyDescent="0.25">
      <c r="B106" t="s">
        <v>203</v>
      </c>
      <c r="C106">
        <v>9.1449999999999996</v>
      </c>
      <c r="D106">
        <v>40.489699999999999</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1</v>
      </c>
      <c r="BE106">
        <v>1</v>
      </c>
      <c r="BF106">
        <v>1</v>
      </c>
      <c r="BG106">
        <v>5</v>
      </c>
      <c r="BH106">
        <v>5</v>
      </c>
      <c r="BI106">
        <v>6</v>
      </c>
      <c r="BJ106">
        <v>6</v>
      </c>
      <c r="BK106">
        <v>9</v>
      </c>
      <c r="BL106">
        <v>9</v>
      </c>
      <c r="BM106">
        <v>11</v>
      </c>
      <c r="BN106">
        <v>11</v>
      </c>
      <c r="BO106">
        <v>12</v>
      </c>
      <c r="BP106">
        <v>12</v>
      </c>
      <c r="BQ106">
        <v>12</v>
      </c>
      <c r="BR106">
        <v>16</v>
      </c>
      <c r="BS106">
        <v>16</v>
      </c>
      <c r="BT106">
        <v>21</v>
      </c>
      <c r="BU106">
        <v>23</v>
      </c>
      <c r="BV106">
        <v>26</v>
      </c>
      <c r="BW106">
        <v>29</v>
      </c>
    </row>
    <row r="107" spans="1:75" x14ac:dyDescent="0.25">
      <c r="B107" t="s">
        <v>1018</v>
      </c>
      <c r="C107">
        <v>-17.7134</v>
      </c>
      <c r="D107">
        <v>178.065</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1</v>
      </c>
      <c r="BK107">
        <v>1</v>
      </c>
      <c r="BL107">
        <v>1</v>
      </c>
      <c r="BM107">
        <v>2</v>
      </c>
      <c r="BN107">
        <v>3</v>
      </c>
      <c r="BO107">
        <v>4</v>
      </c>
      <c r="BP107">
        <v>5</v>
      </c>
      <c r="BQ107">
        <v>5</v>
      </c>
      <c r="BR107">
        <v>5</v>
      </c>
      <c r="BS107">
        <v>5</v>
      </c>
      <c r="BT107">
        <v>5</v>
      </c>
      <c r="BU107">
        <v>5</v>
      </c>
      <c r="BV107">
        <v>5</v>
      </c>
      <c r="BW107">
        <v>5</v>
      </c>
    </row>
    <row r="108" spans="1:75" x14ac:dyDescent="0.25">
      <c r="B108" t="s">
        <v>54</v>
      </c>
      <c r="C108">
        <v>64</v>
      </c>
      <c r="D108">
        <v>26</v>
      </c>
      <c r="E108">
        <v>0</v>
      </c>
      <c r="F108">
        <v>0</v>
      </c>
      <c r="G108">
        <v>0</v>
      </c>
      <c r="H108">
        <v>0</v>
      </c>
      <c r="I108">
        <v>0</v>
      </c>
      <c r="J108">
        <v>0</v>
      </c>
      <c r="K108">
        <v>0</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c r="AF108">
        <v>1</v>
      </c>
      <c r="AG108">
        <v>1</v>
      </c>
      <c r="AH108">
        <v>1</v>
      </c>
      <c r="AI108">
        <v>1</v>
      </c>
      <c r="AJ108">
        <v>1</v>
      </c>
      <c r="AK108">
        <v>1</v>
      </c>
      <c r="AL108">
        <v>1</v>
      </c>
      <c r="AM108">
        <v>1</v>
      </c>
      <c r="AN108">
        <v>2</v>
      </c>
      <c r="AO108">
        <v>2</v>
      </c>
      <c r="AP108">
        <v>2</v>
      </c>
      <c r="AQ108">
        <v>3</v>
      </c>
      <c r="AR108">
        <v>6</v>
      </c>
      <c r="AS108">
        <v>6</v>
      </c>
      <c r="AT108">
        <v>6</v>
      </c>
      <c r="AU108">
        <v>6</v>
      </c>
      <c r="AV108">
        <v>12</v>
      </c>
      <c r="AW108">
        <v>15</v>
      </c>
      <c r="AX108">
        <v>15</v>
      </c>
      <c r="AY108">
        <v>23</v>
      </c>
      <c r="AZ108">
        <v>30</v>
      </c>
      <c r="BA108">
        <v>40</v>
      </c>
      <c r="BB108">
        <v>59</v>
      </c>
      <c r="BC108">
        <v>59</v>
      </c>
      <c r="BD108">
        <v>155</v>
      </c>
      <c r="BE108">
        <v>225</v>
      </c>
      <c r="BF108">
        <v>244</v>
      </c>
      <c r="BG108">
        <v>277</v>
      </c>
      <c r="BH108">
        <v>321</v>
      </c>
      <c r="BI108">
        <v>336</v>
      </c>
      <c r="BJ108">
        <v>400</v>
      </c>
      <c r="BK108">
        <v>450</v>
      </c>
      <c r="BL108">
        <v>523</v>
      </c>
      <c r="BM108">
        <v>626</v>
      </c>
      <c r="BN108">
        <v>700</v>
      </c>
      <c r="BO108">
        <v>792</v>
      </c>
      <c r="BP108">
        <v>880</v>
      </c>
      <c r="BQ108">
        <v>958</v>
      </c>
      <c r="BR108">
        <v>1041</v>
      </c>
      <c r="BS108">
        <v>1167</v>
      </c>
      <c r="BT108">
        <v>1240</v>
      </c>
      <c r="BU108">
        <v>1352</v>
      </c>
      <c r="BV108">
        <v>1418</v>
      </c>
      <c r="BW108">
        <v>1446</v>
      </c>
    </row>
    <row r="109" spans="1:75" x14ac:dyDescent="0.25">
      <c r="A109" t="s">
        <v>133</v>
      </c>
      <c r="B109" t="s">
        <v>42</v>
      </c>
      <c r="C109">
        <v>3.9339</v>
      </c>
      <c r="D109">
        <v>-53.125799999999998</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5</v>
      </c>
      <c r="AY109">
        <v>5</v>
      </c>
      <c r="AZ109">
        <v>5</v>
      </c>
      <c r="BA109">
        <v>5</v>
      </c>
      <c r="BB109">
        <v>5</v>
      </c>
      <c r="BC109">
        <v>5</v>
      </c>
      <c r="BD109">
        <v>5</v>
      </c>
      <c r="BE109">
        <v>5</v>
      </c>
      <c r="BF109">
        <v>7</v>
      </c>
      <c r="BG109">
        <v>11</v>
      </c>
      <c r="BH109">
        <v>11</v>
      </c>
      <c r="BI109">
        <v>11</v>
      </c>
      <c r="BJ109">
        <v>11</v>
      </c>
      <c r="BK109">
        <v>15</v>
      </c>
      <c r="BL109">
        <v>18</v>
      </c>
      <c r="BM109">
        <v>18</v>
      </c>
      <c r="BN109">
        <v>20</v>
      </c>
      <c r="BO109">
        <v>23</v>
      </c>
      <c r="BP109">
        <v>28</v>
      </c>
      <c r="BQ109">
        <v>28</v>
      </c>
      <c r="BR109">
        <v>28</v>
      </c>
      <c r="BS109">
        <v>28</v>
      </c>
      <c r="BT109">
        <v>28</v>
      </c>
      <c r="BU109">
        <v>43</v>
      </c>
      <c r="BV109">
        <v>43</v>
      </c>
      <c r="BW109">
        <v>51</v>
      </c>
    </row>
    <row r="110" spans="1:75" x14ac:dyDescent="0.25">
      <c r="A110" t="s">
        <v>199</v>
      </c>
      <c r="B110" t="s">
        <v>42</v>
      </c>
      <c r="C110">
        <v>-17.6797</v>
      </c>
      <c r="D110">
        <v>149.4068</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3</v>
      </c>
      <c r="BE110">
        <v>3</v>
      </c>
      <c r="BF110">
        <v>3</v>
      </c>
      <c r="BG110">
        <v>3</v>
      </c>
      <c r="BH110">
        <v>3</v>
      </c>
      <c r="BI110">
        <v>3</v>
      </c>
      <c r="BJ110">
        <v>6</v>
      </c>
      <c r="BK110">
        <v>11</v>
      </c>
      <c r="BL110">
        <v>15</v>
      </c>
      <c r="BM110">
        <v>18</v>
      </c>
      <c r="BN110">
        <v>18</v>
      </c>
      <c r="BO110">
        <v>25</v>
      </c>
      <c r="BP110">
        <v>25</v>
      </c>
      <c r="BQ110">
        <v>30</v>
      </c>
      <c r="BR110">
        <v>30</v>
      </c>
      <c r="BS110">
        <v>30</v>
      </c>
      <c r="BT110">
        <v>30</v>
      </c>
      <c r="BU110">
        <v>36</v>
      </c>
      <c r="BV110">
        <v>36</v>
      </c>
      <c r="BW110">
        <v>37</v>
      </c>
    </row>
    <row r="111" spans="1:75" x14ac:dyDescent="0.25">
      <c r="A111" t="s">
        <v>200</v>
      </c>
      <c r="B111" t="s">
        <v>42</v>
      </c>
      <c r="C111">
        <v>16.25</v>
      </c>
      <c r="D111">
        <v>-61.583300000000001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1</v>
      </c>
      <c r="BE111">
        <v>1</v>
      </c>
      <c r="BF111">
        <v>3</v>
      </c>
      <c r="BG111">
        <v>6</v>
      </c>
      <c r="BH111">
        <v>18</v>
      </c>
      <c r="BI111">
        <v>27</v>
      </c>
      <c r="BJ111">
        <v>33</v>
      </c>
      <c r="BK111">
        <v>45</v>
      </c>
      <c r="BL111">
        <v>53</v>
      </c>
      <c r="BM111">
        <v>58</v>
      </c>
      <c r="BN111">
        <v>62</v>
      </c>
      <c r="BO111">
        <v>62</v>
      </c>
      <c r="BP111">
        <v>73</v>
      </c>
      <c r="BQ111">
        <v>73</v>
      </c>
      <c r="BR111">
        <v>73</v>
      </c>
      <c r="BS111">
        <v>102</v>
      </c>
      <c r="BT111">
        <v>106</v>
      </c>
      <c r="BU111">
        <v>106</v>
      </c>
      <c r="BV111">
        <v>114</v>
      </c>
      <c r="BW111">
        <v>125</v>
      </c>
    </row>
    <row r="112" spans="1:75" x14ac:dyDescent="0.25">
      <c r="A112" t="s">
        <v>519</v>
      </c>
      <c r="B112" t="s">
        <v>42</v>
      </c>
      <c r="C112">
        <v>-12.827500000000001</v>
      </c>
      <c r="D112">
        <v>45.166200000000003</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1</v>
      </c>
      <c r="BG112">
        <v>1</v>
      </c>
      <c r="BH112">
        <v>1</v>
      </c>
      <c r="BI112">
        <v>3</v>
      </c>
      <c r="BJ112">
        <v>3</v>
      </c>
      <c r="BK112">
        <v>6</v>
      </c>
      <c r="BL112">
        <v>7</v>
      </c>
      <c r="BM112">
        <v>11</v>
      </c>
      <c r="BN112">
        <v>24</v>
      </c>
      <c r="BO112">
        <v>36</v>
      </c>
      <c r="BP112">
        <v>36</v>
      </c>
      <c r="BQ112">
        <v>36</v>
      </c>
      <c r="BR112">
        <v>50</v>
      </c>
      <c r="BS112">
        <v>63</v>
      </c>
      <c r="BT112">
        <v>63</v>
      </c>
      <c r="BU112">
        <v>82</v>
      </c>
      <c r="BV112">
        <v>94</v>
      </c>
      <c r="BW112">
        <v>94</v>
      </c>
    </row>
    <row r="113" spans="1:75" x14ac:dyDescent="0.25">
      <c r="A113" t="s">
        <v>1014</v>
      </c>
      <c r="B113" t="s">
        <v>42</v>
      </c>
      <c r="C113">
        <v>-20.904299999999999</v>
      </c>
      <c r="D113">
        <v>165.61799999999999</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2</v>
      </c>
      <c r="BK113">
        <v>2</v>
      </c>
      <c r="BL113">
        <v>4</v>
      </c>
      <c r="BM113">
        <v>4</v>
      </c>
      <c r="BN113">
        <v>8</v>
      </c>
      <c r="BO113">
        <v>10</v>
      </c>
      <c r="BP113">
        <v>14</v>
      </c>
      <c r="BQ113">
        <v>14</v>
      </c>
      <c r="BR113">
        <v>15</v>
      </c>
      <c r="BS113">
        <v>15</v>
      </c>
      <c r="BT113">
        <v>15</v>
      </c>
      <c r="BU113">
        <v>15</v>
      </c>
      <c r="BV113">
        <v>16</v>
      </c>
      <c r="BW113">
        <v>16</v>
      </c>
    </row>
    <row r="114" spans="1:75" x14ac:dyDescent="0.25">
      <c r="A114" t="s">
        <v>186</v>
      </c>
      <c r="B114" t="s">
        <v>42</v>
      </c>
      <c r="C114">
        <v>-21.135100000000001</v>
      </c>
      <c r="D114">
        <v>55.247100000000003</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1</v>
      </c>
      <c r="BC114">
        <v>1</v>
      </c>
      <c r="BD114">
        <v>5</v>
      </c>
      <c r="BE114">
        <v>6</v>
      </c>
      <c r="BF114">
        <v>7</v>
      </c>
      <c r="BG114">
        <v>9</v>
      </c>
      <c r="BH114">
        <v>9</v>
      </c>
      <c r="BI114">
        <v>12</v>
      </c>
      <c r="BJ114">
        <v>14</v>
      </c>
      <c r="BK114">
        <v>28</v>
      </c>
      <c r="BL114">
        <v>45</v>
      </c>
      <c r="BM114">
        <v>64</v>
      </c>
      <c r="BN114">
        <v>71</v>
      </c>
      <c r="BO114">
        <v>94</v>
      </c>
      <c r="BP114">
        <v>111</v>
      </c>
      <c r="BQ114">
        <v>135</v>
      </c>
      <c r="BR114">
        <v>145</v>
      </c>
      <c r="BS114">
        <v>183</v>
      </c>
      <c r="BT114">
        <v>183</v>
      </c>
      <c r="BU114">
        <v>224</v>
      </c>
      <c r="BV114">
        <v>247</v>
      </c>
      <c r="BW114">
        <v>281</v>
      </c>
    </row>
    <row r="115" spans="1:75" x14ac:dyDescent="0.25">
      <c r="A115" t="s">
        <v>115</v>
      </c>
      <c r="B115" t="s">
        <v>42</v>
      </c>
      <c r="C115">
        <v>17.899999999999999</v>
      </c>
      <c r="D115">
        <v>-62.833300000000001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3</v>
      </c>
      <c r="AV115">
        <v>3</v>
      </c>
      <c r="AW115">
        <v>3</v>
      </c>
      <c r="AX115">
        <v>3</v>
      </c>
      <c r="AY115">
        <v>3</v>
      </c>
      <c r="AZ115">
        <v>1</v>
      </c>
      <c r="BA115">
        <v>1</v>
      </c>
      <c r="BB115">
        <v>1</v>
      </c>
      <c r="BC115">
        <v>1</v>
      </c>
      <c r="BD115">
        <v>1</v>
      </c>
      <c r="BE115">
        <v>1</v>
      </c>
      <c r="BF115">
        <v>1</v>
      </c>
      <c r="BG115">
        <v>3</v>
      </c>
      <c r="BH115">
        <v>3</v>
      </c>
      <c r="BI115">
        <v>3</v>
      </c>
      <c r="BJ115">
        <v>3</v>
      </c>
      <c r="BK115">
        <v>3</v>
      </c>
      <c r="BL115">
        <v>3</v>
      </c>
      <c r="BM115">
        <v>3</v>
      </c>
      <c r="BN115">
        <v>3</v>
      </c>
      <c r="BO115">
        <v>3</v>
      </c>
      <c r="BP115">
        <v>3</v>
      </c>
      <c r="BQ115">
        <v>3</v>
      </c>
      <c r="BR115">
        <v>5</v>
      </c>
      <c r="BS115">
        <v>5</v>
      </c>
      <c r="BT115">
        <v>5</v>
      </c>
      <c r="BU115">
        <v>6</v>
      </c>
      <c r="BV115">
        <v>6</v>
      </c>
      <c r="BW115">
        <v>6</v>
      </c>
    </row>
    <row r="116" spans="1:75" x14ac:dyDescent="0.25">
      <c r="A116" t="s">
        <v>180</v>
      </c>
      <c r="B116" t="s">
        <v>42</v>
      </c>
      <c r="C116">
        <v>18.070799999999998</v>
      </c>
      <c r="D116">
        <v>-63.0501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2</v>
      </c>
      <c r="BA116">
        <v>2</v>
      </c>
      <c r="BB116">
        <v>2</v>
      </c>
      <c r="BC116">
        <v>2</v>
      </c>
      <c r="BD116">
        <v>2</v>
      </c>
      <c r="BE116">
        <v>2</v>
      </c>
      <c r="BF116">
        <v>2</v>
      </c>
      <c r="BG116">
        <v>2</v>
      </c>
      <c r="BH116">
        <v>2</v>
      </c>
      <c r="BI116">
        <v>3</v>
      </c>
      <c r="BJ116">
        <v>4</v>
      </c>
      <c r="BK116">
        <v>4</v>
      </c>
      <c r="BL116">
        <v>4</v>
      </c>
      <c r="BM116">
        <v>5</v>
      </c>
      <c r="BN116">
        <v>8</v>
      </c>
      <c r="BO116">
        <v>8</v>
      </c>
      <c r="BP116">
        <v>11</v>
      </c>
      <c r="BQ116">
        <v>11</v>
      </c>
      <c r="BR116">
        <v>11</v>
      </c>
      <c r="BS116">
        <v>11</v>
      </c>
      <c r="BT116">
        <v>11</v>
      </c>
      <c r="BU116">
        <v>15</v>
      </c>
      <c r="BV116">
        <v>15</v>
      </c>
      <c r="BW116">
        <v>15</v>
      </c>
    </row>
    <row r="117" spans="1:75" x14ac:dyDescent="0.25">
      <c r="A117" t="s">
        <v>135</v>
      </c>
      <c r="B117" t="s">
        <v>42</v>
      </c>
      <c r="C117">
        <v>14.641500000000001</v>
      </c>
      <c r="D117">
        <v>-61.0242</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2</v>
      </c>
      <c r="AY117">
        <v>2</v>
      </c>
      <c r="AZ117">
        <v>2</v>
      </c>
      <c r="BA117">
        <v>2</v>
      </c>
      <c r="BB117">
        <v>3</v>
      </c>
      <c r="BC117">
        <v>3</v>
      </c>
      <c r="BD117">
        <v>3</v>
      </c>
      <c r="BE117">
        <v>9</v>
      </c>
      <c r="BF117">
        <v>9</v>
      </c>
      <c r="BG117">
        <v>15</v>
      </c>
      <c r="BH117">
        <v>16</v>
      </c>
      <c r="BI117">
        <v>19</v>
      </c>
      <c r="BJ117">
        <v>23</v>
      </c>
      <c r="BK117">
        <v>32</v>
      </c>
      <c r="BL117">
        <v>32</v>
      </c>
      <c r="BM117">
        <v>44</v>
      </c>
      <c r="BN117">
        <v>53</v>
      </c>
      <c r="BO117">
        <v>57</v>
      </c>
      <c r="BP117">
        <v>66</v>
      </c>
      <c r="BQ117">
        <v>66</v>
      </c>
      <c r="BR117">
        <v>81</v>
      </c>
      <c r="BS117">
        <v>93</v>
      </c>
      <c r="BT117">
        <v>93</v>
      </c>
      <c r="BU117">
        <v>93</v>
      </c>
      <c r="BV117">
        <v>128</v>
      </c>
      <c r="BW117">
        <v>135</v>
      </c>
    </row>
    <row r="118" spans="1:75" x14ac:dyDescent="0.25">
      <c r="B118" t="s">
        <v>42</v>
      </c>
      <c r="C118">
        <v>46.227600000000002</v>
      </c>
      <c r="D118">
        <v>2.2136999999999998</v>
      </c>
      <c r="E118">
        <v>0</v>
      </c>
      <c r="F118">
        <v>0</v>
      </c>
      <c r="G118">
        <v>2</v>
      </c>
      <c r="H118">
        <v>3</v>
      </c>
      <c r="I118">
        <v>3</v>
      </c>
      <c r="J118">
        <v>3</v>
      </c>
      <c r="K118">
        <v>4</v>
      </c>
      <c r="L118">
        <v>5</v>
      </c>
      <c r="M118">
        <v>5</v>
      </c>
      <c r="N118">
        <v>5</v>
      </c>
      <c r="O118">
        <v>6</v>
      </c>
      <c r="P118">
        <v>6</v>
      </c>
      <c r="Q118">
        <v>6</v>
      </c>
      <c r="R118">
        <v>6</v>
      </c>
      <c r="S118">
        <v>6</v>
      </c>
      <c r="T118">
        <v>6</v>
      </c>
      <c r="U118">
        <v>6</v>
      </c>
      <c r="V118">
        <v>11</v>
      </c>
      <c r="W118">
        <v>11</v>
      </c>
      <c r="X118">
        <v>11</v>
      </c>
      <c r="Y118">
        <v>11</v>
      </c>
      <c r="Z118">
        <v>11</v>
      </c>
      <c r="AA118">
        <v>11</v>
      </c>
      <c r="AB118">
        <v>11</v>
      </c>
      <c r="AC118">
        <v>12</v>
      </c>
      <c r="AD118">
        <v>12</v>
      </c>
      <c r="AE118">
        <v>12</v>
      </c>
      <c r="AF118">
        <v>12</v>
      </c>
      <c r="AG118">
        <v>12</v>
      </c>
      <c r="AH118">
        <v>12</v>
      </c>
      <c r="AI118">
        <v>12</v>
      </c>
      <c r="AJ118">
        <v>12</v>
      </c>
      <c r="AK118">
        <v>12</v>
      </c>
      <c r="AL118">
        <v>12</v>
      </c>
      <c r="AM118">
        <v>14</v>
      </c>
      <c r="AN118">
        <v>18</v>
      </c>
      <c r="AO118">
        <v>38</v>
      </c>
      <c r="AP118">
        <v>57</v>
      </c>
      <c r="AQ118">
        <v>100</v>
      </c>
      <c r="AR118">
        <v>130</v>
      </c>
      <c r="AS118">
        <v>191</v>
      </c>
      <c r="AT118">
        <v>204</v>
      </c>
      <c r="AU118">
        <v>285</v>
      </c>
      <c r="AV118">
        <v>377</v>
      </c>
      <c r="AW118">
        <v>653</v>
      </c>
      <c r="AX118">
        <v>949</v>
      </c>
      <c r="AY118">
        <v>1126</v>
      </c>
      <c r="AZ118">
        <v>1209</v>
      </c>
      <c r="BA118">
        <v>1784</v>
      </c>
      <c r="BB118">
        <v>2281</v>
      </c>
      <c r="BC118">
        <v>2281</v>
      </c>
      <c r="BD118">
        <v>3661</v>
      </c>
      <c r="BE118">
        <v>4469</v>
      </c>
      <c r="BF118">
        <v>4499</v>
      </c>
      <c r="BG118">
        <v>6633</v>
      </c>
      <c r="BH118">
        <v>7652</v>
      </c>
      <c r="BI118">
        <v>9043</v>
      </c>
      <c r="BJ118">
        <v>10871</v>
      </c>
      <c r="BK118">
        <v>12612</v>
      </c>
      <c r="BL118">
        <v>14282</v>
      </c>
      <c r="BM118">
        <v>16018</v>
      </c>
      <c r="BN118">
        <v>19856</v>
      </c>
      <c r="BO118">
        <v>22304</v>
      </c>
      <c r="BP118">
        <v>25233</v>
      </c>
      <c r="BQ118">
        <v>29155</v>
      </c>
      <c r="BR118">
        <v>32964</v>
      </c>
      <c r="BS118">
        <v>37575</v>
      </c>
      <c r="BT118">
        <v>40174</v>
      </c>
      <c r="BU118">
        <v>44550</v>
      </c>
      <c r="BV118">
        <v>52128</v>
      </c>
      <c r="BW118">
        <v>56989</v>
      </c>
    </row>
    <row r="119" spans="1:75" x14ac:dyDescent="0.25">
      <c r="B119" t="s">
        <v>377</v>
      </c>
      <c r="C119">
        <v>-0.80369999999999997</v>
      </c>
      <c r="D119">
        <v>11.609400000000001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1</v>
      </c>
      <c r="BF119">
        <v>1</v>
      </c>
      <c r="BG119">
        <v>1</v>
      </c>
      <c r="BH119">
        <v>1</v>
      </c>
      <c r="BI119">
        <v>1</v>
      </c>
      <c r="BJ119">
        <v>1</v>
      </c>
      <c r="BK119">
        <v>3</v>
      </c>
      <c r="BL119">
        <v>4</v>
      </c>
      <c r="BM119">
        <v>5</v>
      </c>
      <c r="BN119">
        <v>5</v>
      </c>
      <c r="BO119">
        <v>6</v>
      </c>
      <c r="BP119">
        <v>6</v>
      </c>
      <c r="BQ119">
        <v>7</v>
      </c>
      <c r="BR119">
        <v>7</v>
      </c>
      <c r="BS119">
        <v>7</v>
      </c>
      <c r="BT119">
        <v>7</v>
      </c>
      <c r="BU119">
        <v>7</v>
      </c>
      <c r="BV119">
        <v>16</v>
      </c>
      <c r="BW119">
        <v>18</v>
      </c>
    </row>
    <row r="120" spans="1:75" x14ac:dyDescent="0.25">
      <c r="B120" t="s">
        <v>1473</v>
      </c>
      <c r="C120">
        <v>13.443199999999999</v>
      </c>
      <c r="D120">
        <v>-15.3101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1</v>
      </c>
      <c r="BI120">
        <v>1</v>
      </c>
      <c r="BJ120">
        <v>1</v>
      </c>
      <c r="BK120">
        <v>1</v>
      </c>
      <c r="BL120">
        <v>1</v>
      </c>
      <c r="BM120">
        <v>1</v>
      </c>
      <c r="BN120">
        <v>2</v>
      </c>
      <c r="BO120">
        <v>3</v>
      </c>
      <c r="BP120">
        <v>3</v>
      </c>
      <c r="BQ120">
        <v>3</v>
      </c>
      <c r="BR120">
        <v>3</v>
      </c>
      <c r="BS120">
        <v>3</v>
      </c>
      <c r="BT120">
        <v>4</v>
      </c>
      <c r="BU120">
        <v>4</v>
      </c>
      <c r="BV120">
        <v>4</v>
      </c>
      <c r="BW120">
        <v>4</v>
      </c>
    </row>
    <row r="121" spans="1:75" x14ac:dyDescent="0.25">
      <c r="B121" t="s">
        <v>80</v>
      </c>
      <c r="C121">
        <v>42.315399999999997</v>
      </c>
      <c r="D121">
        <v>43.356900000000003</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1</v>
      </c>
      <c r="AO121">
        <v>1</v>
      </c>
      <c r="AP121">
        <v>1</v>
      </c>
      <c r="AQ121">
        <v>1</v>
      </c>
      <c r="AR121">
        <v>3</v>
      </c>
      <c r="AS121">
        <v>3</v>
      </c>
      <c r="AT121">
        <v>3</v>
      </c>
      <c r="AU121">
        <v>3</v>
      </c>
      <c r="AV121">
        <v>4</v>
      </c>
      <c r="AW121">
        <v>4</v>
      </c>
      <c r="AX121">
        <v>4</v>
      </c>
      <c r="AY121">
        <v>13</v>
      </c>
      <c r="AZ121">
        <v>15</v>
      </c>
      <c r="BA121">
        <v>15</v>
      </c>
      <c r="BB121">
        <v>24</v>
      </c>
      <c r="BC121">
        <v>24</v>
      </c>
      <c r="BD121">
        <v>25</v>
      </c>
      <c r="BE121">
        <v>30</v>
      </c>
      <c r="BF121">
        <v>33</v>
      </c>
      <c r="BG121">
        <v>33</v>
      </c>
      <c r="BH121">
        <v>34</v>
      </c>
      <c r="BI121">
        <v>38</v>
      </c>
      <c r="BJ121">
        <v>40</v>
      </c>
      <c r="BK121">
        <v>43</v>
      </c>
      <c r="BL121">
        <v>49</v>
      </c>
      <c r="BM121">
        <v>54</v>
      </c>
      <c r="BN121">
        <v>61</v>
      </c>
      <c r="BO121">
        <v>70</v>
      </c>
      <c r="BP121">
        <v>75</v>
      </c>
      <c r="BQ121">
        <v>79</v>
      </c>
      <c r="BR121">
        <v>83</v>
      </c>
      <c r="BS121">
        <v>90</v>
      </c>
      <c r="BT121">
        <v>91</v>
      </c>
      <c r="BU121">
        <v>103</v>
      </c>
      <c r="BV121">
        <v>110</v>
      </c>
      <c r="BW121">
        <v>117</v>
      </c>
    </row>
    <row r="122" spans="1:75" x14ac:dyDescent="0.25">
      <c r="B122" t="s">
        <v>53</v>
      </c>
      <c r="C122">
        <v>51</v>
      </c>
      <c r="D122">
        <v>9</v>
      </c>
      <c r="E122">
        <v>0</v>
      </c>
      <c r="F122">
        <v>0</v>
      </c>
      <c r="G122">
        <v>0</v>
      </c>
      <c r="H122">
        <v>0</v>
      </c>
      <c r="I122">
        <v>0</v>
      </c>
      <c r="J122">
        <v>1</v>
      </c>
      <c r="K122">
        <v>4</v>
      </c>
      <c r="L122">
        <v>4</v>
      </c>
      <c r="M122">
        <v>4</v>
      </c>
      <c r="N122">
        <v>5</v>
      </c>
      <c r="O122">
        <v>8</v>
      </c>
      <c r="P122">
        <v>10</v>
      </c>
      <c r="Q122">
        <v>12</v>
      </c>
      <c r="R122">
        <v>12</v>
      </c>
      <c r="S122">
        <v>12</v>
      </c>
      <c r="T122">
        <v>12</v>
      </c>
      <c r="U122">
        <v>13</v>
      </c>
      <c r="V122">
        <v>13</v>
      </c>
      <c r="W122">
        <v>14</v>
      </c>
      <c r="X122">
        <v>14</v>
      </c>
      <c r="Y122">
        <v>16</v>
      </c>
      <c r="Z122">
        <v>16</v>
      </c>
      <c r="AA122">
        <v>16</v>
      </c>
      <c r="AB122">
        <v>16</v>
      </c>
      <c r="AC122">
        <v>16</v>
      </c>
      <c r="AD122">
        <v>16</v>
      </c>
      <c r="AE122">
        <v>16</v>
      </c>
      <c r="AF122">
        <v>16</v>
      </c>
      <c r="AG122">
        <v>16</v>
      </c>
      <c r="AH122">
        <v>16</v>
      </c>
      <c r="AI122">
        <v>16</v>
      </c>
      <c r="AJ122">
        <v>16</v>
      </c>
      <c r="AK122">
        <v>16</v>
      </c>
      <c r="AL122">
        <v>16</v>
      </c>
      <c r="AM122">
        <v>17</v>
      </c>
      <c r="AN122">
        <v>27</v>
      </c>
      <c r="AO122">
        <v>46</v>
      </c>
      <c r="AP122">
        <v>48</v>
      </c>
      <c r="AQ122">
        <v>79</v>
      </c>
      <c r="AR122">
        <v>130</v>
      </c>
      <c r="AS122">
        <v>159</v>
      </c>
      <c r="AT122">
        <v>196</v>
      </c>
      <c r="AU122">
        <v>262</v>
      </c>
      <c r="AV122">
        <v>482</v>
      </c>
      <c r="AW122">
        <v>670</v>
      </c>
      <c r="AX122">
        <v>799</v>
      </c>
      <c r="AY122">
        <v>1040</v>
      </c>
      <c r="AZ122">
        <v>1176</v>
      </c>
      <c r="BA122">
        <v>1457</v>
      </c>
      <c r="BB122">
        <v>1908</v>
      </c>
      <c r="BC122">
        <v>2078</v>
      </c>
      <c r="BD122">
        <v>3675</v>
      </c>
      <c r="BE122">
        <v>4585</v>
      </c>
      <c r="BF122">
        <v>5795</v>
      </c>
      <c r="BG122">
        <v>7272</v>
      </c>
      <c r="BH122">
        <v>9257</v>
      </c>
      <c r="BI122">
        <v>12327</v>
      </c>
      <c r="BJ122">
        <v>15320</v>
      </c>
      <c r="BK122">
        <v>19848</v>
      </c>
      <c r="BL122">
        <v>22213</v>
      </c>
      <c r="BM122">
        <v>24873</v>
      </c>
      <c r="BN122">
        <v>29056</v>
      </c>
      <c r="BO122">
        <v>32986</v>
      </c>
      <c r="BP122">
        <v>37323</v>
      </c>
      <c r="BQ122">
        <v>43938</v>
      </c>
      <c r="BR122">
        <v>50871</v>
      </c>
      <c r="BS122">
        <v>57695</v>
      </c>
      <c r="BT122">
        <v>62095</v>
      </c>
      <c r="BU122">
        <v>66885</v>
      </c>
      <c r="BV122">
        <v>71808</v>
      </c>
      <c r="BW122">
        <v>77872</v>
      </c>
    </row>
    <row r="123" spans="1:75" x14ac:dyDescent="0.25">
      <c r="B123" t="s">
        <v>370</v>
      </c>
      <c r="C123">
        <v>7.9465000000000003</v>
      </c>
      <c r="D123">
        <v>-1.0232000000000001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3</v>
      </c>
      <c r="BF123">
        <v>6</v>
      </c>
      <c r="BG123">
        <v>6</v>
      </c>
      <c r="BH123">
        <v>7</v>
      </c>
      <c r="BI123">
        <v>7</v>
      </c>
      <c r="BJ123">
        <v>11</v>
      </c>
      <c r="BK123">
        <v>16</v>
      </c>
      <c r="BL123">
        <v>19</v>
      </c>
      <c r="BM123">
        <v>23</v>
      </c>
      <c r="BN123">
        <v>27</v>
      </c>
      <c r="BO123">
        <v>53</v>
      </c>
      <c r="BP123">
        <v>93</v>
      </c>
      <c r="BQ123">
        <v>132</v>
      </c>
      <c r="BR123">
        <v>137</v>
      </c>
      <c r="BS123">
        <v>141</v>
      </c>
      <c r="BT123">
        <v>152</v>
      </c>
      <c r="BU123">
        <v>152</v>
      </c>
      <c r="BV123">
        <v>161</v>
      </c>
      <c r="BW123">
        <v>195</v>
      </c>
    </row>
    <row r="124" spans="1:75" x14ac:dyDescent="0.25">
      <c r="B124" t="s">
        <v>81</v>
      </c>
      <c r="C124">
        <v>39.074199999999998</v>
      </c>
      <c r="D124">
        <v>21.824300000000001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1</v>
      </c>
      <c r="AO124">
        <v>3</v>
      </c>
      <c r="AP124">
        <v>4</v>
      </c>
      <c r="AQ124">
        <v>4</v>
      </c>
      <c r="AR124">
        <v>7</v>
      </c>
      <c r="AS124">
        <v>7</v>
      </c>
      <c r="AT124">
        <v>7</v>
      </c>
      <c r="AU124">
        <v>9</v>
      </c>
      <c r="AV124">
        <v>31</v>
      </c>
      <c r="AW124">
        <v>45</v>
      </c>
      <c r="AX124">
        <v>46</v>
      </c>
      <c r="AY124">
        <v>73</v>
      </c>
      <c r="AZ124">
        <v>73</v>
      </c>
      <c r="BA124">
        <v>89</v>
      </c>
      <c r="BB124">
        <v>99</v>
      </c>
      <c r="BC124">
        <v>99</v>
      </c>
      <c r="BD124">
        <v>190</v>
      </c>
      <c r="BE124">
        <v>228</v>
      </c>
      <c r="BF124">
        <v>331</v>
      </c>
      <c r="BG124">
        <v>331</v>
      </c>
      <c r="BH124">
        <v>387</v>
      </c>
      <c r="BI124">
        <v>418</v>
      </c>
      <c r="BJ124">
        <v>418</v>
      </c>
      <c r="BK124">
        <v>495</v>
      </c>
      <c r="BL124">
        <v>530</v>
      </c>
      <c r="BM124">
        <v>624</v>
      </c>
      <c r="BN124">
        <v>695</v>
      </c>
      <c r="BO124">
        <v>743</v>
      </c>
      <c r="BP124">
        <v>821</v>
      </c>
      <c r="BQ124">
        <v>892</v>
      </c>
      <c r="BR124">
        <v>966</v>
      </c>
      <c r="BS124">
        <v>1061</v>
      </c>
      <c r="BT124">
        <v>1156</v>
      </c>
      <c r="BU124">
        <v>1212</v>
      </c>
      <c r="BV124">
        <v>1314</v>
      </c>
      <c r="BW124">
        <v>1415</v>
      </c>
    </row>
    <row r="125" spans="1:75" x14ac:dyDescent="0.25">
      <c r="B125" t="s">
        <v>378</v>
      </c>
      <c r="C125">
        <v>15.7835</v>
      </c>
      <c r="D125">
        <v>-90.230800000000002</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1</v>
      </c>
      <c r="BF125">
        <v>1</v>
      </c>
      <c r="BG125">
        <v>2</v>
      </c>
      <c r="BH125">
        <v>6</v>
      </c>
      <c r="BI125">
        <v>6</v>
      </c>
      <c r="BJ125">
        <v>9</v>
      </c>
      <c r="BK125">
        <v>12</v>
      </c>
      <c r="BL125">
        <v>17</v>
      </c>
      <c r="BM125">
        <v>19</v>
      </c>
      <c r="BN125">
        <v>20</v>
      </c>
      <c r="BO125">
        <v>21</v>
      </c>
      <c r="BP125">
        <v>24</v>
      </c>
      <c r="BQ125">
        <v>25</v>
      </c>
      <c r="BR125">
        <v>28</v>
      </c>
      <c r="BS125">
        <v>34</v>
      </c>
      <c r="BT125">
        <v>34</v>
      </c>
      <c r="BU125">
        <v>36</v>
      </c>
      <c r="BV125">
        <v>38</v>
      </c>
      <c r="BW125">
        <v>39</v>
      </c>
    </row>
    <row r="126" spans="1:75" x14ac:dyDescent="0.25">
      <c r="B126" t="s">
        <v>205</v>
      </c>
      <c r="C126">
        <v>9.9456000000000007</v>
      </c>
      <c r="D126">
        <v>-9.6966000000000001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1</v>
      </c>
      <c r="BE126">
        <v>1</v>
      </c>
      <c r="BF126">
        <v>1</v>
      </c>
      <c r="BG126">
        <v>1</v>
      </c>
      <c r="BH126">
        <v>1</v>
      </c>
      <c r="BI126">
        <v>1</v>
      </c>
      <c r="BJ126">
        <v>1</v>
      </c>
      <c r="BK126">
        <v>1</v>
      </c>
      <c r="BL126">
        <v>2</v>
      </c>
      <c r="BM126">
        <v>2</v>
      </c>
      <c r="BN126">
        <v>4</v>
      </c>
      <c r="BO126">
        <v>4</v>
      </c>
      <c r="BP126">
        <v>4</v>
      </c>
      <c r="BQ126">
        <v>4</v>
      </c>
      <c r="BR126">
        <v>8</v>
      </c>
      <c r="BS126">
        <v>8</v>
      </c>
      <c r="BT126">
        <v>16</v>
      </c>
      <c r="BU126">
        <v>22</v>
      </c>
      <c r="BV126">
        <v>22</v>
      </c>
      <c r="BW126">
        <v>30</v>
      </c>
    </row>
    <row r="127" spans="1:75" x14ac:dyDescent="0.25">
      <c r="B127" t="s">
        <v>196</v>
      </c>
      <c r="C127">
        <v>5</v>
      </c>
      <c r="D127">
        <v>-58.75</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1</v>
      </c>
      <c r="BD127">
        <v>1</v>
      </c>
      <c r="BE127">
        <v>1</v>
      </c>
      <c r="BF127">
        <v>4</v>
      </c>
      <c r="BG127">
        <v>4</v>
      </c>
      <c r="BH127">
        <v>7</v>
      </c>
      <c r="BI127">
        <v>7</v>
      </c>
      <c r="BJ127">
        <v>7</v>
      </c>
      <c r="BK127">
        <v>7</v>
      </c>
      <c r="BL127">
        <v>7</v>
      </c>
      <c r="BM127">
        <v>19</v>
      </c>
      <c r="BN127">
        <v>20</v>
      </c>
      <c r="BO127">
        <v>5</v>
      </c>
      <c r="BP127">
        <v>5</v>
      </c>
      <c r="BQ127">
        <v>5</v>
      </c>
      <c r="BR127">
        <v>5</v>
      </c>
      <c r="BS127">
        <v>8</v>
      </c>
      <c r="BT127">
        <v>8</v>
      </c>
      <c r="BU127">
        <v>8</v>
      </c>
      <c r="BV127">
        <v>12</v>
      </c>
      <c r="BW127">
        <v>19</v>
      </c>
    </row>
    <row r="128" spans="1:75" x14ac:dyDescent="0.25">
      <c r="B128" t="s">
        <v>1021</v>
      </c>
      <c r="C128">
        <v>18.9712</v>
      </c>
      <c r="D128">
        <v>-72.285200000000003</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2</v>
      </c>
      <c r="BL128">
        <v>2</v>
      </c>
      <c r="BM128">
        <v>2</v>
      </c>
      <c r="BN128">
        <v>6</v>
      </c>
      <c r="BO128">
        <v>7</v>
      </c>
      <c r="BP128">
        <v>8</v>
      </c>
      <c r="BQ128">
        <v>8</v>
      </c>
      <c r="BR128">
        <v>8</v>
      </c>
      <c r="BS128">
        <v>8</v>
      </c>
      <c r="BT128">
        <v>15</v>
      </c>
      <c r="BU128">
        <v>15</v>
      </c>
      <c r="BV128">
        <v>15</v>
      </c>
      <c r="BW128">
        <v>16</v>
      </c>
    </row>
    <row r="129" spans="2:75" x14ac:dyDescent="0.25">
      <c r="B129" t="s">
        <v>150</v>
      </c>
      <c r="C129">
        <v>41.902900000000002</v>
      </c>
      <c r="D129">
        <v>12.4534</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4</v>
      </c>
      <c r="BP129">
        <v>4</v>
      </c>
      <c r="BQ129">
        <v>4</v>
      </c>
      <c r="BR129">
        <v>4</v>
      </c>
      <c r="BS129">
        <v>6</v>
      </c>
      <c r="BT129">
        <v>6</v>
      </c>
      <c r="BU129">
        <v>6</v>
      </c>
      <c r="BV129">
        <v>6</v>
      </c>
      <c r="BW129">
        <v>6</v>
      </c>
    </row>
    <row r="130" spans="2:75" x14ac:dyDescent="0.25">
      <c r="B130" t="s">
        <v>181</v>
      </c>
      <c r="C130">
        <v>15.2</v>
      </c>
      <c r="D130">
        <v>-86.241900000000001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2</v>
      </c>
      <c r="BC130">
        <v>2</v>
      </c>
      <c r="BD130">
        <v>2</v>
      </c>
      <c r="BE130">
        <v>2</v>
      </c>
      <c r="BF130">
        <v>3</v>
      </c>
      <c r="BG130">
        <v>6</v>
      </c>
      <c r="BH130">
        <v>8</v>
      </c>
      <c r="BI130">
        <v>9</v>
      </c>
      <c r="BJ130">
        <v>12</v>
      </c>
      <c r="BK130">
        <v>24</v>
      </c>
      <c r="BL130">
        <v>24</v>
      </c>
      <c r="BM130">
        <v>26</v>
      </c>
      <c r="BN130">
        <v>30</v>
      </c>
      <c r="BO130">
        <v>30</v>
      </c>
      <c r="BP130">
        <v>36</v>
      </c>
      <c r="BQ130">
        <v>52</v>
      </c>
      <c r="BR130">
        <v>68</v>
      </c>
      <c r="BS130">
        <v>95</v>
      </c>
      <c r="BT130">
        <v>110</v>
      </c>
      <c r="BU130">
        <v>139</v>
      </c>
      <c r="BV130">
        <v>141</v>
      </c>
      <c r="BW130">
        <v>172</v>
      </c>
    </row>
    <row r="131" spans="2:75" x14ac:dyDescent="0.25">
      <c r="B131" t="s">
        <v>116</v>
      </c>
      <c r="C131">
        <v>47.162500000000001</v>
      </c>
      <c r="D131">
        <v>19.503299999999999</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2</v>
      </c>
      <c r="AV131">
        <v>2</v>
      </c>
      <c r="AW131">
        <v>2</v>
      </c>
      <c r="AX131">
        <v>4</v>
      </c>
      <c r="AY131">
        <v>7</v>
      </c>
      <c r="AZ131">
        <v>9</v>
      </c>
      <c r="BA131">
        <v>9</v>
      </c>
      <c r="BB131">
        <v>13</v>
      </c>
      <c r="BC131">
        <v>13</v>
      </c>
      <c r="BD131">
        <v>19</v>
      </c>
      <c r="BE131">
        <v>30</v>
      </c>
      <c r="BF131">
        <v>32</v>
      </c>
      <c r="BG131">
        <v>39</v>
      </c>
      <c r="BH131">
        <v>50</v>
      </c>
      <c r="BI131">
        <v>58</v>
      </c>
      <c r="BJ131">
        <v>73</v>
      </c>
      <c r="BK131">
        <v>85</v>
      </c>
      <c r="BL131">
        <v>103</v>
      </c>
      <c r="BM131">
        <v>131</v>
      </c>
      <c r="BN131">
        <v>167</v>
      </c>
      <c r="BO131">
        <v>187</v>
      </c>
      <c r="BP131">
        <v>226</v>
      </c>
      <c r="BQ131">
        <v>261</v>
      </c>
      <c r="BR131">
        <v>300</v>
      </c>
      <c r="BS131">
        <v>343</v>
      </c>
      <c r="BT131">
        <v>408</v>
      </c>
      <c r="BU131">
        <v>447</v>
      </c>
      <c r="BV131">
        <v>492</v>
      </c>
      <c r="BW131">
        <v>525</v>
      </c>
    </row>
    <row r="132" spans="2:75" x14ac:dyDescent="0.25">
      <c r="B132" t="s">
        <v>90</v>
      </c>
      <c r="C132">
        <v>64.963099999999997</v>
      </c>
      <c r="D132">
        <v>-19.020800000000001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1</v>
      </c>
      <c r="AQ132">
        <v>1</v>
      </c>
      <c r="AR132">
        <v>3</v>
      </c>
      <c r="AS132">
        <v>6</v>
      </c>
      <c r="AT132">
        <v>11</v>
      </c>
      <c r="AU132">
        <v>26</v>
      </c>
      <c r="AV132">
        <v>34</v>
      </c>
      <c r="AW132">
        <v>43</v>
      </c>
      <c r="AX132">
        <v>50</v>
      </c>
      <c r="AY132">
        <v>50</v>
      </c>
      <c r="AZ132">
        <v>58</v>
      </c>
      <c r="BA132">
        <v>69</v>
      </c>
      <c r="BB132">
        <v>85</v>
      </c>
      <c r="BC132">
        <v>103</v>
      </c>
      <c r="BD132">
        <v>134</v>
      </c>
      <c r="BE132">
        <v>156</v>
      </c>
      <c r="BF132">
        <v>171</v>
      </c>
      <c r="BG132">
        <v>180</v>
      </c>
      <c r="BH132">
        <v>220</v>
      </c>
      <c r="BI132">
        <v>250</v>
      </c>
      <c r="BJ132">
        <v>330</v>
      </c>
      <c r="BK132">
        <v>409</v>
      </c>
      <c r="BL132">
        <v>473</v>
      </c>
      <c r="BM132">
        <v>568</v>
      </c>
      <c r="BN132">
        <v>588</v>
      </c>
      <c r="BO132">
        <v>648</v>
      </c>
      <c r="BP132">
        <v>737</v>
      </c>
      <c r="BQ132">
        <v>802</v>
      </c>
      <c r="BR132">
        <v>890</v>
      </c>
      <c r="BS132">
        <v>963</v>
      </c>
      <c r="BT132">
        <v>1020</v>
      </c>
      <c r="BU132">
        <v>1086</v>
      </c>
      <c r="BV132">
        <v>1135</v>
      </c>
      <c r="BW132">
        <v>1220</v>
      </c>
    </row>
    <row r="133" spans="2:75" x14ac:dyDescent="0.25">
      <c r="B133" t="s">
        <v>57</v>
      </c>
      <c r="C133">
        <v>21</v>
      </c>
      <c r="D133">
        <v>78</v>
      </c>
      <c r="E133">
        <v>0</v>
      </c>
      <c r="F133">
        <v>0</v>
      </c>
      <c r="G133">
        <v>0</v>
      </c>
      <c r="H133">
        <v>0</v>
      </c>
      <c r="I133">
        <v>0</v>
      </c>
      <c r="J133">
        <v>0</v>
      </c>
      <c r="K133">
        <v>0</v>
      </c>
      <c r="L133">
        <v>0</v>
      </c>
      <c r="M133">
        <v>1</v>
      </c>
      <c r="N133">
        <v>1</v>
      </c>
      <c r="O133">
        <v>1</v>
      </c>
      <c r="P133">
        <v>2</v>
      </c>
      <c r="Q133">
        <v>3</v>
      </c>
      <c r="R133">
        <v>3</v>
      </c>
      <c r="S133">
        <v>3</v>
      </c>
      <c r="T133">
        <v>3</v>
      </c>
      <c r="U133">
        <v>3</v>
      </c>
      <c r="V133">
        <v>3</v>
      </c>
      <c r="W133">
        <v>3</v>
      </c>
      <c r="X133">
        <v>3</v>
      </c>
      <c r="Y133">
        <v>3</v>
      </c>
      <c r="Z133">
        <v>3</v>
      </c>
      <c r="AA133">
        <v>3</v>
      </c>
      <c r="AB133">
        <v>3</v>
      </c>
      <c r="AC133">
        <v>3</v>
      </c>
      <c r="AD133">
        <v>3</v>
      </c>
      <c r="AE133">
        <v>3</v>
      </c>
      <c r="AF133">
        <v>3</v>
      </c>
      <c r="AG133">
        <v>3</v>
      </c>
      <c r="AH133">
        <v>3</v>
      </c>
      <c r="AI133">
        <v>3</v>
      </c>
      <c r="AJ133">
        <v>3</v>
      </c>
      <c r="AK133">
        <v>3</v>
      </c>
      <c r="AL133">
        <v>3</v>
      </c>
      <c r="AM133">
        <v>3</v>
      </c>
      <c r="AN133">
        <v>3</v>
      </c>
      <c r="AO133">
        <v>3</v>
      </c>
      <c r="AP133">
        <v>3</v>
      </c>
      <c r="AQ133">
        <v>3</v>
      </c>
      <c r="AR133">
        <v>3</v>
      </c>
      <c r="AS133">
        <v>5</v>
      </c>
      <c r="AT133">
        <v>5</v>
      </c>
      <c r="AU133">
        <v>28</v>
      </c>
      <c r="AV133">
        <v>30</v>
      </c>
      <c r="AW133">
        <v>31</v>
      </c>
      <c r="AX133">
        <v>34</v>
      </c>
      <c r="AY133">
        <v>39</v>
      </c>
      <c r="AZ133">
        <v>43</v>
      </c>
      <c r="BA133">
        <v>56</v>
      </c>
      <c r="BB133">
        <v>62</v>
      </c>
      <c r="BC133">
        <v>73</v>
      </c>
      <c r="BD133">
        <v>82</v>
      </c>
      <c r="BE133">
        <v>102</v>
      </c>
      <c r="BF133">
        <v>113</v>
      </c>
      <c r="BG133">
        <v>119</v>
      </c>
      <c r="BH133">
        <v>142</v>
      </c>
      <c r="BI133">
        <v>156</v>
      </c>
      <c r="BJ133">
        <v>194</v>
      </c>
      <c r="BK133">
        <v>244</v>
      </c>
      <c r="BL133">
        <v>330</v>
      </c>
      <c r="BM133">
        <v>396</v>
      </c>
      <c r="BN133">
        <v>499</v>
      </c>
      <c r="BO133">
        <v>536</v>
      </c>
      <c r="BP133">
        <v>657</v>
      </c>
      <c r="BQ133">
        <v>727</v>
      </c>
      <c r="BR133">
        <v>887</v>
      </c>
      <c r="BS133">
        <v>987</v>
      </c>
      <c r="BT133">
        <v>1024</v>
      </c>
      <c r="BU133">
        <v>1251</v>
      </c>
      <c r="BV133">
        <v>1397</v>
      </c>
      <c r="BW133">
        <v>1998</v>
      </c>
    </row>
    <row r="134" spans="2:75" x14ac:dyDescent="0.25">
      <c r="B134" t="s">
        <v>103</v>
      </c>
      <c r="C134">
        <v>-0.7893</v>
      </c>
      <c r="D134">
        <v>113.9213</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2</v>
      </c>
      <c r="AT134">
        <v>2</v>
      </c>
      <c r="AU134">
        <v>2</v>
      </c>
      <c r="AV134">
        <v>2</v>
      </c>
      <c r="AW134">
        <v>4</v>
      </c>
      <c r="AX134">
        <v>4</v>
      </c>
      <c r="AY134">
        <v>6</v>
      </c>
      <c r="AZ134">
        <v>19</v>
      </c>
      <c r="BA134">
        <v>27</v>
      </c>
      <c r="BB134">
        <v>34</v>
      </c>
      <c r="BC134">
        <v>34</v>
      </c>
      <c r="BD134">
        <v>69</v>
      </c>
      <c r="BE134">
        <v>96</v>
      </c>
      <c r="BF134">
        <v>117</v>
      </c>
      <c r="BG134">
        <v>134</v>
      </c>
      <c r="BH134">
        <v>172</v>
      </c>
      <c r="BI134">
        <v>227</v>
      </c>
      <c r="BJ134">
        <v>311</v>
      </c>
      <c r="BK134">
        <v>369</v>
      </c>
      <c r="BL134">
        <v>450</v>
      </c>
      <c r="BM134">
        <v>514</v>
      </c>
      <c r="BN134">
        <v>579</v>
      </c>
      <c r="BO134">
        <v>686</v>
      </c>
      <c r="BP134">
        <v>790</v>
      </c>
      <c r="BQ134">
        <v>893</v>
      </c>
      <c r="BR134">
        <v>1046</v>
      </c>
      <c r="BS134">
        <v>1155</v>
      </c>
      <c r="BT134">
        <v>1285</v>
      </c>
      <c r="BU134">
        <v>1414</v>
      </c>
      <c r="BV134">
        <v>1528</v>
      </c>
      <c r="BW134">
        <v>1677</v>
      </c>
    </row>
    <row r="135" spans="2:75" x14ac:dyDescent="0.25">
      <c r="B135" t="s">
        <v>65</v>
      </c>
      <c r="C135">
        <v>32</v>
      </c>
      <c r="D135">
        <v>53</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2</v>
      </c>
      <c r="AH135">
        <v>5</v>
      </c>
      <c r="AI135">
        <v>18</v>
      </c>
      <c r="AJ135">
        <v>28</v>
      </c>
      <c r="AK135">
        <v>43</v>
      </c>
      <c r="AL135">
        <v>61</v>
      </c>
      <c r="AM135">
        <v>95</v>
      </c>
      <c r="AN135">
        <v>139</v>
      </c>
      <c r="AO135">
        <v>245</v>
      </c>
      <c r="AP135">
        <v>388</v>
      </c>
      <c r="AQ135">
        <v>593</v>
      </c>
      <c r="AR135">
        <v>978</v>
      </c>
      <c r="AS135">
        <v>1501</v>
      </c>
      <c r="AT135">
        <v>2336</v>
      </c>
      <c r="AU135">
        <v>2922</v>
      </c>
      <c r="AV135">
        <v>3513</v>
      </c>
      <c r="AW135">
        <v>4747</v>
      </c>
      <c r="AX135">
        <v>5823</v>
      </c>
      <c r="AY135">
        <v>6566</v>
      </c>
      <c r="AZ135">
        <v>7161</v>
      </c>
      <c r="BA135">
        <v>8042</v>
      </c>
      <c r="BB135">
        <v>9000</v>
      </c>
      <c r="BC135">
        <v>10075</v>
      </c>
      <c r="BD135">
        <v>11364</v>
      </c>
      <c r="BE135">
        <v>12729</v>
      </c>
      <c r="BF135">
        <v>13938</v>
      </c>
      <c r="BG135">
        <v>14991</v>
      </c>
      <c r="BH135">
        <v>16169</v>
      </c>
      <c r="BI135">
        <v>17361</v>
      </c>
      <c r="BJ135">
        <v>18407</v>
      </c>
      <c r="BK135">
        <v>19644</v>
      </c>
      <c r="BL135">
        <v>20610</v>
      </c>
      <c r="BM135">
        <v>21638</v>
      </c>
      <c r="BN135">
        <v>23049</v>
      </c>
      <c r="BO135">
        <v>24811</v>
      </c>
      <c r="BP135">
        <v>27017</v>
      </c>
      <c r="BQ135">
        <v>29406</v>
      </c>
      <c r="BR135">
        <v>32332</v>
      </c>
      <c r="BS135">
        <v>35408</v>
      </c>
      <c r="BT135">
        <v>38309</v>
      </c>
      <c r="BU135">
        <v>41495</v>
      </c>
      <c r="BV135">
        <v>44605</v>
      </c>
      <c r="BW135">
        <v>47593</v>
      </c>
    </row>
    <row r="136" spans="2:75" x14ac:dyDescent="0.25">
      <c r="B136" t="s">
        <v>68</v>
      </c>
      <c r="C136">
        <v>33</v>
      </c>
      <c r="D136">
        <v>44</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1</v>
      </c>
      <c r="AM136">
        <v>1</v>
      </c>
      <c r="AN136">
        <v>5</v>
      </c>
      <c r="AO136">
        <v>7</v>
      </c>
      <c r="AP136">
        <v>7</v>
      </c>
      <c r="AQ136">
        <v>13</v>
      </c>
      <c r="AR136">
        <v>19</v>
      </c>
      <c r="AS136">
        <v>26</v>
      </c>
      <c r="AT136">
        <v>32</v>
      </c>
      <c r="AU136">
        <v>35</v>
      </c>
      <c r="AV136">
        <v>35</v>
      </c>
      <c r="AW136">
        <v>40</v>
      </c>
      <c r="AX136">
        <v>54</v>
      </c>
      <c r="AY136">
        <v>60</v>
      </c>
      <c r="AZ136">
        <v>60</v>
      </c>
      <c r="BA136">
        <v>71</v>
      </c>
      <c r="BB136">
        <v>71</v>
      </c>
      <c r="BC136">
        <v>71</v>
      </c>
      <c r="BD136">
        <v>101</v>
      </c>
      <c r="BE136">
        <v>110</v>
      </c>
      <c r="BF136">
        <v>116</v>
      </c>
      <c r="BG136">
        <v>124</v>
      </c>
      <c r="BH136">
        <v>154</v>
      </c>
      <c r="BI136">
        <v>164</v>
      </c>
      <c r="BJ136">
        <v>192</v>
      </c>
      <c r="BK136">
        <v>208</v>
      </c>
      <c r="BL136">
        <v>214</v>
      </c>
      <c r="BM136">
        <v>233</v>
      </c>
      <c r="BN136">
        <v>266</v>
      </c>
      <c r="BO136">
        <v>316</v>
      </c>
      <c r="BP136">
        <v>346</v>
      </c>
      <c r="BQ136">
        <v>382</v>
      </c>
      <c r="BR136">
        <v>458</v>
      </c>
      <c r="BS136">
        <v>506</v>
      </c>
      <c r="BT136">
        <v>547</v>
      </c>
      <c r="BU136">
        <v>630</v>
      </c>
      <c r="BV136">
        <v>694</v>
      </c>
      <c r="BW136">
        <v>728</v>
      </c>
    </row>
    <row r="137" spans="2:75" x14ac:dyDescent="0.25">
      <c r="B137" t="s">
        <v>938</v>
      </c>
      <c r="C137">
        <v>53.142400000000002</v>
      </c>
      <c r="D137">
        <v>-7.6920999999999999</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1</v>
      </c>
      <c r="AR137">
        <v>1</v>
      </c>
      <c r="AS137">
        <v>1</v>
      </c>
      <c r="AT137">
        <v>2</v>
      </c>
      <c r="AU137">
        <v>6</v>
      </c>
      <c r="AV137">
        <v>6</v>
      </c>
      <c r="AW137">
        <v>18</v>
      </c>
      <c r="AX137">
        <v>18</v>
      </c>
      <c r="AY137">
        <v>19</v>
      </c>
      <c r="AZ137">
        <v>21</v>
      </c>
      <c r="BA137">
        <v>34</v>
      </c>
      <c r="BB137">
        <v>43</v>
      </c>
      <c r="BC137">
        <v>43</v>
      </c>
      <c r="BD137">
        <v>90</v>
      </c>
      <c r="BE137">
        <v>129</v>
      </c>
      <c r="BF137">
        <v>129</v>
      </c>
      <c r="BG137">
        <v>169</v>
      </c>
      <c r="BH137">
        <v>223</v>
      </c>
      <c r="BI137">
        <v>292</v>
      </c>
      <c r="BJ137">
        <v>557</v>
      </c>
      <c r="BK137">
        <v>683</v>
      </c>
      <c r="BL137">
        <v>785</v>
      </c>
      <c r="BM137">
        <v>906</v>
      </c>
      <c r="BN137">
        <v>1125</v>
      </c>
      <c r="BO137">
        <v>1329</v>
      </c>
      <c r="BP137">
        <v>1564</v>
      </c>
      <c r="BQ137">
        <v>1819</v>
      </c>
      <c r="BR137">
        <v>2121</v>
      </c>
      <c r="BS137">
        <v>2415</v>
      </c>
      <c r="BT137">
        <v>2615</v>
      </c>
      <c r="BU137">
        <v>2910</v>
      </c>
      <c r="BV137">
        <v>3235</v>
      </c>
      <c r="BW137">
        <v>3447</v>
      </c>
    </row>
    <row r="138" spans="2:75" x14ac:dyDescent="0.25">
      <c r="B138" t="s">
        <v>77</v>
      </c>
      <c r="C138">
        <v>31</v>
      </c>
      <c r="D138">
        <v>35</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1</v>
      </c>
      <c r="AJ138">
        <v>1</v>
      </c>
      <c r="AK138">
        <v>1</v>
      </c>
      <c r="AL138">
        <v>1</v>
      </c>
      <c r="AM138">
        <v>1</v>
      </c>
      <c r="AN138">
        <v>2</v>
      </c>
      <c r="AO138">
        <v>3</v>
      </c>
      <c r="AP138">
        <v>4</v>
      </c>
      <c r="AQ138">
        <v>7</v>
      </c>
      <c r="AR138">
        <v>10</v>
      </c>
      <c r="AS138">
        <v>10</v>
      </c>
      <c r="AT138">
        <v>12</v>
      </c>
      <c r="AU138">
        <v>15</v>
      </c>
      <c r="AV138">
        <v>20</v>
      </c>
      <c r="AW138">
        <v>37</v>
      </c>
      <c r="AX138">
        <v>43</v>
      </c>
      <c r="AY138">
        <v>61</v>
      </c>
      <c r="AZ138">
        <v>61</v>
      </c>
      <c r="BA138">
        <v>75</v>
      </c>
      <c r="BB138">
        <v>79</v>
      </c>
      <c r="BC138">
        <v>100</v>
      </c>
      <c r="BD138">
        <v>126</v>
      </c>
      <c r="BE138">
        <v>155</v>
      </c>
      <c r="BF138">
        <v>213</v>
      </c>
      <c r="BG138">
        <v>218</v>
      </c>
      <c r="BH138">
        <v>250</v>
      </c>
      <c r="BI138">
        <v>304</v>
      </c>
      <c r="BJ138">
        <v>427</v>
      </c>
      <c r="BK138">
        <v>529</v>
      </c>
      <c r="BL138">
        <v>712</v>
      </c>
      <c r="BM138">
        <v>883</v>
      </c>
      <c r="BN138">
        <v>1071</v>
      </c>
      <c r="BO138">
        <v>1238</v>
      </c>
      <c r="BP138">
        <v>2369</v>
      </c>
      <c r="BQ138">
        <v>2693</v>
      </c>
      <c r="BR138">
        <v>3035</v>
      </c>
      <c r="BS138">
        <v>3619</v>
      </c>
      <c r="BT138">
        <v>4247</v>
      </c>
      <c r="BU138">
        <v>4695</v>
      </c>
      <c r="BV138">
        <v>5358</v>
      </c>
      <c r="BW138">
        <v>6092</v>
      </c>
    </row>
    <row r="139" spans="2:75" x14ac:dyDescent="0.25">
      <c r="B139" t="s">
        <v>58</v>
      </c>
      <c r="C139">
        <v>43</v>
      </c>
      <c r="D139">
        <v>12</v>
      </c>
      <c r="E139">
        <v>0</v>
      </c>
      <c r="F139">
        <v>0</v>
      </c>
      <c r="G139">
        <v>0</v>
      </c>
      <c r="H139">
        <v>0</v>
      </c>
      <c r="I139">
        <v>0</v>
      </c>
      <c r="J139">
        <v>0</v>
      </c>
      <c r="K139">
        <v>0</v>
      </c>
      <c r="L139">
        <v>0</v>
      </c>
      <c r="M139">
        <v>0</v>
      </c>
      <c r="N139">
        <v>2</v>
      </c>
      <c r="O139">
        <v>2</v>
      </c>
      <c r="P139">
        <v>2</v>
      </c>
      <c r="Q139">
        <v>2</v>
      </c>
      <c r="R139">
        <v>2</v>
      </c>
      <c r="S139">
        <v>2</v>
      </c>
      <c r="T139">
        <v>2</v>
      </c>
      <c r="U139">
        <v>3</v>
      </c>
      <c r="V139">
        <v>3</v>
      </c>
      <c r="W139">
        <v>3</v>
      </c>
      <c r="X139">
        <v>3</v>
      </c>
      <c r="Y139">
        <v>3</v>
      </c>
      <c r="Z139">
        <v>3</v>
      </c>
      <c r="AA139">
        <v>3</v>
      </c>
      <c r="AB139">
        <v>3</v>
      </c>
      <c r="AC139">
        <v>3</v>
      </c>
      <c r="AD139">
        <v>3</v>
      </c>
      <c r="AE139">
        <v>3</v>
      </c>
      <c r="AF139">
        <v>3</v>
      </c>
      <c r="AG139">
        <v>3</v>
      </c>
      <c r="AH139">
        <v>3</v>
      </c>
      <c r="AI139">
        <v>20</v>
      </c>
      <c r="AJ139">
        <v>62</v>
      </c>
      <c r="AK139">
        <v>155</v>
      </c>
      <c r="AL139">
        <v>229</v>
      </c>
      <c r="AM139">
        <v>322</v>
      </c>
      <c r="AN139">
        <v>453</v>
      </c>
      <c r="AO139">
        <v>655</v>
      </c>
      <c r="AP139">
        <v>888</v>
      </c>
      <c r="AQ139">
        <v>1128</v>
      </c>
      <c r="AR139">
        <v>1694</v>
      </c>
      <c r="AS139">
        <v>2036</v>
      </c>
      <c r="AT139">
        <v>2502</v>
      </c>
      <c r="AU139">
        <v>3089</v>
      </c>
      <c r="AV139">
        <v>3858</v>
      </c>
      <c r="AW139">
        <v>4636</v>
      </c>
      <c r="AX139">
        <v>5883</v>
      </c>
      <c r="AY139">
        <v>7375</v>
      </c>
      <c r="AZ139">
        <v>9172</v>
      </c>
      <c r="BA139">
        <v>10149</v>
      </c>
      <c r="BB139">
        <v>12462</v>
      </c>
      <c r="BC139">
        <v>12462</v>
      </c>
      <c r="BD139">
        <v>17660</v>
      </c>
      <c r="BE139">
        <v>21157</v>
      </c>
      <c r="BF139">
        <v>24747</v>
      </c>
      <c r="BG139">
        <v>27980</v>
      </c>
      <c r="BH139">
        <v>31506</v>
      </c>
      <c r="BI139">
        <v>35713</v>
      </c>
      <c r="BJ139">
        <v>41035</v>
      </c>
      <c r="BK139">
        <v>47021</v>
      </c>
      <c r="BL139">
        <v>53578</v>
      </c>
      <c r="BM139">
        <v>59138</v>
      </c>
      <c r="BN139">
        <v>63927</v>
      </c>
      <c r="BO139">
        <v>69176</v>
      </c>
      <c r="BP139">
        <v>74386</v>
      </c>
      <c r="BQ139">
        <v>80589</v>
      </c>
      <c r="BR139">
        <v>86498</v>
      </c>
      <c r="BS139">
        <v>92472</v>
      </c>
      <c r="BT139">
        <v>97689</v>
      </c>
      <c r="BU139">
        <v>101739</v>
      </c>
      <c r="BV139">
        <v>105792</v>
      </c>
      <c r="BW139">
        <v>110574</v>
      </c>
    </row>
    <row r="140" spans="2:75" x14ac:dyDescent="0.25">
      <c r="B140" t="s">
        <v>185</v>
      </c>
      <c r="C140">
        <v>18.1096</v>
      </c>
      <c r="D140">
        <v>-77.297499999999999</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1</v>
      </c>
      <c r="BC140">
        <v>2</v>
      </c>
      <c r="BD140">
        <v>8</v>
      </c>
      <c r="BE140">
        <v>8</v>
      </c>
      <c r="BF140">
        <v>10</v>
      </c>
      <c r="BG140">
        <v>10</v>
      </c>
      <c r="BH140">
        <v>12</v>
      </c>
      <c r="BI140">
        <v>13</v>
      </c>
      <c r="BJ140">
        <v>15</v>
      </c>
      <c r="BK140">
        <v>16</v>
      </c>
      <c r="BL140">
        <v>16</v>
      </c>
      <c r="BM140">
        <v>19</v>
      </c>
      <c r="BN140">
        <v>19</v>
      </c>
      <c r="BO140">
        <v>21</v>
      </c>
      <c r="BP140">
        <v>26</v>
      </c>
      <c r="BQ140">
        <v>26</v>
      </c>
      <c r="BR140">
        <v>26</v>
      </c>
      <c r="BS140">
        <v>30</v>
      </c>
      <c r="BT140">
        <v>32</v>
      </c>
      <c r="BU140">
        <v>36</v>
      </c>
      <c r="BV140">
        <v>36</v>
      </c>
      <c r="BW140">
        <v>44</v>
      </c>
    </row>
    <row r="141" spans="2:75" x14ac:dyDescent="0.25">
      <c r="B141" t="s">
        <v>36</v>
      </c>
      <c r="C141">
        <v>36</v>
      </c>
      <c r="D141">
        <v>138</v>
      </c>
      <c r="E141">
        <v>2</v>
      </c>
      <c r="F141">
        <v>2</v>
      </c>
      <c r="G141">
        <v>2</v>
      </c>
      <c r="H141">
        <v>2</v>
      </c>
      <c r="I141">
        <v>4</v>
      </c>
      <c r="J141">
        <v>4</v>
      </c>
      <c r="K141">
        <v>7</v>
      </c>
      <c r="L141">
        <v>7</v>
      </c>
      <c r="M141">
        <v>11</v>
      </c>
      <c r="N141">
        <v>15</v>
      </c>
      <c r="O141">
        <v>20</v>
      </c>
      <c r="P141">
        <v>20</v>
      </c>
      <c r="Q141">
        <v>20</v>
      </c>
      <c r="R141">
        <v>22</v>
      </c>
      <c r="S141">
        <v>22</v>
      </c>
      <c r="T141">
        <v>22</v>
      </c>
      <c r="U141">
        <v>25</v>
      </c>
      <c r="V141">
        <v>25</v>
      </c>
      <c r="W141">
        <v>26</v>
      </c>
      <c r="X141">
        <v>26</v>
      </c>
      <c r="Y141">
        <v>26</v>
      </c>
      <c r="Z141">
        <v>28</v>
      </c>
      <c r="AA141">
        <v>28</v>
      </c>
      <c r="AB141">
        <v>29</v>
      </c>
      <c r="AC141">
        <v>43</v>
      </c>
      <c r="AD141">
        <v>59</v>
      </c>
      <c r="AE141">
        <v>66</v>
      </c>
      <c r="AF141">
        <v>74</v>
      </c>
      <c r="AG141">
        <v>84</v>
      </c>
      <c r="AH141">
        <v>94</v>
      </c>
      <c r="AI141">
        <v>105</v>
      </c>
      <c r="AJ141">
        <v>122</v>
      </c>
      <c r="AK141">
        <v>147</v>
      </c>
      <c r="AL141">
        <v>159</v>
      </c>
      <c r="AM141">
        <v>170</v>
      </c>
      <c r="AN141">
        <v>189</v>
      </c>
      <c r="AO141">
        <v>214</v>
      </c>
      <c r="AP141">
        <v>228</v>
      </c>
      <c r="AQ141">
        <v>241</v>
      </c>
      <c r="AR141">
        <v>256</v>
      </c>
      <c r="AS141">
        <v>274</v>
      </c>
      <c r="AT141">
        <v>293</v>
      </c>
      <c r="AU141">
        <v>331</v>
      </c>
      <c r="AV141">
        <v>360</v>
      </c>
      <c r="AW141">
        <v>420</v>
      </c>
      <c r="AX141">
        <v>461</v>
      </c>
      <c r="AY141">
        <v>502</v>
      </c>
      <c r="AZ141">
        <v>511</v>
      </c>
      <c r="BA141">
        <v>581</v>
      </c>
      <c r="BB141">
        <v>639</v>
      </c>
      <c r="BC141">
        <v>639</v>
      </c>
      <c r="BD141">
        <v>701</v>
      </c>
      <c r="BE141">
        <v>773</v>
      </c>
      <c r="BF141">
        <v>839</v>
      </c>
      <c r="BG141">
        <v>839</v>
      </c>
      <c r="BH141">
        <v>878</v>
      </c>
      <c r="BI141">
        <v>889</v>
      </c>
      <c r="BJ141">
        <v>924</v>
      </c>
      <c r="BK141">
        <v>963</v>
      </c>
      <c r="BL141">
        <v>1007</v>
      </c>
      <c r="BM141">
        <v>1101</v>
      </c>
      <c r="BN141">
        <v>1128</v>
      </c>
      <c r="BO141">
        <v>1193</v>
      </c>
      <c r="BP141">
        <v>1307</v>
      </c>
      <c r="BQ141">
        <v>1387</v>
      </c>
      <c r="BR141">
        <v>1468</v>
      </c>
      <c r="BS141">
        <v>1693</v>
      </c>
      <c r="BT141">
        <v>1866</v>
      </c>
      <c r="BU141">
        <v>1866</v>
      </c>
      <c r="BV141">
        <v>1953</v>
      </c>
      <c r="BW141">
        <v>2178</v>
      </c>
    </row>
    <row r="142" spans="2:75" x14ac:dyDescent="0.25">
      <c r="B142" t="s">
        <v>113</v>
      </c>
      <c r="C142">
        <v>31.24</v>
      </c>
      <c r="D142">
        <v>36.51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1</v>
      </c>
      <c r="AU142">
        <v>1</v>
      </c>
      <c r="AV142">
        <v>1</v>
      </c>
      <c r="AW142">
        <v>1</v>
      </c>
      <c r="AX142">
        <v>1</v>
      </c>
      <c r="AY142">
        <v>1</v>
      </c>
      <c r="AZ142">
        <v>1</v>
      </c>
      <c r="BA142">
        <v>1</v>
      </c>
      <c r="BB142">
        <v>1</v>
      </c>
      <c r="BC142">
        <v>1</v>
      </c>
      <c r="BD142">
        <v>1</v>
      </c>
      <c r="BE142">
        <v>1</v>
      </c>
      <c r="BF142">
        <v>8</v>
      </c>
      <c r="BG142">
        <v>17</v>
      </c>
      <c r="BH142">
        <v>34</v>
      </c>
      <c r="BI142">
        <v>52</v>
      </c>
      <c r="BJ142">
        <v>69</v>
      </c>
      <c r="BK142">
        <v>85</v>
      </c>
      <c r="BL142">
        <v>85</v>
      </c>
      <c r="BM142">
        <v>112</v>
      </c>
      <c r="BN142">
        <v>127</v>
      </c>
      <c r="BO142">
        <v>154</v>
      </c>
      <c r="BP142">
        <v>172</v>
      </c>
      <c r="BQ142">
        <v>212</v>
      </c>
      <c r="BR142">
        <v>235</v>
      </c>
      <c r="BS142">
        <v>246</v>
      </c>
      <c r="BT142">
        <v>259</v>
      </c>
      <c r="BU142">
        <v>268</v>
      </c>
      <c r="BV142">
        <v>274</v>
      </c>
      <c r="BW142">
        <v>278</v>
      </c>
    </row>
    <row r="143" spans="2:75" x14ac:dyDescent="0.25">
      <c r="B143" t="s">
        <v>198</v>
      </c>
      <c r="C143">
        <v>48.019599999999997</v>
      </c>
      <c r="D143">
        <v>66.923699999999997</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4</v>
      </c>
      <c r="BE143">
        <v>6</v>
      </c>
      <c r="BF143">
        <v>9</v>
      </c>
      <c r="BG143">
        <v>10</v>
      </c>
      <c r="BH143">
        <v>33</v>
      </c>
      <c r="BI143">
        <v>35</v>
      </c>
      <c r="BJ143">
        <v>44</v>
      </c>
      <c r="BK143">
        <v>49</v>
      </c>
      <c r="BL143">
        <v>53</v>
      </c>
      <c r="BM143">
        <v>60</v>
      </c>
      <c r="BN143">
        <v>62</v>
      </c>
      <c r="BO143">
        <v>72</v>
      </c>
      <c r="BP143">
        <v>81</v>
      </c>
      <c r="BQ143">
        <v>111</v>
      </c>
      <c r="BR143">
        <v>150</v>
      </c>
      <c r="BS143">
        <v>228</v>
      </c>
      <c r="BT143">
        <v>284</v>
      </c>
      <c r="BU143">
        <v>302</v>
      </c>
      <c r="BV143">
        <v>343</v>
      </c>
      <c r="BW143">
        <v>380</v>
      </c>
    </row>
    <row r="144" spans="2:75" x14ac:dyDescent="0.25">
      <c r="B144" t="s">
        <v>207</v>
      </c>
      <c r="C144">
        <v>-2.3599999999999999E-2</v>
      </c>
      <c r="D144">
        <v>37.906199999999998</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1</v>
      </c>
      <c r="BE144">
        <v>1</v>
      </c>
      <c r="BF144">
        <v>3</v>
      </c>
      <c r="BG144">
        <v>3</v>
      </c>
      <c r="BH144">
        <v>3</v>
      </c>
      <c r="BI144">
        <v>3</v>
      </c>
      <c r="BJ144">
        <v>7</v>
      </c>
      <c r="BK144">
        <v>7</v>
      </c>
      <c r="BL144">
        <v>7</v>
      </c>
      <c r="BM144">
        <v>15</v>
      </c>
      <c r="BN144">
        <v>16</v>
      </c>
      <c r="BO144">
        <v>25</v>
      </c>
      <c r="BP144">
        <v>28</v>
      </c>
      <c r="BQ144">
        <v>31</v>
      </c>
      <c r="BR144">
        <v>31</v>
      </c>
      <c r="BS144">
        <v>38</v>
      </c>
      <c r="BT144">
        <v>42</v>
      </c>
      <c r="BU144">
        <v>50</v>
      </c>
      <c r="BV144">
        <v>59</v>
      </c>
      <c r="BW144">
        <v>81</v>
      </c>
    </row>
    <row r="145" spans="2:75" x14ac:dyDescent="0.25">
      <c r="B145" t="s">
        <v>194</v>
      </c>
      <c r="C145">
        <v>36</v>
      </c>
      <c r="D145">
        <v>128</v>
      </c>
      <c r="E145">
        <v>1</v>
      </c>
      <c r="F145">
        <v>1</v>
      </c>
      <c r="G145">
        <v>2</v>
      </c>
      <c r="H145">
        <v>2</v>
      </c>
      <c r="I145">
        <v>3</v>
      </c>
      <c r="J145">
        <v>4</v>
      </c>
      <c r="K145">
        <v>4</v>
      </c>
      <c r="L145">
        <v>4</v>
      </c>
      <c r="M145">
        <v>4</v>
      </c>
      <c r="N145">
        <v>11</v>
      </c>
      <c r="O145">
        <v>12</v>
      </c>
      <c r="P145">
        <v>15</v>
      </c>
      <c r="Q145">
        <v>15</v>
      </c>
      <c r="R145">
        <v>16</v>
      </c>
      <c r="S145">
        <v>19</v>
      </c>
      <c r="T145">
        <v>23</v>
      </c>
      <c r="U145">
        <v>24</v>
      </c>
      <c r="V145">
        <v>24</v>
      </c>
      <c r="W145">
        <v>25</v>
      </c>
      <c r="X145">
        <v>27</v>
      </c>
      <c r="Y145">
        <v>28</v>
      </c>
      <c r="Z145">
        <v>28</v>
      </c>
      <c r="AA145">
        <v>28</v>
      </c>
      <c r="AB145">
        <v>28</v>
      </c>
      <c r="AC145">
        <v>28</v>
      </c>
      <c r="AD145">
        <v>29</v>
      </c>
      <c r="AE145">
        <v>30</v>
      </c>
      <c r="AF145">
        <v>31</v>
      </c>
      <c r="AG145">
        <v>31</v>
      </c>
      <c r="AH145">
        <v>104</v>
      </c>
      <c r="AI145">
        <v>204</v>
      </c>
      <c r="AJ145">
        <v>433</v>
      </c>
      <c r="AK145">
        <v>602</v>
      </c>
      <c r="AL145">
        <v>833</v>
      </c>
      <c r="AM145">
        <v>977</v>
      </c>
      <c r="AN145">
        <v>1261</v>
      </c>
      <c r="AO145">
        <v>1766</v>
      </c>
      <c r="AP145">
        <v>2337</v>
      </c>
      <c r="AQ145">
        <v>3150</v>
      </c>
      <c r="AR145">
        <v>3736</v>
      </c>
      <c r="AS145">
        <v>4335</v>
      </c>
      <c r="AT145">
        <v>5186</v>
      </c>
      <c r="AU145">
        <v>5621</v>
      </c>
      <c r="AV145">
        <v>6088</v>
      </c>
      <c r="AW145">
        <v>6593</v>
      </c>
      <c r="AX145">
        <v>7041</v>
      </c>
      <c r="AY145">
        <v>7314</v>
      </c>
      <c r="AZ145">
        <v>7478</v>
      </c>
      <c r="BA145">
        <v>7513</v>
      </c>
      <c r="BB145">
        <v>7755</v>
      </c>
      <c r="BC145">
        <v>7869</v>
      </c>
      <c r="BD145">
        <v>7979</v>
      </c>
      <c r="BE145">
        <v>8086</v>
      </c>
      <c r="BF145">
        <v>8162</v>
      </c>
      <c r="BG145">
        <v>8236</v>
      </c>
      <c r="BH145">
        <v>8320</v>
      </c>
      <c r="BI145">
        <v>8413</v>
      </c>
      <c r="BJ145">
        <v>8565</v>
      </c>
      <c r="BK145">
        <v>8652</v>
      </c>
      <c r="BL145">
        <v>8799</v>
      </c>
      <c r="BM145">
        <v>8961</v>
      </c>
      <c r="BN145">
        <v>8961</v>
      </c>
      <c r="BO145">
        <v>9037</v>
      </c>
      <c r="BP145">
        <v>9137</v>
      </c>
      <c r="BQ145">
        <v>9241</v>
      </c>
      <c r="BR145">
        <v>9332</v>
      </c>
      <c r="BS145">
        <v>9478</v>
      </c>
      <c r="BT145">
        <v>9583</v>
      </c>
      <c r="BU145">
        <v>9661</v>
      </c>
      <c r="BV145">
        <v>9786</v>
      </c>
      <c r="BW145">
        <v>9887</v>
      </c>
    </row>
    <row r="146" spans="2:75" x14ac:dyDescent="0.25">
      <c r="B146" t="s">
        <v>72</v>
      </c>
      <c r="C146">
        <v>29.5</v>
      </c>
      <c r="D146">
        <v>47.75</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1</v>
      </c>
      <c r="AM146">
        <v>11</v>
      </c>
      <c r="AN146">
        <v>26</v>
      </c>
      <c r="AO146">
        <v>43</v>
      </c>
      <c r="AP146">
        <v>45</v>
      </c>
      <c r="AQ146">
        <v>45</v>
      </c>
      <c r="AR146">
        <v>45</v>
      </c>
      <c r="AS146">
        <v>56</v>
      </c>
      <c r="AT146">
        <v>56</v>
      </c>
      <c r="AU146">
        <v>56</v>
      </c>
      <c r="AV146">
        <v>58</v>
      </c>
      <c r="AW146">
        <v>58</v>
      </c>
      <c r="AX146">
        <v>61</v>
      </c>
      <c r="AY146">
        <v>64</v>
      </c>
      <c r="AZ146">
        <v>64</v>
      </c>
      <c r="BA146">
        <v>69</v>
      </c>
      <c r="BB146">
        <v>72</v>
      </c>
      <c r="BC146">
        <v>80</v>
      </c>
      <c r="BD146">
        <v>80</v>
      </c>
      <c r="BE146">
        <v>104</v>
      </c>
      <c r="BF146">
        <v>112</v>
      </c>
      <c r="BG146">
        <v>123</v>
      </c>
      <c r="BH146">
        <v>130</v>
      </c>
      <c r="BI146">
        <v>142</v>
      </c>
      <c r="BJ146">
        <v>148</v>
      </c>
      <c r="BK146">
        <v>159</v>
      </c>
      <c r="BL146">
        <v>176</v>
      </c>
      <c r="BM146">
        <v>188</v>
      </c>
      <c r="BN146">
        <v>189</v>
      </c>
      <c r="BO146">
        <v>191</v>
      </c>
      <c r="BP146">
        <v>195</v>
      </c>
      <c r="BQ146">
        <v>208</v>
      </c>
      <c r="BR146">
        <v>225</v>
      </c>
      <c r="BS146">
        <v>235</v>
      </c>
      <c r="BT146">
        <v>255</v>
      </c>
      <c r="BU146">
        <v>266</v>
      </c>
      <c r="BV146">
        <v>289</v>
      </c>
      <c r="BW146">
        <v>317</v>
      </c>
    </row>
    <row r="147" spans="2:75" x14ac:dyDescent="0.25">
      <c r="B147" t="s">
        <v>947</v>
      </c>
      <c r="C147">
        <v>41.2044</v>
      </c>
      <c r="D147">
        <v>74.766099999999994</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3</v>
      </c>
      <c r="BJ147">
        <v>3</v>
      </c>
      <c r="BK147">
        <v>6</v>
      </c>
      <c r="BL147">
        <v>14</v>
      </c>
      <c r="BM147">
        <v>14</v>
      </c>
      <c r="BN147">
        <v>16</v>
      </c>
      <c r="BO147">
        <v>42</v>
      </c>
      <c r="BP147">
        <v>44</v>
      </c>
      <c r="BQ147">
        <v>44</v>
      </c>
      <c r="BR147">
        <v>58</v>
      </c>
      <c r="BS147">
        <v>58</v>
      </c>
      <c r="BT147">
        <v>84</v>
      </c>
      <c r="BU147">
        <v>94</v>
      </c>
      <c r="BV147">
        <v>107</v>
      </c>
      <c r="BW147">
        <v>111</v>
      </c>
    </row>
    <row r="148" spans="2:75" x14ac:dyDescent="0.25">
      <c r="B148" t="s">
        <v>107</v>
      </c>
      <c r="C148">
        <v>56.879600000000003</v>
      </c>
      <c r="D148">
        <v>24.603200000000001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1</v>
      </c>
      <c r="AT148">
        <v>1</v>
      </c>
      <c r="AU148">
        <v>1</v>
      </c>
      <c r="AV148">
        <v>1</v>
      </c>
      <c r="AW148">
        <v>1</v>
      </c>
      <c r="AX148">
        <v>1</v>
      </c>
      <c r="AY148">
        <v>2</v>
      </c>
      <c r="AZ148">
        <v>6</v>
      </c>
      <c r="BA148">
        <v>8</v>
      </c>
      <c r="BB148">
        <v>10</v>
      </c>
      <c r="BC148">
        <v>10</v>
      </c>
      <c r="BD148">
        <v>17</v>
      </c>
      <c r="BE148">
        <v>26</v>
      </c>
      <c r="BF148">
        <v>30</v>
      </c>
      <c r="BG148">
        <v>34</v>
      </c>
      <c r="BH148">
        <v>49</v>
      </c>
      <c r="BI148">
        <v>71</v>
      </c>
      <c r="BJ148">
        <v>86</v>
      </c>
      <c r="BK148">
        <v>111</v>
      </c>
      <c r="BL148">
        <v>124</v>
      </c>
      <c r="BM148">
        <v>139</v>
      </c>
      <c r="BN148">
        <v>180</v>
      </c>
      <c r="BO148">
        <v>197</v>
      </c>
      <c r="BP148">
        <v>221</v>
      </c>
      <c r="BQ148">
        <v>244</v>
      </c>
      <c r="BR148">
        <v>280</v>
      </c>
      <c r="BS148">
        <v>305</v>
      </c>
      <c r="BT148">
        <v>347</v>
      </c>
      <c r="BU148">
        <v>376</v>
      </c>
      <c r="BV148">
        <v>398</v>
      </c>
      <c r="BW148">
        <v>446</v>
      </c>
    </row>
    <row r="149" spans="2:75" x14ac:dyDescent="0.25">
      <c r="B149" t="s">
        <v>67</v>
      </c>
      <c r="C149">
        <v>33.854700000000001</v>
      </c>
      <c r="D149">
        <v>35.862299999999998</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1</v>
      </c>
      <c r="AJ149">
        <v>1</v>
      </c>
      <c r="AK149">
        <v>1</v>
      </c>
      <c r="AL149">
        <v>1</v>
      </c>
      <c r="AM149">
        <v>1</v>
      </c>
      <c r="AN149">
        <v>2</v>
      </c>
      <c r="AO149">
        <v>2</v>
      </c>
      <c r="AP149">
        <v>2</v>
      </c>
      <c r="AQ149">
        <v>4</v>
      </c>
      <c r="AR149">
        <v>10</v>
      </c>
      <c r="AS149">
        <v>13</v>
      </c>
      <c r="AT149">
        <v>13</v>
      </c>
      <c r="AU149">
        <v>13</v>
      </c>
      <c r="AV149">
        <v>16</v>
      </c>
      <c r="AW149">
        <v>22</v>
      </c>
      <c r="AX149">
        <v>22</v>
      </c>
      <c r="AY149">
        <v>32</v>
      </c>
      <c r="AZ149">
        <v>32</v>
      </c>
      <c r="BA149">
        <v>41</v>
      </c>
      <c r="BB149">
        <v>61</v>
      </c>
      <c r="BC149">
        <v>61</v>
      </c>
      <c r="BD149">
        <v>77</v>
      </c>
      <c r="BE149">
        <v>93</v>
      </c>
      <c r="BF149">
        <v>110</v>
      </c>
      <c r="BG149">
        <v>110</v>
      </c>
      <c r="BH149">
        <v>120</v>
      </c>
      <c r="BI149">
        <v>133</v>
      </c>
      <c r="BJ149">
        <v>157</v>
      </c>
      <c r="BK149">
        <v>163</v>
      </c>
      <c r="BL149">
        <v>187</v>
      </c>
      <c r="BM149">
        <v>248</v>
      </c>
      <c r="BN149">
        <v>267</v>
      </c>
      <c r="BO149">
        <v>318</v>
      </c>
      <c r="BP149">
        <v>333</v>
      </c>
      <c r="BQ149">
        <v>368</v>
      </c>
      <c r="BR149">
        <v>391</v>
      </c>
      <c r="BS149">
        <v>412</v>
      </c>
      <c r="BT149">
        <v>438</v>
      </c>
      <c r="BU149">
        <v>446</v>
      </c>
      <c r="BV149">
        <v>470</v>
      </c>
      <c r="BW149">
        <v>479</v>
      </c>
    </row>
    <row r="150" spans="2:75" x14ac:dyDescent="0.25">
      <c r="B150" t="s">
        <v>942</v>
      </c>
      <c r="C150">
        <v>6.4280999999999997</v>
      </c>
      <c r="D150">
        <v>-9.4295000000000009</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1</v>
      </c>
      <c r="BH150">
        <v>1</v>
      </c>
      <c r="BI150">
        <v>2</v>
      </c>
      <c r="BJ150">
        <v>2</v>
      </c>
      <c r="BK150">
        <v>2</v>
      </c>
      <c r="BL150">
        <v>3</v>
      </c>
      <c r="BM150">
        <v>3</v>
      </c>
      <c r="BN150">
        <v>3</v>
      </c>
      <c r="BO150">
        <v>3</v>
      </c>
      <c r="BP150">
        <v>3</v>
      </c>
      <c r="BQ150">
        <v>3</v>
      </c>
      <c r="BR150">
        <v>3</v>
      </c>
      <c r="BS150">
        <v>3</v>
      </c>
      <c r="BT150">
        <v>3</v>
      </c>
      <c r="BU150">
        <v>3</v>
      </c>
      <c r="BV150">
        <v>3</v>
      </c>
      <c r="BW150">
        <v>6</v>
      </c>
    </row>
    <row r="151" spans="2:75" x14ac:dyDescent="0.25">
      <c r="B151" t="s">
        <v>119</v>
      </c>
      <c r="C151">
        <v>47.14</v>
      </c>
      <c r="D151">
        <v>9.5500000000000007</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1</v>
      </c>
      <c r="AV151">
        <v>1</v>
      </c>
      <c r="AW151">
        <v>1</v>
      </c>
      <c r="AX151">
        <v>1</v>
      </c>
      <c r="AY151">
        <v>1</v>
      </c>
      <c r="AZ151">
        <v>1</v>
      </c>
      <c r="BA151">
        <v>1</v>
      </c>
      <c r="BB151">
        <v>1</v>
      </c>
      <c r="BC151">
        <v>1</v>
      </c>
      <c r="BD151">
        <v>1</v>
      </c>
      <c r="BE151">
        <v>4</v>
      </c>
      <c r="BF151">
        <v>4</v>
      </c>
      <c r="BG151">
        <v>4</v>
      </c>
      <c r="BH151">
        <v>7</v>
      </c>
      <c r="BI151">
        <v>28</v>
      </c>
      <c r="BJ151">
        <v>28</v>
      </c>
      <c r="BK151">
        <v>28</v>
      </c>
      <c r="BL151">
        <v>37</v>
      </c>
      <c r="BM151">
        <v>37</v>
      </c>
      <c r="BN151">
        <v>51</v>
      </c>
      <c r="BO151">
        <v>51</v>
      </c>
      <c r="BP151">
        <v>51</v>
      </c>
      <c r="BQ151">
        <v>56</v>
      </c>
      <c r="BR151">
        <v>56</v>
      </c>
      <c r="BS151">
        <v>56</v>
      </c>
      <c r="BT151">
        <v>56</v>
      </c>
      <c r="BU151">
        <v>62</v>
      </c>
      <c r="BV151">
        <v>68</v>
      </c>
      <c r="BW151">
        <v>68</v>
      </c>
    </row>
    <row r="152" spans="2:75" x14ac:dyDescent="0.25">
      <c r="B152" t="s">
        <v>91</v>
      </c>
      <c r="C152">
        <v>55.169400000000003</v>
      </c>
      <c r="D152">
        <v>23.8813</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1</v>
      </c>
      <c r="AQ152">
        <v>1</v>
      </c>
      <c r="AR152">
        <v>1</v>
      </c>
      <c r="AS152">
        <v>1</v>
      </c>
      <c r="AT152">
        <v>1</v>
      </c>
      <c r="AU152">
        <v>1</v>
      </c>
      <c r="AV152">
        <v>1</v>
      </c>
      <c r="AW152">
        <v>1</v>
      </c>
      <c r="AX152">
        <v>1</v>
      </c>
      <c r="AY152">
        <v>1</v>
      </c>
      <c r="AZ152">
        <v>1</v>
      </c>
      <c r="BA152">
        <v>1</v>
      </c>
      <c r="BB152">
        <v>3</v>
      </c>
      <c r="BC152">
        <v>3</v>
      </c>
      <c r="BD152">
        <v>6</v>
      </c>
      <c r="BE152">
        <v>8</v>
      </c>
      <c r="BF152">
        <v>12</v>
      </c>
      <c r="BG152">
        <v>17</v>
      </c>
      <c r="BH152">
        <v>25</v>
      </c>
      <c r="BI152">
        <v>27</v>
      </c>
      <c r="BJ152">
        <v>36</v>
      </c>
      <c r="BK152">
        <v>49</v>
      </c>
      <c r="BL152">
        <v>83</v>
      </c>
      <c r="BM152">
        <v>143</v>
      </c>
      <c r="BN152">
        <v>179</v>
      </c>
      <c r="BO152">
        <v>209</v>
      </c>
      <c r="BP152">
        <v>274</v>
      </c>
      <c r="BQ152">
        <v>299</v>
      </c>
      <c r="BR152">
        <v>358</v>
      </c>
      <c r="BS152">
        <v>394</v>
      </c>
      <c r="BT152">
        <v>460</v>
      </c>
      <c r="BU152">
        <v>491</v>
      </c>
      <c r="BV152">
        <v>537</v>
      </c>
      <c r="BW152">
        <v>581</v>
      </c>
    </row>
    <row r="153" spans="2:75" x14ac:dyDescent="0.25">
      <c r="B153" t="s">
        <v>96</v>
      </c>
      <c r="C153">
        <v>49.815300000000001</v>
      </c>
      <c r="D153">
        <v>6.1295999999999999</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1</v>
      </c>
      <c r="AR153">
        <v>1</v>
      </c>
      <c r="AS153">
        <v>1</v>
      </c>
      <c r="AT153">
        <v>1</v>
      </c>
      <c r="AU153">
        <v>1</v>
      </c>
      <c r="AV153">
        <v>1</v>
      </c>
      <c r="AW153">
        <v>2</v>
      </c>
      <c r="AX153">
        <v>2</v>
      </c>
      <c r="AY153">
        <v>3</v>
      </c>
      <c r="AZ153">
        <v>3</v>
      </c>
      <c r="BA153">
        <v>5</v>
      </c>
      <c r="BB153">
        <v>7</v>
      </c>
      <c r="BC153">
        <v>19</v>
      </c>
      <c r="BD153">
        <v>34</v>
      </c>
      <c r="BE153">
        <v>51</v>
      </c>
      <c r="BF153">
        <v>59</v>
      </c>
      <c r="BG153">
        <v>77</v>
      </c>
      <c r="BH153">
        <v>140</v>
      </c>
      <c r="BI153">
        <v>203</v>
      </c>
      <c r="BJ153">
        <v>335</v>
      </c>
      <c r="BK153">
        <v>484</v>
      </c>
      <c r="BL153">
        <v>670</v>
      </c>
      <c r="BM153">
        <v>798</v>
      </c>
      <c r="BN153">
        <v>875</v>
      </c>
      <c r="BO153">
        <v>1099</v>
      </c>
      <c r="BP153">
        <v>1333</v>
      </c>
      <c r="BQ153">
        <v>1453</v>
      </c>
      <c r="BR153">
        <v>1605</v>
      </c>
      <c r="BS153">
        <v>1831</v>
      </c>
      <c r="BT153">
        <v>1950</v>
      </c>
      <c r="BU153">
        <v>1988</v>
      </c>
      <c r="BV153">
        <v>2178</v>
      </c>
      <c r="BW153">
        <v>2319</v>
      </c>
    </row>
    <row r="154" spans="2:75" x14ac:dyDescent="0.25">
      <c r="B154" t="s">
        <v>1020</v>
      </c>
      <c r="C154">
        <v>-18.7669</v>
      </c>
      <c r="D154">
        <v>46.869100000000003</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3</v>
      </c>
      <c r="BL154">
        <v>3</v>
      </c>
      <c r="BM154">
        <v>3</v>
      </c>
      <c r="BN154">
        <v>12</v>
      </c>
      <c r="BO154">
        <v>17</v>
      </c>
      <c r="BP154">
        <v>19</v>
      </c>
      <c r="BQ154">
        <v>23</v>
      </c>
      <c r="BR154">
        <v>26</v>
      </c>
      <c r="BS154">
        <v>26</v>
      </c>
      <c r="BT154">
        <v>39</v>
      </c>
      <c r="BU154">
        <v>43</v>
      </c>
      <c r="BV154">
        <v>57</v>
      </c>
      <c r="BW154">
        <v>57</v>
      </c>
    </row>
    <row r="155" spans="2:75" x14ac:dyDescent="0.25">
      <c r="B155" t="s">
        <v>44</v>
      </c>
      <c r="C155">
        <v>2.5</v>
      </c>
      <c r="D155">
        <v>112.5</v>
      </c>
      <c r="E155">
        <v>0</v>
      </c>
      <c r="F155">
        <v>0</v>
      </c>
      <c r="G155">
        <v>0</v>
      </c>
      <c r="H155">
        <v>3</v>
      </c>
      <c r="I155">
        <v>4</v>
      </c>
      <c r="J155">
        <v>4</v>
      </c>
      <c r="K155">
        <v>4</v>
      </c>
      <c r="L155">
        <v>7</v>
      </c>
      <c r="M155">
        <v>8</v>
      </c>
      <c r="N155">
        <v>8</v>
      </c>
      <c r="O155">
        <v>8</v>
      </c>
      <c r="P155">
        <v>8</v>
      </c>
      <c r="Q155">
        <v>8</v>
      </c>
      <c r="R155">
        <v>10</v>
      </c>
      <c r="S155">
        <v>12</v>
      </c>
      <c r="T155">
        <v>12</v>
      </c>
      <c r="U155">
        <v>12</v>
      </c>
      <c r="V155">
        <v>16</v>
      </c>
      <c r="W155">
        <v>16</v>
      </c>
      <c r="X155">
        <v>18</v>
      </c>
      <c r="Y155">
        <v>18</v>
      </c>
      <c r="Z155">
        <v>18</v>
      </c>
      <c r="AA155">
        <v>19</v>
      </c>
      <c r="AB155">
        <v>19</v>
      </c>
      <c r="AC155">
        <v>22</v>
      </c>
      <c r="AD155">
        <v>22</v>
      </c>
      <c r="AE155">
        <v>22</v>
      </c>
      <c r="AF155">
        <v>22</v>
      </c>
      <c r="AG155">
        <v>22</v>
      </c>
      <c r="AH155">
        <v>22</v>
      </c>
      <c r="AI155">
        <v>22</v>
      </c>
      <c r="AJ155">
        <v>22</v>
      </c>
      <c r="AK155">
        <v>22</v>
      </c>
      <c r="AL155">
        <v>22</v>
      </c>
      <c r="AM155">
        <v>22</v>
      </c>
      <c r="AN155">
        <v>22</v>
      </c>
      <c r="AO155">
        <v>23</v>
      </c>
      <c r="AP155">
        <v>23</v>
      </c>
      <c r="AQ155">
        <v>25</v>
      </c>
      <c r="AR155">
        <v>29</v>
      </c>
      <c r="AS155">
        <v>29</v>
      </c>
      <c r="AT155">
        <v>36</v>
      </c>
      <c r="AU155">
        <v>50</v>
      </c>
      <c r="AV155">
        <v>50</v>
      </c>
      <c r="AW155">
        <v>83</v>
      </c>
      <c r="AX155">
        <v>93</v>
      </c>
      <c r="AY155">
        <v>99</v>
      </c>
      <c r="AZ155">
        <v>117</v>
      </c>
      <c r="BA155">
        <v>129</v>
      </c>
      <c r="BB155">
        <v>149</v>
      </c>
      <c r="BC155">
        <v>149</v>
      </c>
      <c r="BD155">
        <v>197</v>
      </c>
      <c r="BE155">
        <v>238</v>
      </c>
      <c r="BF155">
        <v>428</v>
      </c>
      <c r="BG155">
        <v>566</v>
      </c>
      <c r="BH155">
        <v>673</v>
      </c>
      <c r="BI155">
        <v>790</v>
      </c>
      <c r="BJ155">
        <v>900</v>
      </c>
      <c r="BK155">
        <v>1030</v>
      </c>
      <c r="BL155">
        <v>1183</v>
      </c>
      <c r="BM155">
        <v>1306</v>
      </c>
      <c r="BN155">
        <v>1518</v>
      </c>
      <c r="BO155">
        <v>1624</v>
      </c>
      <c r="BP155">
        <v>1796</v>
      </c>
      <c r="BQ155">
        <v>2031</v>
      </c>
      <c r="BR155">
        <v>2161</v>
      </c>
      <c r="BS155">
        <v>2320</v>
      </c>
      <c r="BT155">
        <v>2470</v>
      </c>
      <c r="BU155">
        <v>2626</v>
      </c>
      <c r="BV155">
        <v>2766</v>
      </c>
      <c r="BW155">
        <v>2908</v>
      </c>
    </row>
    <row r="156" spans="2:75" x14ac:dyDescent="0.25">
      <c r="B156" t="s">
        <v>137</v>
      </c>
      <c r="C156">
        <v>3.2027999999999999</v>
      </c>
      <c r="D156">
        <v>73.220699999999994</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4</v>
      </c>
      <c r="AZ156">
        <v>4</v>
      </c>
      <c r="BA156">
        <v>6</v>
      </c>
      <c r="BB156">
        <v>8</v>
      </c>
      <c r="BC156">
        <v>8</v>
      </c>
      <c r="BD156">
        <v>9</v>
      </c>
      <c r="BE156">
        <v>10</v>
      </c>
      <c r="BF156">
        <v>13</v>
      </c>
      <c r="BG156">
        <v>13</v>
      </c>
      <c r="BH156">
        <v>13</v>
      </c>
      <c r="BI156">
        <v>13</v>
      </c>
      <c r="BJ156">
        <v>13</v>
      </c>
      <c r="BK156">
        <v>13</v>
      </c>
      <c r="BL156">
        <v>13</v>
      </c>
      <c r="BM156">
        <v>13</v>
      </c>
      <c r="BN156">
        <v>13</v>
      </c>
      <c r="BO156">
        <v>13</v>
      </c>
      <c r="BP156">
        <v>13</v>
      </c>
      <c r="BQ156">
        <v>13</v>
      </c>
      <c r="BR156">
        <v>16</v>
      </c>
      <c r="BS156">
        <v>16</v>
      </c>
      <c r="BT156">
        <v>17</v>
      </c>
      <c r="BU156">
        <v>17</v>
      </c>
      <c r="BV156">
        <v>18</v>
      </c>
      <c r="BW156">
        <v>19</v>
      </c>
    </row>
    <row r="157" spans="2:75" x14ac:dyDescent="0.25">
      <c r="B157" t="s">
        <v>134</v>
      </c>
      <c r="C157">
        <v>35.9375</v>
      </c>
      <c r="D157">
        <v>14.375400000000001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3</v>
      </c>
      <c r="AY157">
        <v>3</v>
      </c>
      <c r="AZ157">
        <v>3</v>
      </c>
      <c r="BA157">
        <v>5</v>
      </c>
      <c r="BB157">
        <v>6</v>
      </c>
      <c r="BC157">
        <v>6</v>
      </c>
      <c r="BD157">
        <v>12</v>
      </c>
      <c r="BE157">
        <v>18</v>
      </c>
      <c r="BF157">
        <v>21</v>
      </c>
      <c r="BG157">
        <v>30</v>
      </c>
      <c r="BH157">
        <v>38</v>
      </c>
      <c r="BI157">
        <v>38</v>
      </c>
      <c r="BJ157">
        <v>53</v>
      </c>
      <c r="BK157">
        <v>64</v>
      </c>
      <c r="BL157">
        <v>73</v>
      </c>
      <c r="BM157">
        <v>90</v>
      </c>
      <c r="BN157">
        <v>107</v>
      </c>
      <c r="BO157">
        <v>110</v>
      </c>
      <c r="BP157">
        <v>129</v>
      </c>
      <c r="BQ157">
        <v>134</v>
      </c>
      <c r="BR157">
        <v>139</v>
      </c>
      <c r="BS157">
        <v>149</v>
      </c>
      <c r="BT157">
        <v>151</v>
      </c>
      <c r="BU157">
        <v>156</v>
      </c>
      <c r="BV157">
        <v>169</v>
      </c>
      <c r="BW157">
        <v>188</v>
      </c>
    </row>
    <row r="158" spans="2:75" x14ac:dyDescent="0.25">
      <c r="B158" t="s">
        <v>379</v>
      </c>
      <c r="C158">
        <v>21.007899999999999</v>
      </c>
      <c r="D158">
        <v>10.940799999999999</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1</v>
      </c>
      <c r="BF158">
        <v>1</v>
      </c>
      <c r="BG158">
        <v>1</v>
      </c>
      <c r="BH158">
        <v>1</v>
      </c>
      <c r="BI158">
        <v>1</v>
      </c>
      <c r="BJ158">
        <v>2</v>
      </c>
      <c r="BK158">
        <v>2</v>
      </c>
      <c r="BL158">
        <v>2</v>
      </c>
      <c r="BM158">
        <v>2</v>
      </c>
      <c r="BN158">
        <v>2</v>
      </c>
      <c r="BO158">
        <v>2</v>
      </c>
      <c r="BP158">
        <v>2</v>
      </c>
      <c r="BQ158">
        <v>3</v>
      </c>
      <c r="BR158">
        <v>3</v>
      </c>
      <c r="BS158">
        <v>5</v>
      </c>
      <c r="BT158">
        <v>5</v>
      </c>
      <c r="BU158">
        <v>5</v>
      </c>
      <c r="BV158">
        <v>6</v>
      </c>
      <c r="BW158">
        <v>6</v>
      </c>
    </row>
    <row r="159" spans="2:75" x14ac:dyDescent="0.25">
      <c r="B159" t="s">
        <v>948</v>
      </c>
      <c r="C159">
        <v>-20.2</v>
      </c>
      <c r="D159">
        <v>57.5</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3</v>
      </c>
      <c r="BJ159">
        <v>3</v>
      </c>
      <c r="BK159">
        <v>12</v>
      </c>
      <c r="BL159">
        <v>14</v>
      </c>
      <c r="BM159">
        <v>28</v>
      </c>
      <c r="BN159">
        <v>36</v>
      </c>
      <c r="BO159">
        <v>42</v>
      </c>
      <c r="BP159">
        <v>48</v>
      </c>
      <c r="BQ159">
        <v>81</v>
      </c>
      <c r="BR159">
        <v>94</v>
      </c>
      <c r="BS159">
        <v>102</v>
      </c>
      <c r="BT159">
        <v>107</v>
      </c>
      <c r="BU159">
        <v>128</v>
      </c>
      <c r="BV159">
        <v>143</v>
      </c>
      <c r="BW159">
        <v>161</v>
      </c>
    </row>
    <row r="160" spans="2:75" x14ac:dyDescent="0.25">
      <c r="B160" t="s">
        <v>92</v>
      </c>
      <c r="C160">
        <v>23.634499999999999</v>
      </c>
      <c r="D160">
        <v>-102.5528</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1</v>
      </c>
      <c r="AQ160">
        <v>4</v>
      </c>
      <c r="AR160">
        <v>5</v>
      </c>
      <c r="AS160">
        <v>5</v>
      </c>
      <c r="AT160">
        <v>5</v>
      </c>
      <c r="AU160">
        <v>5</v>
      </c>
      <c r="AV160">
        <v>5</v>
      </c>
      <c r="AW160">
        <v>6</v>
      </c>
      <c r="AX160">
        <v>6</v>
      </c>
      <c r="AY160">
        <v>7</v>
      </c>
      <c r="AZ160">
        <v>7</v>
      </c>
      <c r="BA160">
        <v>7</v>
      </c>
      <c r="BB160">
        <v>8</v>
      </c>
      <c r="BC160">
        <v>12</v>
      </c>
      <c r="BD160">
        <v>12</v>
      </c>
      <c r="BE160">
        <v>26</v>
      </c>
      <c r="BF160">
        <v>41</v>
      </c>
      <c r="BG160">
        <v>53</v>
      </c>
      <c r="BH160">
        <v>82</v>
      </c>
      <c r="BI160">
        <v>93</v>
      </c>
      <c r="BJ160">
        <v>118</v>
      </c>
      <c r="BK160">
        <v>164</v>
      </c>
      <c r="BL160">
        <v>203</v>
      </c>
      <c r="BM160">
        <v>251</v>
      </c>
      <c r="BN160">
        <v>316</v>
      </c>
      <c r="BO160">
        <v>367</v>
      </c>
      <c r="BP160">
        <v>405</v>
      </c>
      <c r="BQ160">
        <v>475</v>
      </c>
      <c r="BR160">
        <v>585</v>
      </c>
      <c r="BS160">
        <v>717</v>
      </c>
      <c r="BT160">
        <v>848</v>
      </c>
      <c r="BU160">
        <v>993</v>
      </c>
      <c r="BV160">
        <v>1094</v>
      </c>
      <c r="BW160">
        <v>1215</v>
      </c>
    </row>
    <row r="161" spans="1:75" x14ac:dyDescent="0.25">
      <c r="B161" t="s">
        <v>139</v>
      </c>
      <c r="C161">
        <v>47.4116</v>
      </c>
      <c r="D161">
        <v>28.369900000000001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1</v>
      </c>
      <c r="AZ161">
        <v>1</v>
      </c>
      <c r="BA161">
        <v>3</v>
      </c>
      <c r="BB161">
        <v>3</v>
      </c>
      <c r="BC161">
        <v>3</v>
      </c>
      <c r="BD161">
        <v>6</v>
      </c>
      <c r="BE161">
        <v>12</v>
      </c>
      <c r="BF161">
        <v>23</v>
      </c>
      <c r="BG161">
        <v>23</v>
      </c>
      <c r="BH161">
        <v>30</v>
      </c>
      <c r="BI161">
        <v>30</v>
      </c>
      <c r="BJ161">
        <v>49</v>
      </c>
      <c r="BK161">
        <v>66</v>
      </c>
      <c r="BL161">
        <v>80</v>
      </c>
      <c r="BM161">
        <v>94</v>
      </c>
      <c r="BN161">
        <v>109</v>
      </c>
      <c r="BO161">
        <v>125</v>
      </c>
      <c r="BP161">
        <v>149</v>
      </c>
      <c r="BQ161">
        <v>177</v>
      </c>
      <c r="BR161">
        <v>199</v>
      </c>
      <c r="BS161">
        <v>231</v>
      </c>
      <c r="BT161">
        <v>263</v>
      </c>
      <c r="BU161">
        <v>298</v>
      </c>
      <c r="BV161">
        <v>353</v>
      </c>
      <c r="BW161">
        <v>423</v>
      </c>
    </row>
    <row r="162" spans="1:75" x14ac:dyDescent="0.25">
      <c r="B162" t="s">
        <v>97</v>
      </c>
      <c r="C162">
        <v>43.7333</v>
      </c>
      <c r="D162">
        <v>7.4166999999999996</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1</v>
      </c>
      <c r="AR162">
        <v>1</v>
      </c>
      <c r="AS162">
        <v>1</v>
      </c>
      <c r="AT162">
        <v>1</v>
      </c>
      <c r="AU162">
        <v>1</v>
      </c>
      <c r="AV162">
        <v>1</v>
      </c>
      <c r="AW162">
        <v>1</v>
      </c>
      <c r="AX162">
        <v>1</v>
      </c>
      <c r="AY162">
        <v>1</v>
      </c>
      <c r="AZ162">
        <v>1</v>
      </c>
      <c r="BA162">
        <v>1</v>
      </c>
      <c r="BB162">
        <v>1</v>
      </c>
      <c r="BC162">
        <v>2</v>
      </c>
      <c r="BD162">
        <v>2</v>
      </c>
      <c r="BE162">
        <v>2</v>
      </c>
      <c r="BF162">
        <v>2</v>
      </c>
      <c r="BG162">
        <v>7</v>
      </c>
      <c r="BH162">
        <v>7</v>
      </c>
      <c r="BI162">
        <v>7</v>
      </c>
      <c r="BJ162">
        <v>7</v>
      </c>
      <c r="BK162">
        <v>11</v>
      </c>
      <c r="BL162">
        <v>11</v>
      </c>
      <c r="BM162">
        <v>23</v>
      </c>
      <c r="BN162">
        <v>23</v>
      </c>
      <c r="BO162">
        <v>23</v>
      </c>
      <c r="BP162">
        <v>31</v>
      </c>
      <c r="BQ162">
        <v>33</v>
      </c>
      <c r="BR162">
        <v>42</v>
      </c>
      <c r="BS162">
        <v>42</v>
      </c>
      <c r="BT162">
        <v>46</v>
      </c>
      <c r="BU162">
        <v>49</v>
      </c>
      <c r="BV162">
        <v>52</v>
      </c>
      <c r="BW162">
        <v>55</v>
      </c>
    </row>
    <row r="163" spans="1:75" x14ac:dyDescent="0.25">
      <c r="B163" t="s">
        <v>151</v>
      </c>
      <c r="C163">
        <v>46.862499999999997</v>
      </c>
      <c r="D163">
        <v>103.8467</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1</v>
      </c>
      <c r="BB163">
        <v>1</v>
      </c>
      <c r="BC163">
        <v>1</v>
      </c>
      <c r="BD163">
        <v>1</v>
      </c>
      <c r="BE163">
        <v>1</v>
      </c>
      <c r="BF163">
        <v>1</v>
      </c>
      <c r="BG163">
        <v>1</v>
      </c>
      <c r="BH163">
        <v>5</v>
      </c>
      <c r="BI163">
        <v>6</v>
      </c>
      <c r="BJ163">
        <v>6</v>
      </c>
      <c r="BK163">
        <v>6</v>
      </c>
      <c r="BL163">
        <v>10</v>
      </c>
      <c r="BM163">
        <v>10</v>
      </c>
      <c r="BN163">
        <v>10</v>
      </c>
      <c r="BO163">
        <v>10</v>
      </c>
      <c r="BP163">
        <v>10</v>
      </c>
      <c r="BQ163">
        <v>11</v>
      </c>
      <c r="BR163">
        <v>11</v>
      </c>
      <c r="BS163">
        <v>12</v>
      </c>
      <c r="BT163">
        <v>12</v>
      </c>
      <c r="BU163">
        <v>12</v>
      </c>
      <c r="BV163">
        <v>12</v>
      </c>
      <c r="BW163">
        <v>14</v>
      </c>
    </row>
    <row r="164" spans="1:75" x14ac:dyDescent="0.25">
      <c r="B164" t="s">
        <v>946</v>
      </c>
      <c r="C164">
        <v>42.5</v>
      </c>
      <c r="D164">
        <v>19.3</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2</v>
      </c>
      <c r="BI164">
        <v>2</v>
      </c>
      <c r="BJ164">
        <v>3</v>
      </c>
      <c r="BK164">
        <v>14</v>
      </c>
      <c r="BL164">
        <v>14</v>
      </c>
      <c r="BM164">
        <v>21</v>
      </c>
      <c r="BN164">
        <v>27</v>
      </c>
      <c r="BO164">
        <v>47</v>
      </c>
      <c r="BP164">
        <v>52</v>
      </c>
      <c r="BQ164">
        <v>69</v>
      </c>
      <c r="BR164">
        <v>82</v>
      </c>
      <c r="BS164">
        <v>84</v>
      </c>
      <c r="BT164">
        <v>85</v>
      </c>
      <c r="BU164">
        <v>91</v>
      </c>
      <c r="BV164">
        <v>109</v>
      </c>
      <c r="BW164">
        <v>123</v>
      </c>
    </row>
    <row r="165" spans="1:75" x14ac:dyDescent="0.25">
      <c r="B165" t="s">
        <v>108</v>
      </c>
      <c r="C165">
        <v>31.791699999999999</v>
      </c>
      <c r="D165">
        <v>-7.0926</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1</v>
      </c>
      <c r="AT165">
        <v>1</v>
      </c>
      <c r="AU165">
        <v>1</v>
      </c>
      <c r="AV165">
        <v>2</v>
      </c>
      <c r="AW165">
        <v>2</v>
      </c>
      <c r="AX165">
        <v>2</v>
      </c>
      <c r="AY165">
        <v>2</v>
      </c>
      <c r="AZ165">
        <v>2</v>
      </c>
      <c r="BA165">
        <v>3</v>
      </c>
      <c r="BB165">
        <v>5</v>
      </c>
      <c r="BC165">
        <v>6</v>
      </c>
      <c r="BD165">
        <v>7</v>
      </c>
      <c r="BE165">
        <v>17</v>
      </c>
      <c r="BF165">
        <v>28</v>
      </c>
      <c r="BG165">
        <v>29</v>
      </c>
      <c r="BH165">
        <v>38</v>
      </c>
      <c r="BI165">
        <v>49</v>
      </c>
      <c r="BJ165">
        <v>63</v>
      </c>
      <c r="BK165">
        <v>77</v>
      </c>
      <c r="BL165">
        <v>96</v>
      </c>
      <c r="BM165">
        <v>115</v>
      </c>
      <c r="BN165">
        <v>143</v>
      </c>
      <c r="BO165">
        <v>170</v>
      </c>
      <c r="BP165">
        <v>225</v>
      </c>
      <c r="BQ165">
        <v>275</v>
      </c>
      <c r="BR165">
        <v>345</v>
      </c>
      <c r="BS165">
        <v>402</v>
      </c>
      <c r="BT165">
        <v>479</v>
      </c>
      <c r="BU165">
        <v>556</v>
      </c>
      <c r="BV165">
        <v>617</v>
      </c>
      <c r="BW165">
        <v>654</v>
      </c>
    </row>
    <row r="166" spans="1:75" x14ac:dyDescent="0.25">
      <c r="B166" t="s">
        <v>371</v>
      </c>
      <c r="C166">
        <v>-22.957599999999999</v>
      </c>
      <c r="D166">
        <v>18.490400000000001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2</v>
      </c>
      <c r="BF166">
        <v>2</v>
      </c>
      <c r="BG166">
        <v>2</v>
      </c>
      <c r="BH166">
        <v>2</v>
      </c>
      <c r="BI166">
        <v>2</v>
      </c>
      <c r="BJ166">
        <v>3</v>
      </c>
      <c r="BK166">
        <v>3</v>
      </c>
      <c r="BL166">
        <v>3</v>
      </c>
      <c r="BM166">
        <v>3</v>
      </c>
      <c r="BN166">
        <v>4</v>
      </c>
      <c r="BO166">
        <v>7</v>
      </c>
      <c r="BP166">
        <v>7</v>
      </c>
      <c r="BQ166">
        <v>8</v>
      </c>
      <c r="BR166">
        <v>8</v>
      </c>
      <c r="BS166">
        <v>8</v>
      </c>
      <c r="BT166">
        <v>11</v>
      </c>
      <c r="BU166">
        <v>11</v>
      </c>
      <c r="BV166">
        <v>11</v>
      </c>
      <c r="BW166">
        <v>14</v>
      </c>
    </row>
    <row r="167" spans="1:75" x14ac:dyDescent="0.25">
      <c r="B167" t="s">
        <v>43</v>
      </c>
      <c r="C167">
        <v>28.166699999999999</v>
      </c>
      <c r="D167">
        <v>84.25</v>
      </c>
      <c r="E167">
        <v>0</v>
      </c>
      <c r="F167">
        <v>0</v>
      </c>
      <c r="G167">
        <v>0</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c r="AF167">
        <v>1</v>
      </c>
      <c r="AG167">
        <v>1</v>
      </c>
      <c r="AH167">
        <v>1</v>
      </c>
      <c r="AI167">
        <v>1</v>
      </c>
      <c r="AJ167">
        <v>1</v>
      </c>
      <c r="AK167">
        <v>1</v>
      </c>
      <c r="AL167">
        <v>1</v>
      </c>
      <c r="AM167">
        <v>1</v>
      </c>
      <c r="AN167">
        <v>1</v>
      </c>
      <c r="AO167">
        <v>1</v>
      </c>
      <c r="AP167">
        <v>1</v>
      </c>
      <c r="AQ167">
        <v>1</v>
      </c>
      <c r="AR167">
        <v>1</v>
      </c>
      <c r="AS167">
        <v>1</v>
      </c>
      <c r="AT167">
        <v>1</v>
      </c>
      <c r="AU167">
        <v>1</v>
      </c>
      <c r="AV167">
        <v>1</v>
      </c>
      <c r="AW167">
        <v>1</v>
      </c>
      <c r="AX167">
        <v>1</v>
      </c>
      <c r="AY167">
        <v>1</v>
      </c>
      <c r="AZ167">
        <v>1</v>
      </c>
      <c r="BA167">
        <v>1</v>
      </c>
      <c r="BB167">
        <v>1</v>
      </c>
      <c r="BC167">
        <v>1</v>
      </c>
      <c r="BD167">
        <v>1</v>
      </c>
      <c r="BE167">
        <v>1</v>
      </c>
      <c r="BF167">
        <v>1</v>
      </c>
      <c r="BG167">
        <v>1</v>
      </c>
      <c r="BH167">
        <v>1</v>
      </c>
      <c r="BI167">
        <v>1</v>
      </c>
      <c r="BJ167">
        <v>1</v>
      </c>
      <c r="BK167">
        <v>1</v>
      </c>
      <c r="BL167">
        <v>1</v>
      </c>
      <c r="BM167">
        <v>1</v>
      </c>
      <c r="BN167">
        <v>2</v>
      </c>
      <c r="BO167">
        <v>2</v>
      </c>
      <c r="BP167">
        <v>3</v>
      </c>
      <c r="BQ167">
        <v>3</v>
      </c>
      <c r="BR167">
        <v>4</v>
      </c>
      <c r="BS167">
        <v>5</v>
      </c>
      <c r="BT167">
        <v>5</v>
      </c>
      <c r="BU167">
        <v>5</v>
      </c>
      <c r="BV167">
        <v>5</v>
      </c>
      <c r="BW167">
        <v>5</v>
      </c>
    </row>
    <row r="168" spans="1:75" x14ac:dyDescent="0.25">
      <c r="A168" t="s">
        <v>206</v>
      </c>
      <c r="B168" t="s">
        <v>87</v>
      </c>
      <c r="C168">
        <v>12.518599999999999</v>
      </c>
      <c r="D168">
        <v>-70.035799999999995</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2</v>
      </c>
      <c r="BE168">
        <v>2</v>
      </c>
      <c r="BF168">
        <v>2</v>
      </c>
      <c r="BG168">
        <v>2</v>
      </c>
      <c r="BH168">
        <v>3</v>
      </c>
      <c r="BI168">
        <v>4</v>
      </c>
      <c r="BJ168">
        <v>4</v>
      </c>
      <c r="BK168">
        <v>5</v>
      </c>
      <c r="BL168">
        <v>5</v>
      </c>
      <c r="BM168">
        <v>9</v>
      </c>
      <c r="BN168">
        <v>9</v>
      </c>
      <c r="BO168">
        <v>12</v>
      </c>
      <c r="BP168">
        <v>17</v>
      </c>
      <c r="BQ168">
        <v>28</v>
      </c>
      <c r="BR168">
        <v>33</v>
      </c>
      <c r="BS168">
        <v>46</v>
      </c>
      <c r="BT168">
        <v>50</v>
      </c>
      <c r="BU168">
        <v>50</v>
      </c>
      <c r="BV168">
        <v>55</v>
      </c>
      <c r="BW168">
        <v>55</v>
      </c>
    </row>
    <row r="169" spans="1:75" x14ac:dyDescent="0.25">
      <c r="A169" t="s">
        <v>375</v>
      </c>
      <c r="B169" t="s">
        <v>87</v>
      </c>
      <c r="C169">
        <v>12.169600000000001</v>
      </c>
      <c r="D169">
        <v>-68.989999999999995</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1</v>
      </c>
      <c r="BF169">
        <v>1</v>
      </c>
      <c r="BG169">
        <v>1</v>
      </c>
      <c r="BH169">
        <v>3</v>
      </c>
      <c r="BI169">
        <v>3</v>
      </c>
      <c r="BJ169">
        <v>3</v>
      </c>
      <c r="BK169">
        <v>3</v>
      </c>
      <c r="BL169">
        <v>3</v>
      </c>
      <c r="BM169">
        <v>3</v>
      </c>
      <c r="BN169">
        <v>4</v>
      </c>
      <c r="BO169">
        <v>6</v>
      </c>
      <c r="BP169">
        <v>6</v>
      </c>
      <c r="BQ169">
        <v>6</v>
      </c>
      <c r="BR169">
        <v>8</v>
      </c>
      <c r="BS169">
        <v>8</v>
      </c>
      <c r="BT169">
        <v>8</v>
      </c>
      <c r="BU169">
        <v>11</v>
      </c>
      <c r="BV169">
        <v>11</v>
      </c>
      <c r="BW169">
        <v>11</v>
      </c>
    </row>
    <row r="170" spans="1:75" x14ac:dyDescent="0.25">
      <c r="A170" t="s">
        <v>1024</v>
      </c>
      <c r="B170" t="s">
        <v>87</v>
      </c>
      <c r="C170">
        <v>18.0425</v>
      </c>
      <c r="D170">
        <v>-63.0548</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1</v>
      </c>
      <c r="BL170">
        <v>1</v>
      </c>
      <c r="BM170">
        <v>1</v>
      </c>
      <c r="BN170">
        <v>2</v>
      </c>
      <c r="BO170">
        <v>2</v>
      </c>
      <c r="BP170">
        <v>3</v>
      </c>
      <c r="BQ170">
        <v>3</v>
      </c>
      <c r="BR170">
        <v>3</v>
      </c>
      <c r="BS170">
        <v>3</v>
      </c>
      <c r="BT170">
        <v>6</v>
      </c>
      <c r="BU170">
        <v>6</v>
      </c>
      <c r="BV170">
        <v>6</v>
      </c>
      <c r="BW170">
        <v>16</v>
      </c>
    </row>
    <row r="171" spans="1:75" x14ac:dyDescent="0.25">
      <c r="B171" t="s">
        <v>87</v>
      </c>
      <c r="C171">
        <v>52.132599999999996</v>
      </c>
      <c r="D171">
        <v>5.2912999999999997</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1</v>
      </c>
      <c r="AP171">
        <v>1</v>
      </c>
      <c r="AQ171">
        <v>6</v>
      </c>
      <c r="AR171">
        <v>10</v>
      </c>
      <c r="AS171">
        <v>18</v>
      </c>
      <c r="AT171">
        <v>24</v>
      </c>
      <c r="AU171">
        <v>38</v>
      </c>
      <c r="AV171">
        <v>82</v>
      </c>
      <c r="AW171">
        <v>128</v>
      </c>
      <c r="AX171">
        <v>188</v>
      </c>
      <c r="AY171">
        <v>265</v>
      </c>
      <c r="AZ171">
        <v>321</v>
      </c>
      <c r="BA171">
        <v>382</v>
      </c>
      <c r="BB171">
        <v>503</v>
      </c>
      <c r="BC171">
        <v>503</v>
      </c>
      <c r="BD171">
        <v>804</v>
      </c>
      <c r="BE171">
        <v>959</v>
      </c>
      <c r="BF171">
        <v>1135</v>
      </c>
      <c r="BG171">
        <v>1413</v>
      </c>
      <c r="BH171">
        <v>1705</v>
      </c>
      <c r="BI171">
        <v>2051</v>
      </c>
      <c r="BJ171">
        <v>2460</v>
      </c>
      <c r="BK171">
        <v>2994</v>
      </c>
      <c r="BL171">
        <v>3631</v>
      </c>
      <c r="BM171">
        <v>4204</v>
      </c>
      <c r="BN171">
        <v>4749</v>
      </c>
      <c r="BO171">
        <v>5560</v>
      </c>
      <c r="BP171">
        <v>6412</v>
      </c>
      <c r="BQ171">
        <v>7431</v>
      </c>
      <c r="BR171">
        <v>8603</v>
      </c>
      <c r="BS171">
        <v>9762</v>
      </c>
      <c r="BT171">
        <v>10866</v>
      </c>
      <c r="BU171">
        <v>11750</v>
      </c>
      <c r="BV171">
        <v>12595</v>
      </c>
      <c r="BW171">
        <v>13614</v>
      </c>
    </row>
    <row r="172" spans="1:75" x14ac:dyDescent="0.25">
      <c r="B172" t="s">
        <v>93</v>
      </c>
      <c r="C172">
        <v>-40.900599999999997</v>
      </c>
      <c r="D172">
        <v>174.886</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1</v>
      </c>
      <c r="AQ172">
        <v>1</v>
      </c>
      <c r="AR172">
        <v>1</v>
      </c>
      <c r="AS172">
        <v>1</v>
      </c>
      <c r="AT172">
        <v>1</v>
      </c>
      <c r="AU172">
        <v>3</v>
      </c>
      <c r="AV172">
        <v>3</v>
      </c>
      <c r="AW172">
        <v>4</v>
      </c>
      <c r="AX172">
        <v>5</v>
      </c>
      <c r="AY172">
        <v>5</v>
      </c>
      <c r="AZ172">
        <v>5</v>
      </c>
      <c r="BA172">
        <v>5</v>
      </c>
      <c r="BB172">
        <v>5</v>
      </c>
      <c r="BC172">
        <v>5</v>
      </c>
      <c r="BD172">
        <v>5</v>
      </c>
      <c r="BE172">
        <v>6</v>
      </c>
      <c r="BF172">
        <v>8</v>
      </c>
      <c r="BG172">
        <v>8</v>
      </c>
      <c r="BH172">
        <v>12</v>
      </c>
      <c r="BI172">
        <v>20</v>
      </c>
      <c r="BJ172">
        <v>28</v>
      </c>
      <c r="BK172">
        <v>39</v>
      </c>
      <c r="BL172">
        <v>52</v>
      </c>
      <c r="BM172">
        <v>102</v>
      </c>
      <c r="BN172">
        <v>102</v>
      </c>
      <c r="BO172">
        <v>155</v>
      </c>
      <c r="BP172">
        <v>205</v>
      </c>
      <c r="BQ172">
        <v>283</v>
      </c>
      <c r="BR172">
        <v>368</v>
      </c>
      <c r="BS172">
        <v>451</v>
      </c>
      <c r="BT172">
        <v>514</v>
      </c>
      <c r="BU172">
        <v>589</v>
      </c>
      <c r="BV172">
        <v>647</v>
      </c>
      <c r="BW172">
        <v>708</v>
      </c>
    </row>
    <row r="173" spans="1:75" x14ac:dyDescent="0.25">
      <c r="B173" t="s">
        <v>1019</v>
      </c>
      <c r="C173">
        <v>12.865399999999999</v>
      </c>
      <c r="D173">
        <v>-85.2072</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1</v>
      </c>
      <c r="BK173">
        <v>1</v>
      </c>
      <c r="BL173">
        <v>2</v>
      </c>
      <c r="BM173">
        <v>2</v>
      </c>
      <c r="BN173">
        <v>2</v>
      </c>
      <c r="BO173">
        <v>2</v>
      </c>
      <c r="BP173">
        <v>2</v>
      </c>
      <c r="BQ173">
        <v>2</v>
      </c>
      <c r="BR173">
        <v>2</v>
      </c>
      <c r="BS173">
        <v>4</v>
      </c>
      <c r="BT173">
        <v>4</v>
      </c>
      <c r="BU173">
        <v>4</v>
      </c>
      <c r="BV173">
        <v>5</v>
      </c>
      <c r="BW173">
        <v>5</v>
      </c>
    </row>
    <row r="174" spans="1:75" x14ac:dyDescent="0.25">
      <c r="B174" t="s">
        <v>1025</v>
      </c>
      <c r="C174">
        <v>17.607800000000001</v>
      </c>
      <c r="D174">
        <v>8.0816999999999997</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1</v>
      </c>
      <c r="BL174">
        <v>1</v>
      </c>
      <c r="BM174">
        <v>2</v>
      </c>
      <c r="BN174">
        <v>3</v>
      </c>
      <c r="BO174">
        <v>3</v>
      </c>
      <c r="BP174">
        <v>7</v>
      </c>
      <c r="BQ174">
        <v>10</v>
      </c>
      <c r="BR174">
        <v>10</v>
      </c>
      <c r="BS174">
        <v>10</v>
      </c>
      <c r="BT174">
        <v>18</v>
      </c>
      <c r="BU174">
        <v>27</v>
      </c>
      <c r="BV174">
        <v>27</v>
      </c>
      <c r="BW174">
        <v>74</v>
      </c>
    </row>
    <row r="175" spans="1:75" x14ac:dyDescent="0.25">
      <c r="B175" t="s">
        <v>94</v>
      </c>
      <c r="C175">
        <v>9.0820000000000007</v>
      </c>
      <c r="D175">
        <v>8.6753</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1</v>
      </c>
      <c r="AQ175">
        <v>1</v>
      </c>
      <c r="AR175">
        <v>1</v>
      </c>
      <c r="AS175">
        <v>1</v>
      </c>
      <c r="AT175">
        <v>1</v>
      </c>
      <c r="AU175">
        <v>1</v>
      </c>
      <c r="AV175">
        <v>1</v>
      </c>
      <c r="AW175">
        <v>1</v>
      </c>
      <c r="AX175">
        <v>1</v>
      </c>
      <c r="AY175">
        <v>1</v>
      </c>
      <c r="AZ175">
        <v>2</v>
      </c>
      <c r="BA175">
        <v>2</v>
      </c>
      <c r="BB175">
        <v>2</v>
      </c>
      <c r="BC175">
        <v>2</v>
      </c>
      <c r="BD175">
        <v>2</v>
      </c>
      <c r="BE175">
        <v>2</v>
      </c>
      <c r="BF175">
        <v>2</v>
      </c>
      <c r="BG175">
        <v>2</v>
      </c>
      <c r="BH175">
        <v>3</v>
      </c>
      <c r="BI175">
        <v>8</v>
      </c>
      <c r="BJ175">
        <v>8</v>
      </c>
      <c r="BK175">
        <v>12</v>
      </c>
      <c r="BL175">
        <v>22</v>
      </c>
      <c r="BM175">
        <v>30</v>
      </c>
      <c r="BN175">
        <v>40</v>
      </c>
      <c r="BO175">
        <v>44</v>
      </c>
      <c r="BP175">
        <v>51</v>
      </c>
      <c r="BQ175">
        <v>65</v>
      </c>
      <c r="BR175">
        <v>70</v>
      </c>
      <c r="BS175">
        <v>89</v>
      </c>
      <c r="BT175">
        <v>111</v>
      </c>
      <c r="BU175">
        <v>131</v>
      </c>
      <c r="BV175">
        <v>135</v>
      </c>
      <c r="BW175">
        <v>174</v>
      </c>
    </row>
    <row r="176" spans="1:75" x14ac:dyDescent="0.25">
      <c r="B176" t="s">
        <v>82</v>
      </c>
      <c r="C176">
        <v>41.608600000000003</v>
      </c>
      <c r="D176">
        <v>21.7453</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1</v>
      </c>
      <c r="AO176">
        <v>1</v>
      </c>
      <c r="AP176">
        <v>1</v>
      </c>
      <c r="AQ176">
        <v>1</v>
      </c>
      <c r="AR176">
        <v>1</v>
      </c>
      <c r="AS176">
        <v>1</v>
      </c>
      <c r="AT176">
        <v>1</v>
      </c>
      <c r="AU176">
        <v>1</v>
      </c>
      <c r="AV176">
        <v>1</v>
      </c>
      <c r="AW176">
        <v>3</v>
      </c>
      <c r="AX176">
        <v>3</v>
      </c>
      <c r="AY176">
        <v>3</v>
      </c>
      <c r="AZ176">
        <v>3</v>
      </c>
      <c r="BA176">
        <v>7</v>
      </c>
      <c r="BB176">
        <v>7</v>
      </c>
      <c r="BC176">
        <v>7</v>
      </c>
      <c r="BD176">
        <v>14</v>
      </c>
      <c r="BE176">
        <v>14</v>
      </c>
      <c r="BF176">
        <v>14</v>
      </c>
      <c r="BG176">
        <v>18</v>
      </c>
      <c r="BH176">
        <v>26</v>
      </c>
      <c r="BI176">
        <v>35</v>
      </c>
      <c r="BJ176">
        <v>48</v>
      </c>
      <c r="BK176">
        <v>67</v>
      </c>
      <c r="BL176">
        <v>85</v>
      </c>
      <c r="BM176">
        <v>115</v>
      </c>
      <c r="BN176">
        <v>136</v>
      </c>
      <c r="BO176">
        <v>148</v>
      </c>
      <c r="BP176">
        <v>177</v>
      </c>
      <c r="BQ176">
        <v>201</v>
      </c>
      <c r="BR176">
        <v>219</v>
      </c>
      <c r="BS176">
        <v>241</v>
      </c>
      <c r="BT176">
        <v>259</v>
      </c>
      <c r="BU176">
        <v>285</v>
      </c>
      <c r="BV176">
        <v>329</v>
      </c>
      <c r="BW176">
        <v>354</v>
      </c>
    </row>
    <row r="177" spans="2:75" x14ac:dyDescent="0.25">
      <c r="B177" t="s">
        <v>83</v>
      </c>
      <c r="C177">
        <v>60.472000000000001</v>
      </c>
      <c r="D177">
        <v>8.4688999999999997</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1</v>
      </c>
      <c r="AO177">
        <v>1</v>
      </c>
      <c r="AP177">
        <v>6</v>
      </c>
      <c r="AQ177">
        <v>15</v>
      </c>
      <c r="AR177">
        <v>19</v>
      </c>
      <c r="AS177">
        <v>25</v>
      </c>
      <c r="AT177">
        <v>32</v>
      </c>
      <c r="AU177">
        <v>56</v>
      </c>
      <c r="AV177">
        <v>87</v>
      </c>
      <c r="AW177">
        <v>108</v>
      </c>
      <c r="AX177">
        <v>147</v>
      </c>
      <c r="AY177">
        <v>176</v>
      </c>
      <c r="AZ177">
        <v>205</v>
      </c>
      <c r="BA177">
        <v>400</v>
      </c>
      <c r="BB177">
        <v>598</v>
      </c>
      <c r="BC177">
        <v>702</v>
      </c>
      <c r="BD177">
        <v>996</v>
      </c>
      <c r="BE177">
        <v>1090</v>
      </c>
      <c r="BF177">
        <v>1221</v>
      </c>
      <c r="BG177">
        <v>1333</v>
      </c>
      <c r="BH177">
        <v>1463</v>
      </c>
      <c r="BI177">
        <v>1550</v>
      </c>
      <c r="BJ177">
        <v>1746</v>
      </c>
      <c r="BK177">
        <v>1914</v>
      </c>
      <c r="BL177">
        <v>2118</v>
      </c>
      <c r="BM177">
        <v>2385</v>
      </c>
      <c r="BN177">
        <v>2621</v>
      </c>
      <c r="BO177">
        <v>2863</v>
      </c>
      <c r="BP177">
        <v>3084</v>
      </c>
      <c r="BQ177">
        <v>3369</v>
      </c>
      <c r="BR177">
        <v>3755</v>
      </c>
      <c r="BS177">
        <v>4015</v>
      </c>
      <c r="BT177">
        <v>4284</v>
      </c>
      <c r="BU177">
        <v>4445</v>
      </c>
      <c r="BV177">
        <v>4641</v>
      </c>
      <c r="BW177">
        <v>4863</v>
      </c>
    </row>
    <row r="178" spans="2:75" x14ac:dyDescent="0.25">
      <c r="B178" t="s">
        <v>69</v>
      </c>
      <c r="C178">
        <v>21</v>
      </c>
      <c r="D178">
        <v>57</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2</v>
      </c>
      <c r="AM178">
        <v>2</v>
      </c>
      <c r="AN178">
        <v>4</v>
      </c>
      <c r="AO178">
        <v>4</v>
      </c>
      <c r="AP178">
        <v>4</v>
      </c>
      <c r="AQ178">
        <v>6</v>
      </c>
      <c r="AR178">
        <v>6</v>
      </c>
      <c r="AS178">
        <v>6</v>
      </c>
      <c r="AT178">
        <v>12</v>
      </c>
      <c r="AU178">
        <v>15</v>
      </c>
      <c r="AV178">
        <v>16</v>
      </c>
      <c r="AW178">
        <v>16</v>
      </c>
      <c r="AX178">
        <v>16</v>
      </c>
      <c r="AY178">
        <v>16</v>
      </c>
      <c r="AZ178">
        <v>16</v>
      </c>
      <c r="BA178">
        <v>18</v>
      </c>
      <c r="BB178">
        <v>18</v>
      </c>
      <c r="BC178">
        <v>18</v>
      </c>
      <c r="BD178">
        <v>19</v>
      </c>
      <c r="BE178">
        <v>19</v>
      </c>
      <c r="BF178">
        <v>22</v>
      </c>
      <c r="BG178">
        <v>22</v>
      </c>
      <c r="BH178">
        <v>24</v>
      </c>
      <c r="BI178">
        <v>39</v>
      </c>
      <c r="BJ178">
        <v>48</v>
      </c>
      <c r="BK178">
        <v>48</v>
      </c>
      <c r="BL178">
        <v>52</v>
      </c>
      <c r="BM178">
        <v>55</v>
      </c>
      <c r="BN178">
        <v>66</v>
      </c>
      <c r="BO178">
        <v>84</v>
      </c>
      <c r="BP178">
        <v>99</v>
      </c>
      <c r="BQ178">
        <v>109</v>
      </c>
      <c r="BR178">
        <v>131</v>
      </c>
      <c r="BS178">
        <v>152</v>
      </c>
      <c r="BT178">
        <v>167</v>
      </c>
      <c r="BU178">
        <v>179</v>
      </c>
      <c r="BV178">
        <v>192</v>
      </c>
      <c r="BW178">
        <v>210</v>
      </c>
    </row>
    <row r="179" spans="2:75" x14ac:dyDescent="0.25">
      <c r="B179" t="s">
        <v>78</v>
      </c>
      <c r="C179">
        <v>30.375299999999999</v>
      </c>
      <c r="D179">
        <v>69.345100000000002</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2</v>
      </c>
      <c r="AO179">
        <v>2</v>
      </c>
      <c r="AP179">
        <v>2</v>
      </c>
      <c r="AQ179">
        <v>4</v>
      </c>
      <c r="AR179">
        <v>4</v>
      </c>
      <c r="AS179">
        <v>4</v>
      </c>
      <c r="AT179">
        <v>5</v>
      </c>
      <c r="AU179">
        <v>5</v>
      </c>
      <c r="AV179">
        <v>5</v>
      </c>
      <c r="AW179">
        <v>6</v>
      </c>
      <c r="AX179">
        <v>6</v>
      </c>
      <c r="AY179">
        <v>6</v>
      </c>
      <c r="AZ179">
        <v>6</v>
      </c>
      <c r="BA179">
        <v>16</v>
      </c>
      <c r="BB179">
        <v>19</v>
      </c>
      <c r="BC179">
        <v>20</v>
      </c>
      <c r="BD179">
        <v>28</v>
      </c>
      <c r="BE179">
        <v>31</v>
      </c>
      <c r="BF179">
        <v>53</v>
      </c>
      <c r="BG179">
        <v>136</v>
      </c>
      <c r="BH179">
        <v>236</v>
      </c>
      <c r="BI179">
        <v>299</v>
      </c>
      <c r="BJ179">
        <v>454</v>
      </c>
      <c r="BK179">
        <v>501</v>
      </c>
      <c r="BL179">
        <v>730</v>
      </c>
      <c r="BM179">
        <v>776</v>
      </c>
      <c r="BN179">
        <v>875</v>
      </c>
      <c r="BO179">
        <v>972</v>
      </c>
      <c r="BP179">
        <v>1063</v>
      </c>
      <c r="BQ179">
        <v>1201</v>
      </c>
      <c r="BR179">
        <v>1373</v>
      </c>
      <c r="BS179">
        <v>1495</v>
      </c>
      <c r="BT179">
        <v>1597</v>
      </c>
      <c r="BU179">
        <v>1717</v>
      </c>
      <c r="BV179">
        <v>1938</v>
      </c>
      <c r="BW179">
        <v>2118</v>
      </c>
    </row>
    <row r="180" spans="2:75" x14ac:dyDescent="0.25">
      <c r="B180" t="s">
        <v>152</v>
      </c>
      <c r="C180">
        <v>8.5380000000000003</v>
      </c>
      <c r="D180">
        <v>-80.7821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1</v>
      </c>
      <c r="BB180">
        <v>8</v>
      </c>
      <c r="BC180">
        <v>11</v>
      </c>
      <c r="BD180">
        <v>27</v>
      </c>
      <c r="BE180">
        <v>36</v>
      </c>
      <c r="BF180">
        <v>43</v>
      </c>
      <c r="BG180">
        <v>55</v>
      </c>
      <c r="BH180">
        <v>69</v>
      </c>
      <c r="BI180">
        <v>86</v>
      </c>
      <c r="BJ180">
        <v>109</v>
      </c>
      <c r="BK180">
        <v>137</v>
      </c>
      <c r="BL180">
        <v>200</v>
      </c>
      <c r="BM180">
        <v>313</v>
      </c>
      <c r="BN180">
        <v>345</v>
      </c>
      <c r="BO180">
        <v>345</v>
      </c>
      <c r="BP180">
        <v>443</v>
      </c>
      <c r="BQ180">
        <v>558</v>
      </c>
      <c r="BR180">
        <v>674</v>
      </c>
      <c r="BS180">
        <v>786</v>
      </c>
      <c r="BT180">
        <v>901</v>
      </c>
      <c r="BU180">
        <v>989</v>
      </c>
      <c r="BV180">
        <v>1181</v>
      </c>
      <c r="BW180">
        <v>1181</v>
      </c>
    </row>
    <row r="181" spans="2:75" x14ac:dyDescent="0.25">
      <c r="B181" t="s">
        <v>1026</v>
      </c>
      <c r="C181">
        <v>-6.3150000000000004</v>
      </c>
      <c r="D181">
        <v>143.9555</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0</v>
      </c>
      <c r="BI181">
        <v>0</v>
      </c>
      <c r="BJ181">
        <v>0</v>
      </c>
      <c r="BK181">
        <v>1</v>
      </c>
      <c r="BL181">
        <v>1</v>
      </c>
      <c r="BM181">
        <v>1</v>
      </c>
      <c r="BN181">
        <v>1</v>
      </c>
      <c r="BO181">
        <v>1</v>
      </c>
      <c r="BP181">
        <v>1</v>
      </c>
      <c r="BQ181">
        <v>1</v>
      </c>
      <c r="BR181">
        <v>1</v>
      </c>
      <c r="BS181">
        <v>1</v>
      </c>
      <c r="BT181">
        <v>1</v>
      </c>
      <c r="BU181">
        <v>1</v>
      </c>
      <c r="BV181">
        <v>1</v>
      </c>
      <c r="BW181">
        <v>1</v>
      </c>
    </row>
    <row r="182" spans="2:75" x14ac:dyDescent="0.25">
      <c r="B182" t="s">
        <v>140</v>
      </c>
      <c r="C182">
        <v>-23.442499999999999</v>
      </c>
      <c r="D182">
        <v>-58.443800000000003</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1</v>
      </c>
      <c r="AZ182">
        <v>1</v>
      </c>
      <c r="BA182">
        <v>1</v>
      </c>
      <c r="BB182">
        <v>5</v>
      </c>
      <c r="BC182">
        <v>5</v>
      </c>
      <c r="BD182">
        <v>6</v>
      </c>
      <c r="BE182">
        <v>6</v>
      </c>
      <c r="BF182">
        <v>6</v>
      </c>
      <c r="BG182">
        <v>8</v>
      </c>
      <c r="BH182">
        <v>9</v>
      </c>
      <c r="BI182">
        <v>11</v>
      </c>
      <c r="BJ182">
        <v>11</v>
      </c>
      <c r="BK182">
        <v>13</v>
      </c>
      <c r="BL182">
        <v>18</v>
      </c>
      <c r="BM182">
        <v>22</v>
      </c>
      <c r="BN182">
        <v>22</v>
      </c>
      <c r="BO182">
        <v>27</v>
      </c>
      <c r="BP182">
        <v>37</v>
      </c>
      <c r="BQ182">
        <v>41</v>
      </c>
      <c r="BR182">
        <v>52</v>
      </c>
      <c r="BS182">
        <v>56</v>
      </c>
      <c r="BT182">
        <v>59</v>
      </c>
      <c r="BU182">
        <v>64</v>
      </c>
      <c r="BV182">
        <v>65</v>
      </c>
      <c r="BW182">
        <v>69</v>
      </c>
    </row>
    <row r="183" spans="2:75" x14ac:dyDescent="0.25">
      <c r="B183" t="s">
        <v>129</v>
      </c>
      <c r="C183">
        <v>-9.19</v>
      </c>
      <c r="D183">
        <v>-75.015199999999993</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1</v>
      </c>
      <c r="AX183">
        <v>1</v>
      </c>
      <c r="AY183">
        <v>6</v>
      </c>
      <c r="AZ183">
        <v>7</v>
      </c>
      <c r="BA183">
        <v>11</v>
      </c>
      <c r="BB183">
        <v>11</v>
      </c>
      <c r="BC183">
        <v>15</v>
      </c>
      <c r="BD183">
        <v>28</v>
      </c>
      <c r="BE183">
        <v>38</v>
      </c>
      <c r="BF183">
        <v>43</v>
      </c>
      <c r="BG183">
        <v>86</v>
      </c>
      <c r="BH183">
        <v>117</v>
      </c>
      <c r="BI183">
        <v>145</v>
      </c>
      <c r="BJ183">
        <v>234</v>
      </c>
      <c r="BK183">
        <v>234</v>
      </c>
      <c r="BL183">
        <v>318</v>
      </c>
      <c r="BM183">
        <v>363</v>
      </c>
      <c r="BN183">
        <v>395</v>
      </c>
      <c r="BO183">
        <v>416</v>
      </c>
      <c r="BP183">
        <v>480</v>
      </c>
      <c r="BQ183">
        <v>580</v>
      </c>
      <c r="BR183">
        <v>635</v>
      </c>
      <c r="BS183">
        <v>671</v>
      </c>
      <c r="BT183">
        <v>852</v>
      </c>
      <c r="BU183">
        <v>950</v>
      </c>
      <c r="BV183">
        <v>1065</v>
      </c>
      <c r="BW183">
        <v>1323</v>
      </c>
    </row>
    <row r="184" spans="2:75" x14ac:dyDescent="0.25">
      <c r="B184" t="s">
        <v>56</v>
      </c>
      <c r="C184">
        <v>13</v>
      </c>
      <c r="D184">
        <v>122</v>
      </c>
      <c r="E184">
        <v>0</v>
      </c>
      <c r="F184">
        <v>0</v>
      </c>
      <c r="G184">
        <v>0</v>
      </c>
      <c r="H184">
        <v>0</v>
      </c>
      <c r="I184">
        <v>0</v>
      </c>
      <c r="J184">
        <v>0</v>
      </c>
      <c r="K184">
        <v>0</v>
      </c>
      <c r="L184">
        <v>0</v>
      </c>
      <c r="M184">
        <v>1</v>
      </c>
      <c r="N184">
        <v>1</v>
      </c>
      <c r="O184">
        <v>1</v>
      </c>
      <c r="P184">
        <v>2</v>
      </c>
      <c r="Q184">
        <v>2</v>
      </c>
      <c r="R184">
        <v>2</v>
      </c>
      <c r="S184">
        <v>2</v>
      </c>
      <c r="T184">
        <v>2</v>
      </c>
      <c r="U184">
        <v>3</v>
      </c>
      <c r="V184">
        <v>3</v>
      </c>
      <c r="W184">
        <v>3</v>
      </c>
      <c r="X184">
        <v>3</v>
      </c>
      <c r="Y184">
        <v>3</v>
      </c>
      <c r="Z184">
        <v>3</v>
      </c>
      <c r="AA184">
        <v>3</v>
      </c>
      <c r="AB184">
        <v>3</v>
      </c>
      <c r="AC184">
        <v>3</v>
      </c>
      <c r="AD184">
        <v>3</v>
      </c>
      <c r="AE184">
        <v>3</v>
      </c>
      <c r="AF184">
        <v>3</v>
      </c>
      <c r="AG184">
        <v>3</v>
      </c>
      <c r="AH184">
        <v>3</v>
      </c>
      <c r="AI184">
        <v>3</v>
      </c>
      <c r="AJ184">
        <v>3</v>
      </c>
      <c r="AK184">
        <v>3</v>
      </c>
      <c r="AL184">
        <v>3</v>
      </c>
      <c r="AM184">
        <v>3</v>
      </c>
      <c r="AN184">
        <v>3</v>
      </c>
      <c r="AO184">
        <v>3</v>
      </c>
      <c r="AP184">
        <v>3</v>
      </c>
      <c r="AQ184">
        <v>3</v>
      </c>
      <c r="AR184">
        <v>3</v>
      </c>
      <c r="AS184">
        <v>3</v>
      </c>
      <c r="AT184">
        <v>3</v>
      </c>
      <c r="AU184">
        <v>3</v>
      </c>
      <c r="AV184">
        <v>3</v>
      </c>
      <c r="AW184">
        <v>5</v>
      </c>
      <c r="AX184">
        <v>6</v>
      </c>
      <c r="AY184">
        <v>10</v>
      </c>
      <c r="AZ184">
        <v>20</v>
      </c>
      <c r="BA184">
        <v>33</v>
      </c>
      <c r="BB184">
        <v>49</v>
      </c>
      <c r="BC184">
        <v>52</v>
      </c>
      <c r="BD184">
        <v>64</v>
      </c>
      <c r="BE184">
        <v>111</v>
      </c>
      <c r="BF184">
        <v>140</v>
      </c>
      <c r="BG184">
        <v>142</v>
      </c>
      <c r="BH184">
        <v>187</v>
      </c>
      <c r="BI184">
        <v>202</v>
      </c>
      <c r="BJ184">
        <v>217</v>
      </c>
      <c r="BK184">
        <v>230</v>
      </c>
      <c r="BL184">
        <v>307</v>
      </c>
      <c r="BM184">
        <v>380</v>
      </c>
      <c r="BN184">
        <v>462</v>
      </c>
      <c r="BO184">
        <v>552</v>
      </c>
      <c r="BP184">
        <v>636</v>
      </c>
      <c r="BQ184">
        <v>707</v>
      </c>
      <c r="BR184">
        <v>803</v>
      </c>
      <c r="BS184">
        <v>1075</v>
      </c>
      <c r="BT184">
        <v>1418</v>
      </c>
      <c r="BU184">
        <v>1546</v>
      </c>
      <c r="BV184">
        <v>2084</v>
      </c>
      <c r="BW184">
        <v>2311</v>
      </c>
    </row>
    <row r="185" spans="2:75" x14ac:dyDescent="0.25">
      <c r="B185" t="s">
        <v>120</v>
      </c>
      <c r="C185">
        <v>51.919400000000003</v>
      </c>
      <c r="D185">
        <v>19.145099999999999</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1</v>
      </c>
      <c r="AV185">
        <v>1</v>
      </c>
      <c r="AW185">
        <v>5</v>
      </c>
      <c r="AX185">
        <v>5</v>
      </c>
      <c r="AY185">
        <v>11</v>
      </c>
      <c r="AZ185">
        <v>16</v>
      </c>
      <c r="BA185">
        <v>22</v>
      </c>
      <c r="BB185">
        <v>31</v>
      </c>
      <c r="BC185">
        <v>49</v>
      </c>
      <c r="BD185">
        <v>68</v>
      </c>
      <c r="BE185">
        <v>103</v>
      </c>
      <c r="BF185">
        <v>119</v>
      </c>
      <c r="BG185">
        <v>177</v>
      </c>
      <c r="BH185">
        <v>238</v>
      </c>
      <c r="BI185">
        <v>251</v>
      </c>
      <c r="BJ185">
        <v>355</v>
      </c>
      <c r="BK185">
        <v>425</v>
      </c>
      <c r="BL185">
        <v>536</v>
      </c>
      <c r="BM185">
        <v>634</v>
      </c>
      <c r="BN185">
        <v>749</v>
      </c>
      <c r="BO185">
        <v>901</v>
      </c>
      <c r="BP185">
        <v>1051</v>
      </c>
      <c r="BQ185">
        <v>1221</v>
      </c>
      <c r="BR185">
        <v>1389</v>
      </c>
      <c r="BS185">
        <v>1638</v>
      </c>
      <c r="BT185">
        <v>1862</v>
      </c>
      <c r="BU185">
        <v>2055</v>
      </c>
      <c r="BV185">
        <v>2311</v>
      </c>
      <c r="BW185">
        <v>2554</v>
      </c>
    </row>
    <row r="186" spans="2:75" x14ac:dyDescent="0.25">
      <c r="B186" t="s">
        <v>104</v>
      </c>
      <c r="C186">
        <v>39.399900000000002</v>
      </c>
      <c r="D186">
        <v>-8.2245000000000008</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2</v>
      </c>
      <c r="AT186">
        <v>2</v>
      </c>
      <c r="AU186">
        <v>5</v>
      </c>
      <c r="AV186">
        <v>8</v>
      </c>
      <c r="AW186">
        <v>13</v>
      </c>
      <c r="AX186">
        <v>20</v>
      </c>
      <c r="AY186">
        <v>30</v>
      </c>
      <c r="AZ186">
        <v>30</v>
      </c>
      <c r="BA186">
        <v>41</v>
      </c>
      <c r="BB186">
        <v>59</v>
      </c>
      <c r="BC186">
        <v>59</v>
      </c>
      <c r="BD186">
        <v>112</v>
      </c>
      <c r="BE186">
        <v>169</v>
      </c>
      <c r="BF186">
        <v>245</v>
      </c>
      <c r="BG186">
        <v>331</v>
      </c>
      <c r="BH186">
        <v>448</v>
      </c>
      <c r="BI186">
        <v>448</v>
      </c>
      <c r="BJ186">
        <v>785</v>
      </c>
      <c r="BK186">
        <v>1020</v>
      </c>
      <c r="BL186">
        <v>1280</v>
      </c>
      <c r="BM186">
        <v>1600</v>
      </c>
      <c r="BN186">
        <v>2060</v>
      </c>
      <c r="BO186">
        <v>2362</v>
      </c>
      <c r="BP186">
        <v>2995</v>
      </c>
      <c r="BQ186">
        <v>3544</v>
      </c>
      <c r="BR186">
        <v>4268</v>
      </c>
      <c r="BS186">
        <v>5170</v>
      </c>
      <c r="BT186">
        <v>5962</v>
      </c>
      <c r="BU186">
        <v>6408</v>
      </c>
      <c r="BV186">
        <v>7443</v>
      </c>
      <c r="BW186">
        <v>8251</v>
      </c>
    </row>
    <row r="187" spans="2:75" x14ac:dyDescent="0.25">
      <c r="B187" t="s">
        <v>98</v>
      </c>
      <c r="C187">
        <v>25.354800000000001</v>
      </c>
      <c r="D187">
        <v>51.183900000000001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1</v>
      </c>
      <c r="AR187">
        <v>3</v>
      </c>
      <c r="AS187">
        <v>3</v>
      </c>
      <c r="AT187">
        <v>7</v>
      </c>
      <c r="AU187">
        <v>8</v>
      </c>
      <c r="AV187">
        <v>8</v>
      </c>
      <c r="AW187">
        <v>8</v>
      </c>
      <c r="AX187">
        <v>8</v>
      </c>
      <c r="AY187">
        <v>15</v>
      </c>
      <c r="AZ187">
        <v>18</v>
      </c>
      <c r="BA187">
        <v>24</v>
      </c>
      <c r="BB187">
        <v>262</v>
      </c>
      <c r="BC187">
        <v>262</v>
      </c>
      <c r="BD187">
        <v>320</v>
      </c>
      <c r="BE187">
        <v>337</v>
      </c>
      <c r="BF187">
        <v>401</v>
      </c>
      <c r="BG187">
        <v>439</v>
      </c>
      <c r="BH187">
        <v>439</v>
      </c>
      <c r="BI187">
        <v>452</v>
      </c>
      <c r="BJ187">
        <v>460</v>
      </c>
      <c r="BK187">
        <v>470</v>
      </c>
      <c r="BL187">
        <v>481</v>
      </c>
      <c r="BM187">
        <v>494</v>
      </c>
      <c r="BN187">
        <v>501</v>
      </c>
      <c r="BO187">
        <v>526</v>
      </c>
      <c r="BP187">
        <v>537</v>
      </c>
      <c r="BQ187">
        <v>549</v>
      </c>
      <c r="BR187">
        <v>562</v>
      </c>
      <c r="BS187">
        <v>590</v>
      </c>
      <c r="BT187">
        <v>634</v>
      </c>
      <c r="BU187">
        <v>693</v>
      </c>
      <c r="BV187">
        <v>781</v>
      </c>
      <c r="BW187">
        <v>835</v>
      </c>
    </row>
    <row r="188" spans="2:75" x14ac:dyDescent="0.25">
      <c r="B188" t="s">
        <v>84</v>
      </c>
      <c r="C188">
        <v>45.943199999999997</v>
      </c>
      <c r="D188">
        <v>24.966799999999999</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1</v>
      </c>
      <c r="AO188">
        <v>1</v>
      </c>
      <c r="AP188">
        <v>3</v>
      </c>
      <c r="AQ188">
        <v>3</v>
      </c>
      <c r="AR188">
        <v>3</v>
      </c>
      <c r="AS188">
        <v>3</v>
      </c>
      <c r="AT188">
        <v>3</v>
      </c>
      <c r="AU188">
        <v>4</v>
      </c>
      <c r="AV188">
        <v>6</v>
      </c>
      <c r="AW188">
        <v>9</v>
      </c>
      <c r="AX188">
        <v>9</v>
      </c>
      <c r="AY188">
        <v>15</v>
      </c>
      <c r="AZ188">
        <v>15</v>
      </c>
      <c r="BA188">
        <v>25</v>
      </c>
      <c r="BB188">
        <v>45</v>
      </c>
      <c r="BC188">
        <v>49</v>
      </c>
      <c r="BD188">
        <v>89</v>
      </c>
      <c r="BE188">
        <v>123</v>
      </c>
      <c r="BF188">
        <v>131</v>
      </c>
      <c r="BG188">
        <v>158</v>
      </c>
      <c r="BH188">
        <v>184</v>
      </c>
      <c r="BI188">
        <v>260</v>
      </c>
      <c r="BJ188">
        <v>277</v>
      </c>
      <c r="BK188">
        <v>308</v>
      </c>
      <c r="BL188">
        <v>367</v>
      </c>
      <c r="BM188">
        <v>433</v>
      </c>
      <c r="BN188">
        <v>576</v>
      </c>
      <c r="BO188">
        <v>794</v>
      </c>
      <c r="BP188">
        <v>906</v>
      </c>
      <c r="BQ188">
        <v>1029</v>
      </c>
      <c r="BR188">
        <v>1292</v>
      </c>
      <c r="BS188">
        <v>1452</v>
      </c>
      <c r="BT188">
        <v>1815</v>
      </c>
      <c r="BU188">
        <v>2109</v>
      </c>
      <c r="BV188">
        <v>2245</v>
      </c>
      <c r="BW188">
        <v>2460</v>
      </c>
    </row>
    <row r="189" spans="2:75" x14ac:dyDescent="0.25">
      <c r="B189" t="s">
        <v>59</v>
      </c>
      <c r="C189">
        <v>60</v>
      </c>
      <c r="D189">
        <v>90</v>
      </c>
      <c r="E189">
        <v>0</v>
      </c>
      <c r="F189">
        <v>0</v>
      </c>
      <c r="G189">
        <v>0</v>
      </c>
      <c r="H189">
        <v>0</v>
      </c>
      <c r="I189">
        <v>0</v>
      </c>
      <c r="J189">
        <v>0</v>
      </c>
      <c r="K189">
        <v>0</v>
      </c>
      <c r="L189">
        <v>0</v>
      </c>
      <c r="M189">
        <v>0</v>
      </c>
      <c r="N189">
        <v>2</v>
      </c>
      <c r="O189">
        <v>2</v>
      </c>
      <c r="P189">
        <v>2</v>
      </c>
      <c r="Q189">
        <v>2</v>
      </c>
      <c r="R189">
        <v>2</v>
      </c>
      <c r="S189">
        <v>2</v>
      </c>
      <c r="T189">
        <v>2</v>
      </c>
      <c r="U189">
        <v>2</v>
      </c>
      <c r="V189">
        <v>2</v>
      </c>
      <c r="W189">
        <v>2</v>
      </c>
      <c r="X189">
        <v>2</v>
      </c>
      <c r="Y189">
        <v>2</v>
      </c>
      <c r="Z189">
        <v>2</v>
      </c>
      <c r="AA189">
        <v>2</v>
      </c>
      <c r="AB189">
        <v>2</v>
      </c>
      <c r="AC189">
        <v>2</v>
      </c>
      <c r="AD189">
        <v>2</v>
      </c>
      <c r="AE189">
        <v>2</v>
      </c>
      <c r="AF189">
        <v>2</v>
      </c>
      <c r="AG189">
        <v>2</v>
      </c>
      <c r="AH189">
        <v>2</v>
      </c>
      <c r="AI189">
        <v>2</v>
      </c>
      <c r="AJ189">
        <v>2</v>
      </c>
      <c r="AK189">
        <v>2</v>
      </c>
      <c r="AL189">
        <v>2</v>
      </c>
      <c r="AM189">
        <v>2</v>
      </c>
      <c r="AN189">
        <v>2</v>
      </c>
      <c r="AO189">
        <v>2</v>
      </c>
      <c r="AP189">
        <v>2</v>
      </c>
      <c r="AQ189">
        <v>2</v>
      </c>
      <c r="AR189">
        <v>2</v>
      </c>
      <c r="AS189">
        <v>3</v>
      </c>
      <c r="AT189">
        <v>3</v>
      </c>
      <c r="AU189">
        <v>3</v>
      </c>
      <c r="AV189">
        <v>4</v>
      </c>
      <c r="AW189">
        <v>13</v>
      </c>
      <c r="AX189">
        <v>13</v>
      </c>
      <c r="AY189">
        <v>17</v>
      </c>
      <c r="AZ189">
        <v>17</v>
      </c>
      <c r="BA189">
        <v>20</v>
      </c>
      <c r="BB189">
        <v>20</v>
      </c>
      <c r="BC189">
        <v>28</v>
      </c>
      <c r="BD189">
        <v>45</v>
      </c>
      <c r="BE189">
        <v>59</v>
      </c>
      <c r="BF189">
        <v>63</v>
      </c>
      <c r="BG189">
        <v>90</v>
      </c>
      <c r="BH189">
        <v>114</v>
      </c>
      <c r="BI189">
        <v>147</v>
      </c>
      <c r="BJ189">
        <v>199</v>
      </c>
      <c r="BK189">
        <v>253</v>
      </c>
      <c r="BL189">
        <v>306</v>
      </c>
      <c r="BM189">
        <v>367</v>
      </c>
      <c r="BN189">
        <v>438</v>
      </c>
      <c r="BO189">
        <v>495</v>
      </c>
      <c r="BP189">
        <v>658</v>
      </c>
      <c r="BQ189">
        <v>840</v>
      </c>
      <c r="BR189">
        <v>1036</v>
      </c>
      <c r="BS189">
        <v>1264</v>
      </c>
      <c r="BT189">
        <v>1534</v>
      </c>
      <c r="BU189">
        <v>1836</v>
      </c>
      <c r="BV189">
        <v>2337</v>
      </c>
      <c r="BW189">
        <v>2777</v>
      </c>
    </row>
    <row r="190" spans="2:75" x14ac:dyDescent="0.25">
      <c r="B190" t="s">
        <v>380</v>
      </c>
      <c r="C190">
        <v>-1.9402999999999999</v>
      </c>
      <c r="D190">
        <v>29.873899999999999</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1</v>
      </c>
      <c r="BF190">
        <v>1</v>
      </c>
      <c r="BG190">
        <v>5</v>
      </c>
      <c r="BH190">
        <v>7</v>
      </c>
      <c r="BI190">
        <v>8</v>
      </c>
      <c r="BJ190">
        <v>8</v>
      </c>
      <c r="BK190">
        <v>17</v>
      </c>
      <c r="BL190">
        <v>17</v>
      </c>
      <c r="BM190">
        <v>19</v>
      </c>
      <c r="BN190">
        <v>36</v>
      </c>
      <c r="BO190">
        <v>40</v>
      </c>
      <c r="BP190">
        <v>41</v>
      </c>
      <c r="BQ190">
        <v>50</v>
      </c>
      <c r="BR190">
        <v>54</v>
      </c>
      <c r="BS190">
        <v>60</v>
      </c>
      <c r="BT190">
        <v>70</v>
      </c>
      <c r="BU190">
        <v>70</v>
      </c>
      <c r="BV190">
        <v>75</v>
      </c>
      <c r="BW190">
        <v>82</v>
      </c>
    </row>
    <row r="191" spans="2:75" x14ac:dyDescent="0.25">
      <c r="B191" t="s">
        <v>381</v>
      </c>
      <c r="C191">
        <v>13.9094</v>
      </c>
      <c r="D191">
        <v>-60.978900000000003</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1</v>
      </c>
      <c r="BF191">
        <v>2</v>
      </c>
      <c r="BG191">
        <v>2</v>
      </c>
      <c r="BH191">
        <v>2</v>
      </c>
      <c r="BI191">
        <v>2</v>
      </c>
      <c r="BJ191">
        <v>2</v>
      </c>
      <c r="BK191">
        <v>2</v>
      </c>
      <c r="BL191">
        <v>2</v>
      </c>
      <c r="BM191">
        <v>2</v>
      </c>
      <c r="BN191">
        <v>3</v>
      </c>
      <c r="BO191">
        <v>3</v>
      </c>
      <c r="BP191">
        <v>3</v>
      </c>
      <c r="BQ191">
        <v>3</v>
      </c>
      <c r="BR191">
        <v>3</v>
      </c>
      <c r="BS191">
        <v>3</v>
      </c>
      <c r="BT191">
        <v>9</v>
      </c>
      <c r="BU191">
        <v>9</v>
      </c>
      <c r="BV191">
        <v>13</v>
      </c>
      <c r="BW191">
        <v>13</v>
      </c>
    </row>
    <row r="192" spans="2:75" x14ac:dyDescent="0.25">
      <c r="B192" t="s">
        <v>382</v>
      </c>
      <c r="C192">
        <v>12.984299999999999</v>
      </c>
      <c r="D192">
        <v>-61.287199999999999</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1</v>
      </c>
      <c r="BF192">
        <v>1</v>
      </c>
      <c r="BG192">
        <v>1</v>
      </c>
      <c r="BH192">
        <v>1</v>
      </c>
      <c r="BI192">
        <v>1</v>
      </c>
      <c r="BJ192">
        <v>1</v>
      </c>
      <c r="BK192">
        <v>1</v>
      </c>
      <c r="BL192">
        <v>1</v>
      </c>
      <c r="BM192">
        <v>1</v>
      </c>
      <c r="BN192">
        <v>1</v>
      </c>
      <c r="BO192">
        <v>1</v>
      </c>
      <c r="BP192">
        <v>1</v>
      </c>
      <c r="BQ192">
        <v>1</v>
      </c>
      <c r="BR192">
        <v>1</v>
      </c>
      <c r="BS192">
        <v>1</v>
      </c>
      <c r="BT192">
        <v>1</v>
      </c>
      <c r="BU192">
        <v>1</v>
      </c>
      <c r="BV192">
        <v>1</v>
      </c>
      <c r="BW192">
        <v>1</v>
      </c>
    </row>
    <row r="193" spans="2:75" x14ac:dyDescent="0.25">
      <c r="B193" t="s">
        <v>88</v>
      </c>
      <c r="C193">
        <v>43.942399999999999</v>
      </c>
      <c r="D193">
        <v>12.457800000000001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1</v>
      </c>
      <c r="AP193">
        <v>1</v>
      </c>
      <c r="AQ193">
        <v>1</v>
      </c>
      <c r="AR193">
        <v>1</v>
      </c>
      <c r="AS193">
        <v>8</v>
      </c>
      <c r="AT193">
        <v>10</v>
      </c>
      <c r="AU193">
        <v>16</v>
      </c>
      <c r="AV193">
        <v>21</v>
      </c>
      <c r="AW193">
        <v>21</v>
      </c>
      <c r="AX193">
        <v>23</v>
      </c>
      <c r="AY193">
        <v>36</v>
      </c>
      <c r="AZ193">
        <v>36</v>
      </c>
      <c r="BA193">
        <v>51</v>
      </c>
      <c r="BB193">
        <v>62</v>
      </c>
      <c r="BC193">
        <v>69</v>
      </c>
      <c r="BD193">
        <v>80</v>
      </c>
      <c r="BE193">
        <v>80</v>
      </c>
      <c r="BF193">
        <v>101</v>
      </c>
      <c r="BG193">
        <v>109</v>
      </c>
      <c r="BH193">
        <v>109</v>
      </c>
      <c r="BI193">
        <v>119</v>
      </c>
      <c r="BJ193">
        <v>119</v>
      </c>
      <c r="BK193">
        <v>144</v>
      </c>
      <c r="BL193">
        <v>144</v>
      </c>
      <c r="BM193">
        <v>175</v>
      </c>
      <c r="BN193">
        <v>187</v>
      </c>
      <c r="BO193">
        <v>187</v>
      </c>
      <c r="BP193">
        <v>208</v>
      </c>
      <c r="BQ193">
        <v>208</v>
      </c>
      <c r="BR193">
        <v>223</v>
      </c>
      <c r="BS193">
        <v>224</v>
      </c>
      <c r="BT193">
        <v>224</v>
      </c>
      <c r="BU193">
        <v>230</v>
      </c>
      <c r="BV193">
        <v>236</v>
      </c>
      <c r="BW193">
        <v>236</v>
      </c>
    </row>
    <row r="194" spans="2:75" x14ac:dyDescent="0.25">
      <c r="B194" t="s">
        <v>109</v>
      </c>
      <c r="C194">
        <v>24</v>
      </c>
      <c r="D194">
        <v>45</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1</v>
      </c>
      <c r="AT194">
        <v>1</v>
      </c>
      <c r="AU194">
        <v>1</v>
      </c>
      <c r="AV194">
        <v>5</v>
      </c>
      <c r="AW194">
        <v>5</v>
      </c>
      <c r="AX194">
        <v>5</v>
      </c>
      <c r="AY194">
        <v>11</v>
      </c>
      <c r="AZ194">
        <v>15</v>
      </c>
      <c r="BA194">
        <v>20</v>
      </c>
      <c r="BB194">
        <v>21</v>
      </c>
      <c r="BC194">
        <v>45</v>
      </c>
      <c r="BD194">
        <v>86</v>
      </c>
      <c r="BE194">
        <v>103</v>
      </c>
      <c r="BF194">
        <v>103</v>
      </c>
      <c r="BG194">
        <v>118</v>
      </c>
      <c r="BH194">
        <v>171</v>
      </c>
      <c r="BI194">
        <v>171</v>
      </c>
      <c r="BJ194">
        <v>274</v>
      </c>
      <c r="BK194">
        <v>344</v>
      </c>
      <c r="BL194">
        <v>392</v>
      </c>
      <c r="BM194">
        <v>511</v>
      </c>
      <c r="BN194">
        <v>562</v>
      </c>
      <c r="BO194">
        <v>767</v>
      </c>
      <c r="BP194">
        <v>900</v>
      </c>
      <c r="BQ194">
        <v>1012</v>
      </c>
      <c r="BR194">
        <v>1104</v>
      </c>
      <c r="BS194">
        <v>1203</v>
      </c>
      <c r="BT194">
        <v>1299</v>
      </c>
      <c r="BU194">
        <v>1453</v>
      </c>
      <c r="BV194">
        <v>1563</v>
      </c>
      <c r="BW194">
        <v>1720</v>
      </c>
    </row>
    <row r="195" spans="2:75" x14ac:dyDescent="0.25">
      <c r="B195" t="s">
        <v>110</v>
      </c>
      <c r="C195">
        <v>14.497400000000001</v>
      </c>
      <c r="D195">
        <v>-14.452400000000001</v>
      </c>
      <c r="E195">
        <v>0</v>
      </c>
      <c r="F195">
        <v>0</v>
      </c>
      <c r="G195">
        <v>0</v>
      </c>
      <c r="H195">
        <v>0</v>
      </c>
      <c r="I195">
        <v>0</v>
      </c>
      <c r="J195">
        <v>0</v>
      </c>
      <c r="K195">
        <v>0</v>
      </c>
      <c r="L195">
        <v>0</v>
      </c>
      <c r="M195">
        <v>0</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1</v>
      </c>
      <c r="AT195">
        <v>2</v>
      </c>
      <c r="AU195">
        <v>4</v>
      </c>
      <c r="AV195">
        <v>4</v>
      </c>
      <c r="AW195">
        <v>4</v>
      </c>
      <c r="AX195">
        <v>4</v>
      </c>
      <c r="AY195">
        <v>4</v>
      </c>
      <c r="AZ195">
        <v>4</v>
      </c>
      <c r="BA195">
        <v>4</v>
      </c>
      <c r="BB195">
        <v>4</v>
      </c>
      <c r="BC195">
        <v>4</v>
      </c>
      <c r="BD195">
        <v>10</v>
      </c>
      <c r="BE195">
        <v>10</v>
      </c>
      <c r="BF195">
        <v>24</v>
      </c>
      <c r="BG195">
        <v>24</v>
      </c>
      <c r="BH195">
        <v>26</v>
      </c>
      <c r="BI195">
        <v>31</v>
      </c>
      <c r="BJ195">
        <v>31</v>
      </c>
      <c r="BK195">
        <v>38</v>
      </c>
      <c r="BL195">
        <v>47</v>
      </c>
      <c r="BM195">
        <v>67</v>
      </c>
      <c r="BN195">
        <v>79</v>
      </c>
      <c r="BO195">
        <v>86</v>
      </c>
      <c r="BP195">
        <v>99</v>
      </c>
      <c r="BQ195">
        <v>105</v>
      </c>
      <c r="BR195">
        <v>119</v>
      </c>
      <c r="BS195">
        <v>130</v>
      </c>
      <c r="BT195">
        <v>142</v>
      </c>
      <c r="BU195">
        <v>162</v>
      </c>
      <c r="BV195">
        <v>175</v>
      </c>
      <c r="BW195">
        <v>190</v>
      </c>
    </row>
    <row r="196" spans="2:75" x14ac:dyDescent="0.25">
      <c r="B196" t="s">
        <v>130</v>
      </c>
      <c r="C196">
        <v>44.016500000000001</v>
      </c>
      <c r="D196">
        <v>21.0059</v>
      </c>
      <c r="E196">
        <v>0</v>
      </c>
      <c r="F196">
        <v>0</v>
      </c>
      <c r="G196">
        <v>0</v>
      </c>
      <c r="H196">
        <v>0</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1</v>
      </c>
      <c r="AX196">
        <v>1</v>
      </c>
      <c r="AY196">
        <v>1</v>
      </c>
      <c r="AZ196">
        <v>1</v>
      </c>
      <c r="BA196">
        <v>5</v>
      </c>
      <c r="BB196">
        <v>12</v>
      </c>
      <c r="BC196">
        <v>19</v>
      </c>
      <c r="BD196">
        <v>35</v>
      </c>
      <c r="BE196">
        <v>46</v>
      </c>
      <c r="BF196">
        <v>48</v>
      </c>
      <c r="BG196">
        <v>55</v>
      </c>
      <c r="BH196">
        <v>65</v>
      </c>
      <c r="BI196">
        <v>83</v>
      </c>
      <c r="BJ196">
        <v>103</v>
      </c>
      <c r="BK196">
        <v>135</v>
      </c>
      <c r="BL196">
        <v>171</v>
      </c>
      <c r="BM196">
        <v>222</v>
      </c>
      <c r="BN196">
        <v>249</v>
      </c>
      <c r="BO196">
        <v>303</v>
      </c>
      <c r="BP196">
        <v>384</v>
      </c>
      <c r="BQ196">
        <v>384</v>
      </c>
      <c r="BR196">
        <v>457</v>
      </c>
      <c r="BS196">
        <v>659</v>
      </c>
      <c r="BT196">
        <v>741</v>
      </c>
      <c r="BU196">
        <v>785</v>
      </c>
      <c r="BV196">
        <v>900</v>
      </c>
      <c r="BW196">
        <v>1060</v>
      </c>
    </row>
    <row r="197" spans="2:75" x14ac:dyDescent="0.25">
      <c r="B197" t="s">
        <v>372</v>
      </c>
      <c r="C197">
        <v>-4.6795999999999998</v>
      </c>
      <c r="D197">
        <v>55.491999999999997</v>
      </c>
      <c r="E197">
        <v>0</v>
      </c>
      <c r="F197">
        <v>0</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2</v>
      </c>
      <c r="BF197">
        <v>2</v>
      </c>
      <c r="BG197">
        <v>3</v>
      </c>
      <c r="BH197">
        <v>4</v>
      </c>
      <c r="BI197">
        <v>4</v>
      </c>
      <c r="BJ197">
        <v>6</v>
      </c>
      <c r="BK197">
        <v>7</v>
      </c>
      <c r="BL197">
        <v>7</v>
      </c>
      <c r="BM197">
        <v>7</v>
      </c>
      <c r="BN197">
        <v>7</v>
      </c>
      <c r="BO197">
        <v>7</v>
      </c>
      <c r="BP197">
        <v>7</v>
      </c>
      <c r="BQ197">
        <v>7</v>
      </c>
      <c r="BR197">
        <v>7</v>
      </c>
      <c r="BS197">
        <v>8</v>
      </c>
      <c r="BT197">
        <v>8</v>
      </c>
      <c r="BU197">
        <v>8</v>
      </c>
      <c r="BV197">
        <v>10</v>
      </c>
      <c r="BW197">
        <v>10</v>
      </c>
    </row>
    <row r="198" spans="2:75" x14ac:dyDescent="0.25">
      <c r="B198" t="s">
        <v>40</v>
      </c>
      <c r="C198">
        <v>1.2833000000000001</v>
      </c>
      <c r="D198">
        <v>103.83329999999999</v>
      </c>
      <c r="E198">
        <v>0</v>
      </c>
      <c r="F198">
        <v>1</v>
      </c>
      <c r="G198">
        <v>3</v>
      </c>
      <c r="H198">
        <v>3</v>
      </c>
      <c r="I198">
        <v>4</v>
      </c>
      <c r="J198">
        <v>5</v>
      </c>
      <c r="K198">
        <v>7</v>
      </c>
      <c r="L198">
        <v>7</v>
      </c>
      <c r="M198">
        <v>10</v>
      </c>
      <c r="N198">
        <v>13</v>
      </c>
      <c r="O198">
        <v>16</v>
      </c>
      <c r="P198">
        <v>18</v>
      </c>
      <c r="Q198">
        <v>18</v>
      </c>
      <c r="R198">
        <v>24</v>
      </c>
      <c r="S198">
        <v>28</v>
      </c>
      <c r="T198">
        <v>28</v>
      </c>
      <c r="U198">
        <v>30</v>
      </c>
      <c r="V198">
        <v>33</v>
      </c>
      <c r="W198">
        <v>40</v>
      </c>
      <c r="X198">
        <v>45</v>
      </c>
      <c r="Y198">
        <v>47</v>
      </c>
      <c r="Z198">
        <v>50</v>
      </c>
      <c r="AA198">
        <v>58</v>
      </c>
      <c r="AB198">
        <v>67</v>
      </c>
      <c r="AC198">
        <v>72</v>
      </c>
      <c r="AD198">
        <v>75</v>
      </c>
      <c r="AE198">
        <v>77</v>
      </c>
      <c r="AF198">
        <v>81</v>
      </c>
      <c r="AG198">
        <v>84</v>
      </c>
      <c r="AH198">
        <v>84</v>
      </c>
      <c r="AI198">
        <v>85</v>
      </c>
      <c r="AJ198">
        <v>85</v>
      </c>
      <c r="AK198">
        <v>89</v>
      </c>
      <c r="AL198">
        <v>89</v>
      </c>
      <c r="AM198">
        <v>91</v>
      </c>
      <c r="AN198">
        <v>93</v>
      </c>
      <c r="AO198">
        <v>93</v>
      </c>
      <c r="AP198">
        <v>93</v>
      </c>
      <c r="AQ198">
        <v>102</v>
      </c>
      <c r="AR198">
        <v>106</v>
      </c>
      <c r="AS198">
        <v>108</v>
      </c>
      <c r="AT198">
        <v>110</v>
      </c>
      <c r="AU198">
        <v>110</v>
      </c>
      <c r="AV198">
        <v>117</v>
      </c>
      <c r="AW198">
        <v>130</v>
      </c>
      <c r="AX198">
        <v>138</v>
      </c>
      <c r="AY198">
        <v>150</v>
      </c>
      <c r="AZ198">
        <v>150</v>
      </c>
      <c r="BA198">
        <v>160</v>
      </c>
      <c r="BB198">
        <v>178</v>
      </c>
      <c r="BC198">
        <v>178</v>
      </c>
      <c r="BD198">
        <v>200</v>
      </c>
      <c r="BE198">
        <v>212</v>
      </c>
      <c r="BF198">
        <v>226</v>
      </c>
      <c r="BG198">
        <v>243</v>
      </c>
      <c r="BH198">
        <v>266</v>
      </c>
      <c r="BI198">
        <v>313</v>
      </c>
      <c r="BJ198">
        <v>345</v>
      </c>
      <c r="BK198">
        <v>385</v>
      </c>
      <c r="BL198">
        <v>432</v>
      </c>
      <c r="BM198">
        <v>455</v>
      </c>
      <c r="BN198">
        <v>509</v>
      </c>
      <c r="BO198">
        <v>558</v>
      </c>
      <c r="BP198">
        <v>631</v>
      </c>
      <c r="BQ198">
        <v>683</v>
      </c>
      <c r="BR198">
        <v>732</v>
      </c>
      <c r="BS198">
        <v>802</v>
      </c>
      <c r="BT198">
        <v>844</v>
      </c>
      <c r="BU198">
        <v>879</v>
      </c>
      <c r="BV198">
        <v>926</v>
      </c>
      <c r="BW198">
        <v>1000</v>
      </c>
    </row>
    <row r="199" spans="2:75" x14ac:dyDescent="0.25">
      <c r="B199" t="s">
        <v>131</v>
      </c>
      <c r="C199">
        <v>48.668999999999997</v>
      </c>
      <c r="D199">
        <v>19.699000000000002</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1</v>
      </c>
      <c r="AX199">
        <v>1</v>
      </c>
      <c r="AY199">
        <v>3</v>
      </c>
      <c r="AZ199">
        <v>3</v>
      </c>
      <c r="BA199">
        <v>7</v>
      </c>
      <c r="BB199">
        <v>10</v>
      </c>
      <c r="BC199">
        <v>16</v>
      </c>
      <c r="BD199">
        <v>32</v>
      </c>
      <c r="BE199">
        <v>44</v>
      </c>
      <c r="BF199">
        <v>54</v>
      </c>
      <c r="BG199">
        <v>63</v>
      </c>
      <c r="BH199">
        <v>72</v>
      </c>
      <c r="BI199">
        <v>105</v>
      </c>
      <c r="BJ199">
        <v>123</v>
      </c>
      <c r="BK199">
        <v>137</v>
      </c>
      <c r="BL199">
        <v>178</v>
      </c>
      <c r="BM199">
        <v>185</v>
      </c>
      <c r="BN199">
        <v>186</v>
      </c>
      <c r="BO199">
        <v>204</v>
      </c>
      <c r="BP199">
        <v>216</v>
      </c>
      <c r="BQ199">
        <v>226</v>
      </c>
      <c r="BR199">
        <v>269</v>
      </c>
      <c r="BS199">
        <v>292</v>
      </c>
      <c r="BT199">
        <v>314</v>
      </c>
      <c r="BU199">
        <v>336</v>
      </c>
      <c r="BV199">
        <v>363</v>
      </c>
      <c r="BW199">
        <v>400</v>
      </c>
    </row>
    <row r="200" spans="2:75" x14ac:dyDescent="0.25">
      <c r="B200" t="s">
        <v>123</v>
      </c>
      <c r="C200">
        <v>46.151200000000003</v>
      </c>
      <c r="D200">
        <v>14.9955</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0</v>
      </c>
      <c r="AN200">
        <v>0</v>
      </c>
      <c r="AO200">
        <v>0</v>
      </c>
      <c r="AP200">
        <v>0</v>
      </c>
      <c r="AQ200">
        <v>0</v>
      </c>
      <c r="AR200">
        <v>0</v>
      </c>
      <c r="AS200">
        <v>0</v>
      </c>
      <c r="AT200">
        <v>0</v>
      </c>
      <c r="AU200">
        <v>0</v>
      </c>
      <c r="AV200">
        <v>2</v>
      </c>
      <c r="AW200">
        <v>7</v>
      </c>
      <c r="AX200">
        <v>7</v>
      </c>
      <c r="AY200">
        <v>16</v>
      </c>
      <c r="AZ200">
        <v>16</v>
      </c>
      <c r="BA200">
        <v>31</v>
      </c>
      <c r="BB200">
        <v>57</v>
      </c>
      <c r="BC200">
        <v>89</v>
      </c>
      <c r="BD200">
        <v>141</v>
      </c>
      <c r="BE200">
        <v>181</v>
      </c>
      <c r="BF200">
        <v>219</v>
      </c>
      <c r="BG200">
        <v>253</v>
      </c>
      <c r="BH200">
        <v>275</v>
      </c>
      <c r="BI200">
        <v>275</v>
      </c>
      <c r="BJ200">
        <v>286</v>
      </c>
      <c r="BK200">
        <v>341</v>
      </c>
      <c r="BL200">
        <v>383</v>
      </c>
      <c r="BM200">
        <v>414</v>
      </c>
      <c r="BN200">
        <v>442</v>
      </c>
      <c r="BO200">
        <v>480</v>
      </c>
      <c r="BP200">
        <v>528</v>
      </c>
      <c r="BQ200">
        <v>562</v>
      </c>
      <c r="BR200">
        <v>632</v>
      </c>
      <c r="BS200">
        <v>684</v>
      </c>
      <c r="BT200">
        <v>730</v>
      </c>
      <c r="BU200">
        <v>756</v>
      </c>
      <c r="BV200">
        <v>802</v>
      </c>
      <c r="BW200">
        <v>841</v>
      </c>
    </row>
    <row r="201" spans="2:75" x14ac:dyDescent="0.25">
      <c r="B201" t="s">
        <v>943</v>
      </c>
      <c r="C201">
        <v>5.1520999999999999</v>
      </c>
      <c r="D201">
        <v>46.199599999999997</v>
      </c>
      <c r="E201">
        <v>0</v>
      </c>
      <c r="F201">
        <v>0</v>
      </c>
      <c r="G201">
        <v>0</v>
      </c>
      <c r="H201">
        <v>0</v>
      </c>
      <c r="I201">
        <v>0</v>
      </c>
      <c r="J201">
        <v>0</v>
      </c>
      <c r="K201">
        <v>0</v>
      </c>
      <c r="L201">
        <v>0</v>
      </c>
      <c r="M201">
        <v>0</v>
      </c>
      <c r="N201">
        <v>0</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1</v>
      </c>
      <c r="BH201">
        <v>1</v>
      </c>
      <c r="BI201">
        <v>1</v>
      </c>
      <c r="BJ201">
        <v>1</v>
      </c>
      <c r="BK201">
        <v>1</v>
      </c>
      <c r="BL201">
        <v>1</v>
      </c>
      <c r="BM201">
        <v>1</v>
      </c>
      <c r="BN201">
        <v>1</v>
      </c>
      <c r="BO201">
        <v>1</v>
      </c>
      <c r="BP201">
        <v>1</v>
      </c>
      <c r="BQ201">
        <v>2</v>
      </c>
      <c r="BR201">
        <v>3</v>
      </c>
      <c r="BS201">
        <v>3</v>
      </c>
      <c r="BT201">
        <v>3</v>
      </c>
      <c r="BU201">
        <v>3</v>
      </c>
      <c r="BV201">
        <v>5</v>
      </c>
      <c r="BW201">
        <v>5</v>
      </c>
    </row>
    <row r="202" spans="2:75" x14ac:dyDescent="0.25">
      <c r="B202" t="s">
        <v>124</v>
      </c>
      <c r="C202">
        <v>-30.5595</v>
      </c>
      <c r="D202">
        <v>22.9375</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0</v>
      </c>
      <c r="AU202">
        <v>0</v>
      </c>
      <c r="AV202">
        <v>1</v>
      </c>
      <c r="AW202">
        <v>1</v>
      </c>
      <c r="AX202">
        <v>1</v>
      </c>
      <c r="AY202">
        <v>3</v>
      </c>
      <c r="AZ202">
        <v>3</v>
      </c>
      <c r="BA202">
        <v>7</v>
      </c>
      <c r="BB202">
        <v>13</v>
      </c>
      <c r="BC202">
        <v>17</v>
      </c>
      <c r="BD202">
        <v>24</v>
      </c>
      <c r="BE202">
        <v>38</v>
      </c>
      <c r="BF202">
        <v>51</v>
      </c>
      <c r="BG202">
        <v>62</v>
      </c>
      <c r="BH202">
        <v>62</v>
      </c>
      <c r="BI202">
        <v>116</v>
      </c>
      <c r="BJ202">
        <v>150</v>
      </c>
      <c r="BK202">
        <v>202</v>
      </c>
      <c r="BL202">
        <v>240</v>
      </c>
      <c r="BM202">
        <v>274</v>
      </c>
      <c r="BN202">
        <v>402</v>
      </c>
      <c r="BO202">
        <v>554</v>
      </c>
      <c r="BP202">
        <v>709</v>
      </c>
      <c r="BQ202">
        <v>927</v>
      </c>
      <c r="BR202">
        <v>1170</v>
      </c>
      <c r="BS202">
        <v>1187</v>
      </c>
      <c r="BT202">
        <v>1280</v>
      </c>
      <c r="BU202">
        <v>1326</v>
      </c>
      <c r="BV202">
        <v>1353</v>
      </c>
      <c r="BW202">
        <v>1380</v>
      </c>
    </row>
    <row r="203" spans="2:75" x14ac:dyDescent="0.25">
      <c r="B203" t="s">
        <v>61</v>
      </c>
      <c r="C203">
        <v>40</v>
      </c>
      <c r="D203">
        <v>-4</v>
      </c>
      <c r="E203">
        <v>0</v>
      </c>
      <c r="F203">
        <v>0</v>
      </c>
      <c r="G203">
        <v>0</v>
      </c>
      <c r="H203">
        <v>0</v>
      </c>
      <c r="I203">
        <v>0</v>
      </c>
      <c r="J203">
        <v>0</v>
      </c>
      <c r="K203">
        <v>0</v>
      </c>
      <c r="L203">
        <v>0</v>
      </c>
      <c r="M203">
        <v>0</v>
      </c>
      <c r="N203">
        <v>0</v>
      </c>
      <c r="O203">
        <v>1</v>
      </c>
      <c r="P203">
        <v>1</v>
      </c>
      <c r="Q203">
        <v>1</v>
      </c>
      <c r="R203">
        <v>1</v>
      </c>
      <c r="S203">
        <v>1</v>
      </c>
      <c r="T203">
        <v>1</v>
      </c>
      <c r="U203">
        <v>1</v>
      </c>
      <c r="V203">
        <v>1</v>
      </c>
      <c r="W203">
        <v>2</v>
      </c>
      <c r="X203">
        <v>2</v>
      </c>
      <c r="Y203">
        <v>2</v>
      </c>
      <c r="Z203">
        <v>2</v>
      </c>
      <c r="AA203">
        <v>2</v>
      </c>
      <c r="AB203">
        <v>2</v>
      </c>
      <c r="AC203">
        <v>2</v>
      </c>
      <c r="AD203">
        <v>2</v>
      </c>
      <c r="AE203">
        <v>2</v>
      </c>
      <c r="AF203">
        <v>2</v>
      </c>
      <c r="AG203">
        <v>2</v>
      </c>
      <c r="AH203">
        <v>2</v>
      </c>
      <c r="AI203">
        <v>2</v>
      </c>
      <c r="AJ203">
        <v>2</v>
      </c>
      <c r="AK203">
        <v>2</v>
      </c>
      <c r="AL203">
        <v>2</v>
      </c>
      <c r="AM203">
        <v>6</v>
      </c>
      <c r="AN203">
        <v>13</v>
      </c>
      <c r="AO203">
        <v>15</v>
      </c>
      <c r="AP203">
        <v>32</v>
      </c>
      <c r="AQ203">
        <v>45</v>
      </c>
      <c r="AR203">
        <v>84</v>
      </c>
      <c r="AS203">
        <v>120</v>
      </c>
      <c r="AT203">
        <v>165</v>
      </c>
      <c r="AU203">
        <v>222</v>
      </c>
      <c r="AV203">
        <v>259</v>
      </c>
      <c r="AW203">
        <v>400</v>
      </c>
      <c r="AX203">
        <v>500</v>
      </c>
      <c r="AY203">
        <v>673</v>
      </c>
      <c r="AZ203">
        <v>1073</v>
      </c>
      <c r="BA203">
        <v>1695</v>
      </c>
      <c r="BB203">
        <v>2277</v>
      </c>
      <c r="BC203">
        <v>2277</v>
      </c>
      <c r="BD203">
        <v>5232</v>
      </c>
      <c r="BE203">
        <v>6391</v>
      </c>
      <c r="BF203">
        <v>7798</v>
      </c>
      <c r="BG203">
        <v>9942</v>
      </c>
      <c r="BH203">
        <v>11748</v>
      </c>
      <c r="BI203">
        <v>13910</v>
      </c>
      <c r="BJ203">
        <v>17963</v>
      </c>
      <c r="BK203">
        <v>20410</v>
      </c>
      <c r="BL203">
        <v>25374</v>
      </c>
      <c r="BM203">
        <v>28768</v>
      </c>
      <c r="BN203">
        <v>35136</v>
      </c>
      <c r="BO203">
        <v>39885</v>
      </c>
      <c r="BP203">
        <v>49515</v>
      </c>
      <c r="BQ203">
        <v>57786</v>
      </c>
      <c r="BR203">
        <v>65719</v>
      </c>
      <c r="BS203">
        <v>73235</v>
      </c>
      <c r="BT203">
        <v>80110</v>
      </c>
      <c r="BU203">
        <v>87956</v>
      </c>
      <c r="BV203">
        <v>95923</v>
      </c>
      <c r="BW203">
        <v>104118</v>
      </c>
    </row>
    <row r="204" spans="2:75" x14ac:dyDescent="0.25">
      <c r="B204" t="s">
        <v>52</v>
      </c>
      <c r="C204">
        <v>7</v>
      </c>
      <c r="D204">
        <v>81</v>
      </c>
      <c r="E204">
        <v>0</v>
      </c>
      <c r="F204">
        <v>0</v>
      </c>
      <c r="G204">
        <v>0</v>
      </c>
      <c r="H204">
        <v>0</v>
      </c>
      <c r="I204">
        <v>0</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c r="AR204">
        <v>1</v>
      </c>
      <c r="AS204">
        <v>1</v>
      </c>
      <c r="AT204">
        <v>1</v>
      </c>
      <c r="AU204">
        <v>1</v>
      </c>
      <c r="AV204">
        <v>1</v>
      </c>
      <c r="AW204">
        <v>1</v>
      </c>
      <c r="AX204">
        <v>1</v>
      </c>
      <c r="AY204">
        <v>1</v>
      </c>
      <c r="AZ204">
        <v>1</v>
      </c>
      <c r="BA204">
        <v>1</v>
      </c>
      <c r="BB204">
        <v>2</v>
      </c>
      <c r="BC204">
        <v>2</v>
      </c>
      <c r="BD204">
        <v>6</v>
      </c>
      <c r="BE204">
        <v>10</v>
      </c>
      <c r="BF204">
        <v>18</v>
      </c>
      <c r="BG204">
        <v>28</v>
      </c>
      <c r="BH204">
        <v>44</v>
      </c>
      <c r="BI204">
        <v>51</v>
      </c>
      <c r="BJ204">
        <v>60</v>
      </c>
      <c r="BK204">
        <v>73</v>
      </c>
      <c r="BL204">
        <v>77</v>
      </c>
      <c r="BM204">
        <v>82</v>
      </c>
      <c r="BN204">
        <v>97</v>
      </c>
      <c r="BO204">
        <v>102</v>
      </c>
      <c r="BP204">
        <v>102</v>
      </c>
      <c r="BQ204">
        <v>106</v>
      </c>
      <c r="BR204">
        <v>106</v>
      </c>
      <c r="BS204">
        <v>113</v>
      </c>
      <c r="BT204">
        <v>117</v>
      </c>
      <c r="BU204">
        <v>122</v>
      </c>
      <c r="BV204">
        <v>143</v>
      </c>
      <c r="BW204">
        <v>146</v>
      </c>
    </row>
    <row r="205" spans="2:75" x14ac:dyDescent="0.25">
      <c r="B205" t="s">
        <v>204</v>
      </c>
      <c r="C205">
        <v>12.8628</v>
      </c>
      <c r="D205">
        <v>30.217600000000001</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1</v>
      </c>
      <c r="BE205">
        <v>1</v>
      </c>
      <c r="BF205">
        <v>1</v>
      </c>
      <c r="BG205">
        <v>1</v>
      </c>
      <c r="BH205">
        <v>1</v>
      </c>
      <c r="BI205">
        <v>2</v>
      </c>
      <c r="BJ205">
        <v>2</v>
      </c>
      <c r="BK205">
        <v>2</v>
      </c>
      <c r="BL205">
        <v>2</v>
      </c>
      <c r="BM205">
        <v>2</v>
      </c>
      <c r="BN205">
        <v>2</v>
      </c>
      <c r="BO205">
        <v>3</v>
      </c>
      <c r="BP205">
        <v>3</v>
      </c>
      <c r="BQ205">
        <v>3</v>
      </c>
      <c r="BR205">
        <v>3</v>
      </c>
      <c r="BS205">
        <v>5</v>
      </c>
      <c r="BT205">
        <v>6</v>
      </c>
      <c r="BU205">
        <v>6</v>
      </c>
      <c r="BV205">
        <v>7</v>
      </c>
      <c r="BW205">
        <v>7</v>
      </c>
    </row>
    <row r="206" spans="2:75" x14ac:dyDescent="0.25">
      <c r="B206" t="s">
        <v>383</v>
      </c>
      <c r="C206">
        <v>3.9192999999999998</v>
      </c>
      <c r="D206">
        <v>-56.027799999999999</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0</v>
      </c>
      <c r="AX206">
        <v>0</v>
      </c>
      <c r="AY206">
        <v>0</v>
      </c>
      <c r="AZ206">
        <v>0</v>
      </c>
      <c r="BA206">
        <v>0</v>
      </c>
      <c r="BB206">
        <v>0</v>
      </c>
      <c r="BC206">
        <v>0</v>
      </c>
      <c r="BD206">
        <v>0</v>
      </c>
      <c r="BE206">
        <v>1</v>
      </c>
      <c r="BF206">
        <v>1</v>
      </c>
      <c r="BG206">
        <v>1</v>
      </c>
      <c r="BH206">
        <v>1</v>
      </c>
      <c r="BI206">
        <v>1</v>
      </c>
      <c r="BJ206">
        <v>1</v>
      </c>
      <c r="BK206">
        <v>4</v>
      </c>
      <c r="BL206">
        <v>4</v>
      </c>
      <c r="BM206">
        <v>5</v>
      </c>
      <c r="BN206">
        <v>5</v>
      </c>
      <c r="BO206">
        <v>7</v>
      </c>
      <c r="BP206">
        <v>8</v>
      </c>
      <c r="BQ206">
        <v>8</v>
      </c>
      <c r="BR206">
        <v>8</v>
      </c>
      <c r="BS206">
        <v>8</v>
      </c>
      <c r="BT206">
        <v>8</v>
      </c>
      <c r="BU206">
        <v>8</v>
      </c>
      <c r="BV206">
        <v>9</v>
      </c>
      <c r="BW206">
        <v>10</v>
      </c>
    </row>
    <row r="207" spans="2:75" x14ac:dyDescent="0.25">
      <c r="B207" t="s">
        <v>60</v>
      </c>
      <c r="C207">
        <v>63</v>
      </c>
      <c r="D207">
        <v>16</v>
      </c>
      <c r="E207">
        <v>0</v>
      </c>
      <c r="F207">
        <v>0</v>
      </c>
      <c r="G207">
        <v>0</v>
      </c>
      <c r="H207">
        <v>0</v>
      </c>
      <c r="I207">
        <v>0</v>
      </c>
      <c r="J207">
        <v>0</v>
      </c>
      <c r="K207">
        <v>0</v>
      </c>
      <c r="L207">
        <v>0</v>
      </c>
      <c r="M207">
        <v>0</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2</v>
      </c>
      <c r="AO207">
        <v>7</v>
      </c>
      <c r="AP207">
        <v>7</v>
      </c>
      <c r="AQ207">
        <v>12</v>
      </c>
      <c r="AR207">
        <v>14</v>
      </c>
      <c r="AS207">
        <v>15</v>
      </c>
      <c r="AT207">
        <v>21</v>
      </c>
      <c r="AU207">
        <v>35</v>
      </c>
      <c r="AV207">
        <v>94</v>
      </c>
      <c r="AW207">
        <v>101</v>
      </c>
      <c r="AX207">
        <v>161</v>
      </c>
      <c r="AY207">
        <v>203</v>
      </c>
      <c r="AZ207">
        <v>248</v>
      </c>
      <c r="BA207">
        <v>355</v>
      </c>
      <c r="BB207">
        <v>500</v>
      </c>
      <c r="BC207">
        <v>599</v>
      </c>
      <c r="BD207">
        <v>814</v>
      </c>
      <c r="BE207">
        <v>961</v>
      </c>
      <c r="BF207">
        <v>1022</v>
      </c>
      <c r="BG207">
        <v>1103</v>
      </c>
      <c r="BH207">
        <v>1190</v>
      </c>
      <c r="BI207">
        <v>1279</v>
      </c>
      <c r="BJ207">
        <v>1439</v>
      </c>
      <c r="BK207">
        <v>1639</v>
      </c>
      <c r="BL207">
        <v>1763</v>
      </c>
      <c r="BM207">
        <v>1934</v>
      </c>
      <c r="BN207">
        <v>2046</v>
      </c>
      <c r="BO207">
        <v>2286</v>
      </c>
      <c r="BP207">
        <v>2526</v>
      </c>
      <c r="BQ207">
        <v>2840</v>
      </c>
      <c r="BR207">
        <v>3069</v>
      </c>
      <c r="BS207">
        <v>3447</v>
      </c>
      <c r="BT207">
        <v>3700</v>
      </c>
      <c r="BU207">
        <v>4028</v>
      </c>
      <c r="BV207">
        <v>4435</v>
      </c>
      <c r="BW207">
        <v>4947</v>
      </c>
    </row>
    <row r="208" spans="2:75" x14ac:dyDescent="0.25">
      <c r="B208" t="s">
        <v>75</v>
      </c>
      <c r="C208">
        <v>46.818199999999997</v>
      </c>
      <c r="D208">
        <v>8.2274999999999991</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v>1</v>
      </c>
      <c r="AO208">
        <v>8</v>
      </c>
      <c r="AP208">
        <v>8</v>
      </c>
      <c r="AQ208">
        <v>18</v>
      </c>
      <c r="AR208">
        <v>27</v>
      </c>
      <c r="AS208">
        <v>42</v>
      </c>
      <c r="AT208">
        <v>56</v>
      </c>
      <c r="AU208">
        <v>90</v>
      </c>
      <c r="AV208">
        <v>114</v>
      </c>
      <c r="AW208">
        <v>214</v>
      </c>
      <c r="AX208">
        <v>268</v>
      </c>
      <c r="AY208">
        <v>337</v>
      </c>
      <c r="AZ208">
        <v>374</v>
      </c>
      <c r="BA208">
        <v>491</v>
      </c>
      <c r="BB208">
        <v>652</v>
      </c>
      <c r="BC208">
        <v>652</v>
      </c>
      <c r="BD208">
        <v>1139</v>
      </c>
      <c r="BE208">
        <v>1359</v>
      </c>
      <c r="BF208">
        <v>2200</v>
      </c>
      <c r="BG208">
        <v>2200</v>
      </c>
      <c r="BH208">
        <v>2700</v>
      </c>
      <c r="BI208">
        <v>3028</v>
      </c>
      <c r="BJ208">
        <v>4075</v>
      </c>
      <c r="BK208">
        <v>5294</v>
      </c>
      <c r="BL208">
        <v>6575</v>
      </c>
      <c r="BM208">
        <v>7474</v>
      </c>
      <c r="BN208">
        <v>8795</v>
      </c>
      <c r="BO208">
        <v>9877</v>
      </c>
      <c r="BP208">
        <v>10897</v>
      </c>
      <c r="BQ208">
        <v>11811</v>
      </c>
      <c r="BR208">
        <v>12928</v>
      </c>
      <c r="BS208">
        <v>14076</v>
      </c>
      <c r="BT208">
        <v>14829</v>
      </c>
      <c r="BU208">
        <v>15922</v>
      </c>
      <c r="BV208">
        <v>16605</v>
      </c>
      <c r="BW208">
        <v>17768</v>
      </c>
    </row>
    <row r="209" spans="1:75" x14ac:dyDescent="0.25">
      <c r="B209" t="s">
        <v>178</v>
      </c>
      <c r="C209">
        <v>23.7</v>
      </c>
      <c r="D209">
        <v>121</v>
      </c>
      <c r="E209">
        <v>1</v>
      </c>
      <c r="F209">
        <v>1</v>
      </c>
      <c r="G209">
        <v>3</v>
      </c>
      <c r="H209">
        <v>3</v>
      </c>
      <c r="I209">
        <v>4</v>
      </c>
      <c r="J209">
        <v>5</v>
      </c>
      <c r="K209">
        <v>8</v>
      </c>
      <c r="L209">
        <v>8</v>
      </c>
      <c r="M209">
        <v>9</v>
      </c>
      <c r="N209">
        <v>10</v>
      </c>
      <c r="O209">
        <v>10</v>
      </c>
      <c r="P209">
        <v>10</v>
      </c>
      <c r="Q209">
        <v>10</v>
      </c>
      <c r="R209">
        <v>11</v>
      </c>
      <c r="S209">
        <v>11</v>
      </c>
      <c r="T209">
        <v>16</v>
      </c>
      <c r="U209">
        <v>16</v>
      </c>
      <c r="V209">
        <v>17</v>
      </c>
      <c r="W209">
        <v>18</v>
      </c>
      <c r="X209">
        <v>18</v>
      </c>
      <c r="Y209">
        <v>18</v>
      </c>
      <c r="Z209">
        <v>18</v>
      </c>
      <c r="AA209">
        <v>18</v>
      </c>
      <c r="AB209">
        <v>18</v>
      </c>
      <c r="AC209">
        <v>18</v>
      </c>
      <c r="AD209">
        <v>20</v>
      </c>
      <c r="AE209">
        <v>22</v>
      </c>
      <c r="AF209">
        <v>22</v>
      </c>
      <c r="AG209">
        <v>23</v>
      </c>
      <c r="AH209">
        <v>24</v>
      </c>
      <c r="AI209">
        <v>26</v>
      </c>
      <c r="AJ209">
        <v>26</v>
      </c>
      <c r="AK209">
        <v>28</v>
      </c>
      <c r="AL209">
        <v>30</v>
      </c>
      <c r="AM209">
        <v>31</v>
      </c>
      <c r="AN209">
        <v>32</v>
      </c>
      <c r="AO209">
        <v>32</v>
      </c>
      <c r="AP209">
        <v>34</v>
      </c>
      <c r="AQ209">
        <v>39</v>
      </c>
      <c r="AR209">
        <v>40</v>
      </c>
      <c r="AS209">
        <v>41</v>
      </c>
      <c r="AT209">
        <v>42</v>
      </c>
      <c r="AU209">
        <v>42</v>
      </c>
      <c r="AV209">
        <v>44</v>
      </c>
      <c r="AW209">
        <v>45</v>
      </c>
      <c r="AX209">
        <v>45</v>
      </c>
      <c r="AY209">
        <v>45</v>
      </c>
      <c r="AZ209">
        <v>45</v>
      </c>
      <c r="BA209">
        <v>47</v>
      </c>
      <c r="BB209">
        <v>48</v>
      </c>
      <c r="BC209">
        <v>49</v>
      </c>
      <c r="BD209">
        <v>50</v>
      </c>
      <c r="BE209">
        <v>53</v>
      </c>
      <c r="BF209">
        <v>59</v>
      </c>
      <c r="BG209">
        <v>67</v>
      </c>
      <c r="BH209">
        <v>77</v>
      </c>
      <c r="BI209">
        <v>100</v>
      </c>
      <c r="BJ209">
        <v>108</v>
      </c>
      <c r="BK209">
        <v>135</v>
      </c>
      <c r="BL209">
        <v>153</v>
      </c>
      <c r="BM209">
        <v>169</v>
      </c>
      <c r="BN209">
        <v>195</v>
      </c>
      <c r="BO209">
        <v>215</v>
      </c>
      <c r="BP209">
        <v>235</v>
      </c>
      <c r="BQ209">
        <v>252</v>
      </c>
      <c r="BR209">
        <v>267</v>
      </c>
      <c r="BS209">
        <v>283</v>
      </c>
      <c r="BT209">
        <v>298</v>
      </c>
      <c r="BU209">
        <v>306</v>
      </c>
      <c r="BV209">
        <v>322</v>
      </c>
      <c r="BW209">
        <v>329</v>
      </c>
    </row>
    <row r="210" spans="1:75" x14ac:dyDescent="0.25">
      <c r="B210" t="s">
        <v>944</v>
      </c>
      <c r="C210">
        <v>-6.3689999999999998</v>
      </c>
      <c r="D210">
        <v>34.888800000000003</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1</v>
      </c>
      <c r="BH210">
        <v>1</v>
      </c>
      <c r="BI210">
        <v>3</v>
      </c>
      <c r="BJ210">
        <v>6</v>
      </c>
      <c r="BK210">
        <v>6</v>
      </c>
      <c r="BL210">
        <v>6</v>
      </c>
      <c r="BM210">
        <v>12</v>
      </c>
      <c r="BN210">
        <v>12</v>
      </c>
      <c r="BO210">
        <v>12</v>
      </c>
      <c r="BP210">
        <v>12</v>
      </c>
      <c r="BQ210">
        <v>13</v>
      </c>
      <c r="BR210">
        <v>13</v>
      </c>
      <c r="BS210">
        <v>14</v>
      </c>
      <c r="BT210">
        <v>14</v>
      </c>
      <c r="BU210">
        <v>19</v>
      </c>
      <c r="BV210">
        <v>19</v>
      </c>
      <c r="BW210">
        <v>20</v>
      </c>
    </row>
    <row r="211" spans="1:75" x14ac:dyDescent="0.25">
      <c r="B211" t="s">
        <v>35</v>
      </c>
      <c r="C211">
        <v>15</v>
      </c>
      <c r="D211">
        <v>101</v>
      </c>
      <c r="E211">
        <v>2</v>
      </c>
      <c r="F211">
        <v>3</v>
      </c>
      <c r="G211">
        <v>5</v>
      </c>
      <c r="H211">
        <v>7</v>
      </c>
      <c r="I211">
        <v>8</v>
      </c>
      <c r="J211">
        <v>8</v>
      </c>
      <c r="K211">
        <v>14</v>
      </c>
      <c r="L211">
        <v>14</v>
      </c>
      <c r="M211">
        <v>14</v>
      </c>
      <c r="N211">
        <v>19</v>
      </c>
      <c r="O211">
        <v>19</v>
      </c>
      <c r="P211">
        <v>19</v>
      </c>
      <c r="Q211">
        <v>19</v>
      </c>
      <c r="R211">
        <v>25</v>
      </c>
      <c r="S211">
        <v>25</v>
      </c>
      <c r="T211">
        <v>25</v>
      </c>
      <c r="U211">
        <v>25</v>
      </c>
      <c r="V211">
        <v>32</v>
      </c>
      <c r="W211">
        <v>32</v>
      </c>
      <c r="X211">
        <v>32</v>
      </c>
      <c r="Y211">
        <v>33</v>
      </c>
      <c r="Z211">
        <v>33</v>
      </c>
      <c r="AA211">
        <v>33</v>
      </c>
      <c r="AB211">
        <v>33</v>
      </c>
      <c r="AC211">
        <v>33</v>
      </c>
      <c r="AD211">
        <v>34</v>
      </c>
      <c r="AE211">
        <v>35</v>
      </c>
      <c r="AF211">
        <v>35</v>
      </c>
      <c r="AG211">
        <v>35</v>
      </c>
      <c r="AH211">
        <v>35</v>
      </c>
      <c r="AI211">
        <v>35</v>
      </c>
      <c r="AJ211">
        <v>35</v>
      </c>
      <c r="AK211">
        <v>35</v>
      </c>
      <c r="AL211">
        <v>35</v>
      </c>
      <c r="AM211">
        <v>37</v>
      </c>
      <c r="AN211">
        <v>40</v>
      </c>
      <c r="AO211">
        <v>40</v>
      </c>
      <c r="AP211">
        <v>41</v>
      </c>
      <c r="AQ211">
        <v>42</v>
      </c>
      <c r="AR211">
        <v>42</v>
      </c>
      <c r="AS211">
        <v>43</v>
      </c>
      <c r="AT211">
        <v>43</v>
      </c>
      <c r="AU211">
        <v>43</v>
      </c>
      <c r="AV211">
        <v>47</v>
      </c>
      <c r="AW211">
        <v>48</v>
      </c>
      <c r="AX211">
        <v>50</v>
      </c>
      <c r="AY211">
        <v>50</v>
      </c>
      <c r="AZ211">
        <v>50</v>
      </c>
      <c r="BA211">
        <v>53</v>
      </c>
      <c r="BB211">
        <v>59</v>
      </c>
      <c r="BC211">
        <v>70</v>
      </c>
      <c r="BD211">
        <v>75</v>
      </c>
      <c r="BE211">
        <v>82</v>
      </c>
      <c r="BF211">
        <v>114</v>
      </c>
      <c r="BG211">
        <v>147</v>
      </c>
      <c r="BH211">
        <v>177</v>
      </c>
      <c r="BI211">
        <v>212</v>
      </c>
      <c r="BJ211">
        <v>272</v>
      </c>
      <c r="BK211">
        <v>322</v>
      </c>
      <c r="BL211">
        <v>411</v>
      </c>
      <c r="BM211">
        <v>599</v>
      </c>
      <c r="BN211">
        <v>721</v>
      </c>
      <c r="BO211">
        <v>827</v>
      </c>
      <c r="BP211">
        <v>934</v>
      </c>
      <c r="BQ211">
        <v>1045</v>
      </c>
      <c r="BR211">
        <v>1136</v>
      </c>
      <c r="BS211">
        <v>1245</v>
      </c>
      <c r="BT211">
        <v>1388</v>
      </c>
      <c r="BU211">
        <v>1524</v>
      </c>
      <c r="BV211">
        <v>1651</v>
      </c>
      <c r="BW211">
        <v>1771</v>
      </c>
    </row>
    <row r="212" spans="1:75" x14ac:dyDescent="0.25">
      <c r="B212" t="s">
        <v>132</v>
      </c>
      <c r="C212">
        <v>8.6195000000000004</v>
      </c>
      <c r="D212">
        <v>0.82479999999999998</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1</v>
      </c>
      <c r="AX212">
        <v>1</v>
      </c>
      <c r="AY212">
        <v>1</v>
      </c>
      <c r="AZ212">
        <v>1</v>
      </c>
      <c r="BA212">
        <v>1</v>
      </c>
      <c r="BB212">
        <v>1</v>
      </c>
      <c r="BC212">
        <v>1</v>
      </c>
      <c r="BD212">
        <v>1</v>
      </c>
      <c r="BE212">
        <v>1</v>
      </c>
      <c r="BF212">
        <v>1</v>
      </c>
      <c r="BG212">
        <v>1</v>
      </c>
      <c r="BH212">
        <v>1</v>
      </c>
      <c r="BI212">
        <v>1</v>
      </c>
      <c r="BJ212">
        <v>1</v>
      </c>
      <c r="BK212">
        <v>9</v>
      </c>
      <c r="BL212">
        <v>16</v>
      </c>
      <c r="BM212">
        <v>16</v>
      </c>
      <c r="BN212">
        <v>18</v>
      </c>
      <c r="BO212">
        <v>20</v>
      </c>
      <c r="BP212">
        <v>23</v>
      </c>
      <c r="BQ212">
        <v>23</v>
      </c>
      <c r="BR212">
        <v>25</v>
      </c>
      <c r="BS212">
        <v>25</v>
      </c>
      <c r="BT212">
        <v>25</v>
      </c>
      <c r="BU212">
        <v>30</v>
      </c>
      <c r="BV212">
        <v>34</v>
      </c>
      <c r="BW212">
        <v>36</v>
      </c>
    </row>
    <row r="213" spans="1:75" x14ac:dyDescent="0.25">
      <c r="B213" t="s">
        <v>373</v>
      </c>
      <c r="C213">
        <v>10.691800000000001</v>
      </c>
      <c r="D213">
        <v>-61.222499999999997</v>
      </c>
      <c r="E213">
        <v>0</v>
      </c>
      <c r="F213">
        <v>0</v>
      </c>
      <c r="G213">
        <v>0</v>
      </c>
      <c r="H213">
        <v>0</v>
      </c>
      <c r="I213">
        <v>0</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2</v>
      </c>
      <c r="BF213">
        <v>2</v>
      </c>
      <c r="BG213">
        <v>4</v>
      </c>
      <c r="BH213">
        <v>5</v>
      </c>
      <c r="BI213">
        <v>7</v>
      </c>
      <c r="BJ213">
        <v>9</v>
      </c>
      <c r="BK213">
        <v>9</v>
      </c>
      <c r="BL213">
        <v>49</v>
      </c>
      <c r="BM213">
        <v>50</v>
      </c>
      <c r="BN213">
        <v>51</v>
      </c>
      <c r="BO213">
        <v>57</v>
      </c>
      <c r="BP213">
        <v>60</v>
      </c>
      <c r="BQ213">
        <v>65</v>
      </c>
      <c r="BR213">
        <v>66</v>
      </c>
      <c r="BS213">
        <v>74</v>
      </c>
      <c r="BT213">
        <v>78</v>
      </c>
      <c r="BU213">
        <v>82</v>
      </c>
      <c r="BV213">
        <v>87</v>
      </c>
      <c r="BW213">
        <v>90</v>
      </c>
    </row>
    <row r="214" spans="1:75" x14ac:dyDescent="0.25">
      <c r="B214" t="s">
        <v>121</v>
      </c>
      <c r="C214">
        <v>34</v>
      </c>
      <c r="D214">
        <v>9</v>
      </c>
      <c r="E214">
        <v>0</v>
      </c>
      <c r="F214">
        <v>0</v>
      </c>
      <c r="G214">
        <v>0</v>
      </c>
      <c r="H214">
        <v>0</v>
      </c>
      <c r="I214">
        <v>0</v>
      </c>
      <c r="J214">
        <v>0</v>
      </c>
      <c r="K214">
        <v>0</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1</v>
      </c>
      <c r="AV214">
        <v>1</v>
      </c>
      <c r="AW214">
        <v>1</v>
      </c>
      <c r="AX214">
        <v>1</v>
      </c>
      <c r="AY214">
        <v>2</v>
      </c>
      <c r="AZ214">
        <v>2</v>
      </c>
      <c r="BA214">
        <v>5</v>
      </c>
      <c r="BB214">
        <v>7</v>
      </c>
      <c r="BC214">
        <v>7</v>
      </c>
      <c r="BD214">
        <v>16</v>
      </c>
      <c r="BE214">
        <v>18</v>
      </c>
      <c r="BF214">
        <v>18</v>
      </c>
      <c r="BG214">
        <v>20</v>
      </c>
      <c r="BH214">
        <v>24</v>
      </c>
      <c r="BI214">
        <v>29</v>
      </c>
      <c r="BJ214">
        <v>39</v>
      </c>
      <c r="BK214">
        <v>54</v>
      </c>
      <c r="BL214">
        <v>60</v>
      </c>
      <c r="BM214">
        <v>75</v>
      </c>
      <c r="BN214">
        <v>89</v>
      </c>
      <c r="BO214">
        <v>114</v>
      </c>
      <c r="BP214">
        <v>173</v>
      </c>
      <c r="BQ214">
        <v>197</v>
      </c>
      <c r="BR214">
        <v>227</v>
      </c>
      <c r="BS214">
        <v>278</v>
      </c>
      <c r="BT214">
        <v>312</v>
      </c>
      <c r="BU214">
        <v>312</v>
      </c>
      <c r="BV214">
        <v>394</v>
      </c>
      <c r="BW214">
        <v>423</v>
      </c>
    </row>
    <row r="215" spans="1:75" x14ac:dyDescent="0.25">
      <c r="B215" t="s">
        <v>187</v>
      </c>
      <c r="C215">
        <v>38.963700000000003</v>
      </c>
      <c r="D215">
        <v>35.243299999999998</v>
      </c>
      <c r="E215">
        <v>0</v>
      </c>
      <c r="F215">
        <v>0</v>
      </c>
      <c r="G215">
        <v>0</v>
      </c>
      <c r="H215">
        <v>0</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1</v>
      </c>
      <c r="BC215">
        <v>1</v>
      </c>
      <c r="BD215">
        <v>5</v>
      </c>
      <c r="BE215">
        <v>5</v>
      </c>
      <c r="BF215">
        <v>6</v>
      </c>
      <c r="BG215">
        <v>18</v>
      </c>
      <c r="BH215">
        <v>47</v>
      </c>
      <c r="BI215">
        <v>98</v>
      </c>
      <c r="BJ215">
        <v>192</v>
      </c>
      <c r="BK215">
        <v>359</v>
      </c>
      <c r="BL215">
        <v>670</v>
      </c>
      <c r="BM215">
        <v>1236</v>
      </c>
      <c r="BN215">
        <v>1529</v>
      </c>
      <c r="BO215">
        <v>1872</v>
      </c>
      <c r="BP215">
        <v>2433</v>
      </c>
      <c r="BQ215">
        <v>3629</v>
      </c>
      <c r="BR215">
        <v>5698</v>
      </c>
      <c r="BS215">
        <v>7402</v>
      </c>
      <c r="BT215">
        <v>9217</v>
      </c>
      <c r="BU215">
        <v>10827</v>
      </c>
      <c r="BV215">
        <v>13531</v>
      </c>
      <c r="BW215">
        <v>15679</v>
      </c>
    </row>
    <row r="216" spans="1:75" x14ac:dyDescent="0.25">
      <c r="B216" t="s">
        <v>1087</v>
      </c>
      <c r="C216">
        <v>1</v>
      </c>
      <c r="D216">
        <v>32</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1</v>
      </c>
      <c r="BM216">
        <v>1</v>
      </c>
      <c r="BN216">
        <v>9</v>
      </c>
      <c r="BO216">
        <v>9</v>
      </c>
      <c r="BP216">
        <v>14</v>
      </c>
      <c r="BQ216">
        <v>14</v>
      </c>
      <c r="BR216">
        <v>23</v>
      </c>
      <c r="BS216">
        <v>30</v>
      </c>
      <c r="BT216">
        <v>33</v>
      </c>
      <c r="BU216">
        <v>33</v>
      </c>
      <c r="BV216">
        <v>44</v>
      </c>
      <c r="BW216">
        <v>44</v>
      </c>
    </row>
    <row r="217" spans="1:75" x14ac:dyDescent="0.25">
      <c r="B217" t="s">
        <v>114</v>
      </c>
      <c r="C217">
        <v>48.379399999999997</v>
      </c>
      <c r="D217">
        <v>31.165600000000001</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1</v>
      </c>
      <c r="AU217">
        <v>1</v>
      </c>
      <c r="AV217">
        <v>1</v>
      </c>
      <c r="AW217">
        <v>1</v>
      </c>
      <c r="AX217">
        <v>1</v>
      </c>
      <c r="AY217">
        <v>1</v>
      </c>
      <c r="AZ217">
        <v>1</v>
      </c>
      <c r="BA217">
        <v>1</v>
      </c>
      <c r="BB217">
        <v>1</v>
      </c>
      <c r="BC217">
        <v>1</v>
      </c>
      <c r="BD217">
        <v>3</v>
      </c>
      <c r="BE217">
        <v>3</v>
      </c>
      <c r="BF217">
        <v>3</v>
      </c>
      <c r="BG217">
        <v>7</v>
      </c>
      <c r="BH217">
        <v>14</v>
      </c>
      <c r="BI217">
        <v>14</v>
      </c>
      <c r="BJ217">
        <v>16</v>
      </c>
      <c r="BK217">
        <v>29</v>
      </c>
      <c r="BL217">
        <v>47</v>
      </c>
      <c r="BM217">
        <v>73</v>
      </c>
      <c r="BN217">
        <v>73</v>
      </c>
      <c r="BO217">
        <v>97</v>
      </c>
      <c r="BP217">
        <v>145</v>
      </c>
      <c r="BQ217">
        <v>196</v>
      </c>
      <c r="BR217">
        <v>310</v>
      </c>
      <c r="BS217">
        <v>356</v>
      </c>
      <c r="BT217">
        <v>475</v>
      </c>
      <c r="BU217">
        <v>548</v>
      </c>
      <c r="BV217">
        <v>645</v>
      </c>
      <c r="BW217">
        <v>794</v>
      </c>
    </row>
    <row r="218" spans="1:75" x14ac:dyDescent="0.25">
      <c r="B218" t="s">
        <v>55</v>
      </c>
      <c r="C218">
        <v>24</v>
      </c>
      <c r="D218">
        <v>54</v>
      </c>
      <c r="E218">
        <v>0</v>
      </c>
      <c r="F218">
        <v>0</v>
      </c>
      <c r="G218">
        <v>0</v>
      </c>
      <c r="H218">
        <v>0</v>
      </c>
      <c r="I218">
        <v>0</v>
      </c>
      <c r="J218">
        <v>0</v>
      </c>
      <c r="K218">
        <v>0</v>
      </c>
      <c r="L218">
        <v>4</v>
      </c>
      <c r="M218">
        <v>4</v>
      </c>
      <c r="N218">
        <v>4</v>
      </c>
      <c r="O218">
        <v>4</v>
      </c>
      <c r="P218">
        <v>5</v>
      </c>
      <c r="Q218">
        <v>5</v>
      </c>
      <c r="R218">
        <v>5</v>
      </c>
      <c r="S218">
        <v>5</v>
      </c>
      <c r="T218">
        <v>5</v>
      </c>
      <c r="U218">
        <v>5</v>
      </c>
      <c r="V218">
        <v>7</v>
      </c>
      <c r="W218">
        <v>7</v>
      </c>
      <c r="X218">
        <v>8</v>
      </c>
      <c r="Y218">
        <v>8</v>
      </c>
      <c r="Z218">
        <v>8</v>
      </c>
      <c r="AA218">
        <v>8</v>
      </c>
      <c r="AB218">
        <v>8</v>
      </c>
      <c r="AC218">
        <v>8</v>
      </c>
      <c r="AD218">
        <v>9</v>
      </c>
      <c r="AE218">
        <v>9</v>
      </c>
      <c r="AF218">
        <v>9</v>
      </c>
      <c r="AG218">
        <v>9</v>
      </c>
      <c r="AH218">
        <v>9</v>
      </c>
      <c r="AI218">
        <v>9</v>
      </c>
      <c r="AJ218">
        <v>13</v>
      </c>
      <c r="AK218">
        <v>13</v>
      </c>
      <c r="AL218">
        <v>13</v>
      </c>
      <c r="AM218">
        <v>13</v>
      </c>
      <c r="AN218">
        <v>13</v>
      </c>
      <c r="AO218">
        <v>13</v>
      </c>
      <c r="AP218">
        <v>19</v>
      </c>
      <c r="AQ218">
        <v>21</v>
      </c>
      <c r="AR218">
        <v>21</v>
      </c>
      <c r="AS218">
        <v>21</v>
      </c>
      <c r="AT218">
        <v>27</v>
      </c>
      <c r="AU218">
        <v>27</v>
      </c>
      <c r="AV218">
        <v>29</v>
      </c>
      <c r="AW218">
        <v>29</v>
      </c>
      <c r="AX218">
        <v>45</v>
      </c>
      <c r="AY218">
        <v>45</v>
      </c>
      <c r="AZ218">
        <v>45</v>
      </c>
      <c r="BA218">
        <v>74</v>
      </c>
      <c r="BB218">
        <v>74</v>
      </c>
      <c r="BC218">
        <v>85</v>
      </c>
      <c r="BD218">
        <v>85</v>
      </c>
      <c r="BE218">
        <v>85</v>
      </c>
      <c r="BF218">
        <v>98</v>
      </c>
      <c r="BG218">
        <v>98</v>
      </c>
      <c r="BH218">
        <v>98</v>
      </c>
      <c r="BI218">
        <v>113</v>
      </c>
      <c r="BJ218">
        <v>140</v>
      </c>
      <c r="BK218">
        <v>140</v>
      </c>
      <c r="BL218">
        <v>153</v>
      </c>
      <c r="BM218">
        <v>153</v>
      </c>
      <c r="BN218">
        <v>198</v>
      </c>
      <c r="BO218">
        <v>248</v>
      </c>
      <c r="BP218">
        <v>333</v>
      </c>
      <c r="BQ218">
        <v>333</v>
      </c>
      <c r="BR218">
        <v>405</v>
      </c>
      <c r="BS218">
        <v>468</v>
      </c>
      <c r="BT218">
        <v>570</v>
      </c>
      <c r="BU218">
        <v>611</v>
      </c>
      <c r="BV218">
        <v>664</v>
      </c>
      <c r="BW218">
        <v>814</v>
      </c>
    </row>
    <row r="219" spans="1:75" x14ac:dyDescent="0.25">
      <c r="A219" t="s">
        <v>1015</v>
      </c>
      <c r="B219" t="s">
        <v>725</v>
      </c>
      <c r="C219">
        <v>32.3078</v>
      </c>
      <c r="D219">
        <v>-64.750500000000002</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2</v>
      </c>
      <c r="BK219">
        <v>2</v>
      </c>
      <c r="BL219">
        <v>2</v>
      </c>
      <c r="BM219">
        <v>6</v>
      </c>
      <c r="BN219">
        <v>6</v>
      </c>
      <c r="BO219">
        <v>6</v>
      </c>
      <c r="BP219">
        <v>7</v>
      </c>
      <c r="BQ219">
        <v>15</v>
      </c>
      <c r="BR219">
        <v>17</v>
      </c>
      <c r="BS219">
        <v>17</v>
      </c>
      <c r="BT219">
        <v>22</v>
      </c>
      <c r="BU219">
        <v>27</v>
      </c>
      <c r="BV219">
        <v>32</v>
      </c>
      <c r="BW219">
        <v>32</v>
      </c>
    </row>
    <row r="220" spans="1:75" x14ac:dyDescent="0.25">
      <c r="A220" t="s">
        <v>1012</v>
      </c>
      <c r="B220" t="s">
        <v>725</v>
      </c>
      <c r="C220">
        <v>19.313300000000002</v>
      </c>
      <c r="D220">
        <v>-81.254599999999996</v>
      </c>
      <c r="E220">
        <v>0</v>
      </c>
      <c r="F220">
        <v>0</v>
      </c>
      <c r="G220">
        <v>0</v>
      </c>
      <c r="H220">
        <v>0</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1</v>
      </c>
      <c r="BE220">
        <v>1</v>
      </c>
      <c r="BF220">
        <v>1</v>
      </c>
      <c r="BG220">
        <v>1</v>
      </c>
      <c r="BH220">
        <v>1</v>
      </c>
      <c r="BI220">
        <v>1</v>
      </c>
      <c r="BJ220">
        <v>3</v>
      </c>
      <c r="BK220">
        <v>3</v>
      </c>
      <c r="BL220">
        <v>3</v>
      </c>
      <c r="BM220">
        <v>3</v>
      </c>
      <c r="BN220">
        <v>5</v>
      </c>
      <c r="BO220">
        <v>6</v>
      </c>
      <c r="BP220">
        <v>8</v>
      </c>
      <c r="BQ220">
        <v>8</v>
      </c>
      <c r="BR220">
        <v>8</v>
      </c>
      <c r="BS220">
        <v>8</v>
      </c>
      <c r="BT220">
        <v>8</v>
      </c>
      <c r="BU220">
        <v>12</v>
      </c>
      <c r="BV220">
        <v>14</v>
      </c>
      <c r="BW220">
        <v>22</v>
      </c>
    </row>
    <row r="221" spans="1:75" x14ac:dyDescent="0.25">
      <c r="A221" t="s">
        <v>1010</v>
      </c>
      <c r="B221" t="s">
        <v>725</v>
      </c>
      <c r="C221">
        <v>49.372300000000003</v>
      </c>
      <c r="D221">
        <v>-2.3643999999999998</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1</v>
      </c>
      <c r="BB221">
        <v>2</v>
      </c>
      <c r="BC221">
        <v>2</v>
      </c>
      <c r="BD221">
        <v>2</v>
      </c>
      <c r="BE221">
        <v>2</v>
      </c>
      <c r="BF221">
        <v>3</v>
      </c>
      <c r="BG221">
        <v>6</v>
      </c>
      <c r="BH221">
        <v>6</v>
      </c>
      <c r="BI221">
        <v>6</v>
      </c>
      <c r="BJ221">
        <v>11</v>
      </c>
      <c r="BK221">
        <v>14</v>
      </c>
      <c r="BL221">
        <v>32</v>
      </c>
      <c r="BM221">
        <v>32</v>
      </c>
      <c r="BN221">
        <v>36</v>
      </c>
      <c r="BO221">
        <v>36</v>
      </c>
      <c r="BP221">
        <v>46</v>
      </c>
      <c r="BQ221">
        <v>66</v>
      </c>
      <c r="BR221">
        <v>88</v>
      </c>
      <c r="BS221">
        <v>97</v>
      </c>
      <c r="BT221">
        <v>108</v>
      </c>
      <c r="BU221">
        <v>141</v>
      </c>
      <c r="BV221">
        <v>141</v>
      </c>
      <c r="BW221">
        <v>172</v>
      </c>
    </row>
    <row r="222" spans="1:75" x14ac:dyDescent="0.25">
      <c r="A222" t="s">
        <v>1011</v>
      </c>
      <c r="B222" t="s">
        <v>725</v>
      </c>
      <c r="C222">
        <v>36.140799999999999</v>
      </c>
      <c r="D222">
        <v>-5.3536000000000001</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0</v>
      </c>
      <c r="AO222">
        <v>0</v>
      </c>
      <c r="AP222">
        <v>0</v>
      </c>
      <c r="AQ222">
        <v>0</v>
      </c>
      <c r="AR222">
        <v>0</v>
      </c>
      <c r="AS222">
        <v>0</v>
      </c>
      <c r="AT222">
        <v>0</v>
      </c>
      <c r="AU222">
        <v>1</v>
      </c>
      <c r="AV222">
        <v>1</v>
      </c>
      <c r="AW222">
        <v>1</v>
      </c>
      <c r="AX222">
        <v>1</v>
      </c>
      <c r="AY222">
        <v>1</v>
      </c>
      <c r="AZ222">
        <v>1</v>
      </c>
      <c r="BA222">
        <v>1</v>
      </c>
      <c r="BB222">
        <v>1</v>
      </c>
      <c r="BC222">
        <v>1</v>
      </c>
      <c r="BD222">
        <v>1</v>
      </c>
      <c r="BE222">
        <v>1</v>
      </c>
      <c r="BF222">
        <v>1</v>
      </c>
      <c r="BG222">
        <v>1</v>
      </c>
      <c r="BH222">
        <v>3</v>
      </c>
      <c r="BI222">
        <v>8</v>
      </c>
      <c r="BJ222">
        <v>10</v>
      </c>
      <c r="BK222">
        <v>10</v>
      </c>
      <c r="BL222">
        <v>10</v>
      </c>
      <c r="BM222">
        <v>15</v>
      </c>
      <c r="BN222">
        <v>15</v>
      </c>
      <c r="BO222">
        <v>15</v>
      </c>
      <c r="BP222">
        <v>26</v>
      </c>
      <c r="BQ222">
        <v>35</v>
      </c>
      <c r="BR222">
        <v>55</v>
      </c>
      <c r="BS222">
        <v>56</v>
      </c>
      <c r="BT222">
        <v>65</v>
      </c>
      <c r="BU222">
        <v>69</v>
      </c>
      <c r="BV222">
        <v>69</v>
      </c>
      <c r="BW222">
        <v>81</v>
      </c>
    </row>
    <row r="223" spans="1:75" x14ac:dyDescent="0.25">
      <c r="A223" t="s">
        <v>1027</v>
      </c>
      <c r="B223" t="s">
        <v>725</v>
      </c>
      <c r="C223">
        <v>54.2361</v>
      </c>
      <c r="D223">
        <v>-4.5480999999999998</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1</v>
      </c>
      <c r="BL223">
        <v>1</v>
      </c>
      <c r="BM223">
        <v>5</v>
      </c>
      <c r="BN223">
        <v>13</v>
      </c>
      <c r="BO223">
        <v>23</v>
      </c>
      <c r="BP223">
        <v>23</v>
      </c>
      <c r="BQ223">
        <v>25</v>
      </c>
      <c r="BR223">
        <v>29</v>
      </c>
      <c r="BS223">
        <v>32</v>
      </c>
      <c r="BT223">
        <v>42</v>
      </c>
      <c r="BU223">
        <v>49</v>
      </c>
      <c r="BV223">
        <v>60</v>
      </c>
      <c r="BW223">
        <v>68</v>
      </c>
    </row>
    <row r="224" spans="1:75" x14ac:dyDescent="0.25">
      <c r="A224" t="s">
        <v>1013</v>
      </c>
      <c r="B224" t="s">
        <v>725</v>
      </c>
      <c r="C224">
        <v>16.7425</v>
      </c>
      <c r="D224">
        <v>-62.187399999999997</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1</v>
      </c>
      <c r="BJ224">
        <v>1</v>
      </c>
      <c r="BK224">
        <v>1</v>
      </c>
      <c r="BL224">
        <v>1</v>
      </c>
      <c r="BM224">
        <v>1</v>
      </c>
      <c r="BN224">
        <v>1</v>
      </c>
      <c r="BO224">
        <v>1</v>
      </c>
      <c r="BP224">
        <v>1</v>
      </c>
      <c r="BQ224">
        <v>5</v>
      </c>
      <c r="BR224">
        <v>5</v>
      </c>
      <c r="BS224">
        <v>5</v>
      </c>
      <c r="BT224">
        <v>5</v>
      </c>
      <c r="BU224">
        <v>5</v>
      </c>
      <c r="BV224">
        <v>5</v>
      </c>
      <c r="BW224">
        <v>5</v>
      </c>
    </row>
    <row r="225" spans="1:75" x14ac:dyDescent="0.25">
      <c r="B225" t="s">
        <v>725</v>
      </c>
      <c r="C225">
        <v>55.378100000000003</v>
      </c>
      <c r="D225">
        <v>-3.4359999999999999</v>
      </c>
      <c r="E225">
        <v>0</v>
      </c>
      <c r="F225">
        <v>0</v>
      </c>
      <c r="G225">
        <v>0</v>
      </c>
      <c r="H225">
        <v>0</v>
      </c>
      <c r="I225">
        <v>0</v>
      </c>
      <c r="J225">
        <v>0</v>
      </c>
      <c r="K225">
        <v>0</v>
      </c>
      <c r="L225">
        <v>0</v>
      </c>
      <c r="M225">
        <v>0</v>
      </c>
      <c r="N225">
        <v>2</v>
      </c>
      <c r="O225">
        <v>2</v>
      </c>
      <c r="P225">
        <v>2</v>
      </c>
      <c r="Q225">
        <v>2</v>
      </c>
      <c r="R225">
        <v>2</v>
      </c>
      <c r="S225">
        <v>2</v>
      </c>
      <c r="T225">
        <v>2</v>
      </c>
      <c r="U225">
        <v>3</v>
      </c>
      <c r="V225">
        <v>3</v>
      </c>
      <c r="W225">
        <v>3</v>
      </c>
      <c r="X225">
        <v>8</v>
      </c>
      <c r="Y225">
        <v>8</v>
      </c>
      <c r="Z225">
        <v>9</v>
      </c>
      <c r="AA225">
        <v>9</v>
      </c>
      <c r="AB225">
        <v>9</v>
      </c>
      <c r="AC225">
        <v>9</v>
      </c>
      <c r="AD225">
        <v>9</v>
      </c>
      <c r="AE225">
        <v>9</v>
      </c>
      <c r="AF225">
        <v>9</v>
      </c>
      <c r="AG225">
        <v>9</v>
      </c>
      <c r="AH225">
        <v>9</v>
      </c>
      <c r="AI225">
        <v>9</v>
      </c>
      <c r="AJ225">
        <v>9</v>
      </c>
      <c r="AK225">
        <v>9</v>
      </c>
      <c r="AL225">
        <v>13</v>
      </c>
      <c r="AM225">
        <v>13</v>
      </c>
      <c r="AN225">
        <v>13</v>
      </c>
      <c r="AO225">
        <v>15</v>
      </c>
      <c r="AP225">
        <v>20</v>
      </c>
      <c r="AQ225">
        <v>23</v>
      </c>
      <c r="AR225">
        <v>36</v>
      </c>
      <c r="AS225">
        <v>40</v>
      </c>
      <c r="AT225">
        <v>51</v>
      </c>
      <c r="AU225">
        <v>85</v>
      </c>
      <c r="AV225">
        <v>115</v>
      </c>
      <c r="AW225">
        <v>163</v>
      </c>
      <c r="AX225">
        <v>206</v>
      </c>
      <c r="AY225">
        <v>273</v>
      </c>
      <c r="AZ225">
        <v>321</v>
      </c>
      <c r="BA225">
        <v>382</v>
      </c>
      <c r="BB225">
        <v>456</v>
      </c>
      <c r="BC225">
        <v>456</v>
      </c>
      <c r="BD225">
        <v>798</v>
      </c>
      <c r="BE225">
        <v>1140</v>
      </c>
      <c r="BF225">
        <v>1140</v>
      </c>
      <c r="BG225">
        <v>1543</v>
      </c>
      <c r="BH225">
        <v>1950</v>
      </c>
      <c r="BI225">
        <v>2626</v>
      </c>
      <c r="BJ225">
        <v>2689</v>
      </c>
      <c r="BK225">
        <v>3983</v>
      </c>
      <c r="BL225">
        <v>5018</v>
      </c>
      <c r="BM225">
        <v>5683</v>
      </c>
      <c r="BN225">
        <v>6650</v>
      </c>
      <c r="BO225">
        <v>8077</v>
      </c>
      <c r="BP225">
        <v>9529</v>
      </c>
      <c r="BQ225">
        <v>11658</v>
      </c>
      <c r="BR225">
        <v>14543</v>
      </c>
      <c r="BS225">
        <v>17089</v>
      </c>
      <c r="BT225">
        <v>19522</v>
      </c>
      <c r="BU225">
        <v>22141</v>
      </c>
      <c r="BV225">
        <v>25150</v>
      </c>
      <c r="BW225">
        <v>29474</v>
      </c>
    </row>
    <row r="226" spans="1:75" x14ac:dyDescent="0.25">
      <c r="B226" t="s">
        <v>369</v>
      </c>
      <c r="C226">
        <v>-32.522799999999997</v>
      </c>
      <c r="D226">
        <v>-55.765799999999999</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4</v>
      </c>
      <c r="BF226">
        <v>4</v>
      </c>
      <c r="BG226">
        <v>8</v>
      </c>
      <c r="BH226">
        <v>29</v>
      </c>
      <c r="BI226">
        <v>50</v>
      </c>
      <c r="BJ226">
        <v>79</v>
      </c>
      <c r="BK226">
        <v>94</v>
      </c>
      <c r="BL226">
        <v>110</v>
      </c>
      <c r="BM226">
        <v>158</v>
      </c>
      <c r="BN226">
        <v>162</v>
      </c>
      <c r="BO226">
        <v>162</v>
      </c>
      <c r="BP226">
        <v>189</v>
      </c>
      <c r="BQ226">
        <v>217</v>
      </c>
      <c r="BR226">
        <v>238</v>
      </c>
      <c r="BS226">
        <v>274</v>
      </c>
      <c r="BT226">
        <v>304</v>
      </c>
      <c r="BU226">
        <v>310</v>
      </c>
      <c r="BV226">
        <v>338</v>
      </c>
      <c r="BW226">
        <v>338</v>
      </c>
    </row>
    <row r="227" spans="1:75" x14ac:dyDescent="0.25">
      <c r="B227" t="s">
        <v>37</v>
      </c>
      <c r="C227">
        <v>37.090200000000003</v>
      </c>
      <c r="D227">
        <v>-95.712900000000005</v>
      </c>
      <c r="E227">
        <v>1</v>
      </c>
      <c r="F227">
        <v>1</v>
      </c>
      <c r="G227">
        <v>2</v>
      </c>
      <c r="H227">
        <v>2</v>
      </c>
      <c r="I227">
        <v>5</v>
      </c>
      <c r="J227">
        <v>5</v>
      </c>
      <c r="K227">
        <v>5</v>
      </c>
      <c r="L227">
        <v>5</v>
      </c>
      <c r="M227">
        <v>5</v>
      </c>
      <c r="N227">
        <v>7</v>
      </c>
      <c r="O227">
        <v>8</v>
      </c>
      <c r="P227">
        <v>8</v>
      </c>
      <c r="Q227">
        <v>11</v>
      </c>
      <c r="R227">
        <v>11</v>
      </c>
      <c r="S227">
        <v>11</v>
      </c>
      <c r="T227">
        <v>11</v>
      </c>
      <c r="U227">
        <v>11</v>
      </c>
      <c r="V227">
        <v>11</v>
      </c>
      <c r="W227">
        <v>11</v>
      </c>
      <c r="X227">
        <v>11</v>
      </c>
      <c r="Y227">
        <v>12</v>
      </c>
      <c r="Z227">
        <v>12</v>
      </c>
      <c r="AA227">
        <v>13</v>
      </c>
      <c r="AB227">
        <v>13</v>
      </c>
      <c r="AC227">
        <v>13</v>
      </c>
      <c r="AD227">
        <v>13</v>
      </c>
      <c r="AE227">
        <v>13</v>
      </c>
      <c r="AF227">
        <v>13</v>
      </c>
      <c r="AG227">
        <v>13</v>
      </c>
      <c r="AH227">
        <v>13</v>
      </c>
      <c r="AI227">
        <v>15</v>
      </c>
      <c r="AJ227">
        <v>15</v>
      </c>
      <c r="AK227">
        <v>15</v>
      </c>
      <c r="AL227">
        <v>51</v>
      </c>
      <c r="AM227">
        <v>51</v>
      </c>
      <c r="AN227">
        <v>57</v>
      </c>
      <c r="AO227">
        <v>58</v>
      </c>
      <c r="AP227">
        <v>60</v>
      </c>
      <c r="AQ227">
        <v>68</v>
      </c>
      <c r="AR227">
        <v>74</v>
      </c>
      <c r="AS227">
        <v>98</v>
      </c>
      <c r="AT227">
        <v>118</v>
      </c>
      <c r="AU227">
        <v>149</v>
      </c>
      <c r="AV227">
        <v>217</v>
      </c>
      <c r="AW227">
        <v>262</v>
      </c>
      <c r="AX227">
        <v>402</v>
      </c>
      <c r="AY227">
        <v>518</v>
      </c>
      <c r="AZ227">
        <v>583</v>
      </c>
      <c r="BA227">
        <v>959</v>
      </c>
      <c r="BB227">
        <v>1281</v>
      </c>
      <c r="BC227">
        <v>1663</v>
      </c>
      <c r="BD227">
        <v>2179</v>
      </c>
      <c r="BE227">
        <v>2727</v>
      </c>
      <c r="BF227">
        <v>3499</v>
      </c>
      <c r="BG227">
        <v>4632</v>
      </c>
      <c r="BH227">
        <v>6421</v>
      </c>
      <c r="BI227">
        <v>7783</v>
      </c>
      <c r="BJ227">
        <v>13677</v>
      </c>
      <c r="BK227">
        <v>19100</v>
      </c>
      <c r="BL227">
        <v>25489</v>
      </c>
      <c r="BM227">
        <v>33276</v>
      </c>
      <c r="BN227">
        <v>43847</v>
      </c>
      <c r="BO227">
        <v>53740</v>
      </c>
      <c r="BP227">
        <v>65778</v>
      </c>
      <c r="BQ227">
        <v>83836</v>
      </c>
      <c r="BR227">
        <v>101657</v>
      </c>
      <c r="BS227">
        <v>121478</v>
      </c>
      <c r="BT227">
        <v>140886</v>
      </c>
      <c r="BU227">
        <v>161807</v>
      </c>
      <c r="BV227">
        <v>188172</v>
      </c>
      <c r="BW227">
        <v>213372</v>
      </c>
    </row>
    <row r="228" spans="1:75" x14ac:dyDescent="0.25">
      <c r="B228" t="s">
        <v>520</v>
      </c>
      <c r="C228">
        <v>41.377499999999998</v>
      </c>
      <c r="D228">
        <v>64.585300000000004</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1</v>
      </c>
      <c r="BG228">
        <v>6</v>
      </c>
      <c r="BH228">
        <v>10</v>
      </c>
      <c r="BI228">
        <v>15</v>
      </c>
      <c r="BJ228">
        <v>23</v>
      </c>
      <c r="BK228">
        <v>33</v>
      </c>
      <c r="BL228">
        <v>43</v>
      </c>
      <c r="BM228">
        <v>43</v>
      </c>
      <c r="BN228">
        <v>46</v>
      </c>
      <c r="BO228">
        <v>50</v>
      </c>
      <c r="BP228">
        <v>60</v>
      </c>
      <c r="BQ228">
        <v>75</v>
      </c>
      <c r="BR228">
        <v>88</v>
      </c>
      <c r="BS228">
        <v>104</v>
      </c>
      <c r="BT228">
        <v>144</v>
      </c>
      <c r="BU228">
        <v>149</v>
      </c>
      <c r="BV228">
        <v>172</v>
      </c>
      <c r="BW228">
        <v>181</v>
      </c>
    </row>
    <row r="229" spans="1:75" x14ac:dyDescent="0.25">
      <c r="B229" t="s">
        <v>374</v>
      </c>
      <c r="C229">
        <v>6.4238</v>
      </c>
      <c r="D229">
        <v>-66.589699999999993</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2</v>
      </c>
      <c r="BF229">
        <v>10</v>
      </c>
      <c r="BG229">
        <v>17</v>
      </c>
      <c r="BH229">
        <v>33</v>
      </c>
      <c r="BI229">
        <v>36</v>
      </c>
      <c r="BJ229">
        <v>42</v>
      </c>
      <c r="BK229">
        <v>42</v>
      </c>
      <c r="BL229">
        <v>70</v>
      </c>
      <c r="BM229">
        <v>70</v>
      </c>
      <c r="BN229">
        <v>77</v>
      </c>
      <c r="BO229">
        <v>84</v>
      </c>
      <c r="BP229">
        <v>91</v>
      </c>
      <c r="BQ229">
        <v>107</v>
      </c>
      <c r="BR229">
        <v>107</v>
      </c>
      <c r="BS229">
        <v>119</v>
      </c>
      <c r="BT229">
        <v>119</v>
      </c>
      <c r="BU229">
        <v>135</v>
      </c>
      <c r="BV229">
        <v>135</v>
      </c>
      <c r="BW229">
        <v>143</v>
      </c>
    </row>
    <row r="230" spans="1:75" x14ac:dyDescent="0.25">
      <c r="B230" t="s">
        <v>41</v>
      </c>
      <c r="C230">
        <v>16</v>
      </c>
      <c r="D230">
        <v>108</v>
      </c>
      <c r="E230">
        <v>0</v>
      </c>
      <c r="F230">
        <v>2</v>
      </c>
      <c r="G230">
        <v>2</v>
      </c>
      <c r="H230">
        <v>2</v>
      </c>
      <c r="I230">
        <v>2</v>
      </c>
      <c r="J230">
        <v>2</v>
      </c>
      <c r="K230">
        <v>2</v>
      </c>
      <c r="L230">
        <v>2</v>
      </c>
      <c r="M230">
        <v>2</v>
      </c>
      <c r="N230">
        <v>2</v>
      </c>
      <c r="O230">
        <v>6</v>
      </c>
      <c r="P230">
        <v>6</v>
      </c>
      <c r="Q230">
        <v>8</v>
      </c>
      <c r="R230">
        <v>8</v>
      </c>
      <c r="S230">
        <v>8</v>
      </c>
      <c r="T230">
        <v>10</v>
      </c>
      <c r="U230">
        <v>10</v>
      </c>
      <c r="V230">
        <v>13</v>
      </c>
      <c r="W230">
        <v>13</v>
      </c>
      <c r="X230">
        <v>14</v>
      </c>
      <c r="Y230">
        <v>15</v>
      </c>
      <c r="Z230">
        <v>15</v>
      </c>
      <c r="AA230">
        <v>16</v>
      </c>
      <c r="AB230">
        <v>16</v>
      </c>
      <c r="AC230">
        <v>16</v>
      </c>
      <c r="AD230">
        <v>16</v>
      </c>
      <c r="AE230">
        <v>16</v>
      </c>
      <c r="AF230">
        <v>16</v>
      </c>
      <c r="AG230">
        <v>16</v>
      </c>
      <c r="AH230">
        <v>16</v>
      </c>
      <c r="AI230">
        <v>16</v>
      </c>
      <c r="AJ230">
        <v>16</v>
      </c>
      <c r="AK230">
        <v>16</v>
      </c>
      <c r="AL230">
        <v>16</v>
      </c>
      <c r="AM230">
        <v>16</v>
      </c>
      <c r="AN230">
        <v>16</v>
      </c>
      <c r="AO230">
        <v>16</v>
      </c>
      <c r="AP230">
        <v>16</v>
      </c>
      <c r="AQ230">
        <v>16</v>
      </c>
      <c r="AR230">
        <v>16</v>
      </c>
      <c r="AS230">
        <v>16</v>
      </c>
      <c r="AT230">
        <v>16</v>
      </c>
      <c r="AU230">
        <v>16</v>
      </c>
      <c r="AV230">
        <v>16</v>
      </c>
      <c r="AW230">
        <v>16</v>
      </c>
      <c r="AX230">
        <v>18</v>
      </c>
      <c r="AY230">
        <v>30</v>
      </c>
      <c r="AZ230">
        <v>30</v>
      </c>
      <c r="BA230">
        <v>31</v>
      </c>
      <c r="BB230">
        <v>38</v>
      </c>
      <c r="BC230">
        <v>39</v>
      </c>
      <c r="BD230">
        <v>47</v>
      </c>
      <c r="BE230">
        <v>53</v>
      </c>
      <c r="BF230">
        <v>56</v>
      </c>
      <c r="BG230">
        <v>61</v>
      </c>
      <c r="BH230">
        <v>66</v>
      </c>
      <c r="BI230">
        <v>75</v>
      </c>
      <c r="BJ230">
        <v>85</v>
      </c>
      <c r="BK230">
        <v>91</v>
      </c>
      <c r="BL230">
        <v>94</v>
      </c>
      <c r="BM230">
        <v>113</v>
      </c>
      <c r="BN230">
        <v>123</v>
      </c>
      <c r="BO230">
        <v>134</v>
      </c>
      <c r="BP230">
        <v>141</v>
      </c>
      <c r="BQ230">
        <v>153</v>
      </c>
      <c r="BR230">
        <v>163</v>
      </c>
      <c r="BS230">
        <v>174</v>
      </c>
      <c r="BT230">
        <v>188</v>
      </c>
      <c r="BU230">
        <v>203</v>
      </c>
      <c r="BV230">
        <v>212</v>
      </c>
      <c r="BW230">
        <v>218</v>
      </c>
    </row>
    <row r="231" spans="1:75" x14ac:dyDescent="0.25">
      <c r="B231" t="s">
        <v>949</v>
      </c>
      <c r="C231">
        <v>-15.416700000000001</v>
      </c>
      <c r="D231">
        <v>28.283300000000001</v>
      </c>
      <c r="E231">
        <v>0</v>
      </c>
      <c r="F231">
        <v>0</v>
      </c>
      <c r="G231">
        <v>0</v>
      </c>
      <c r="H231">
        <v>0</v>
      </c>
      <c r="I231">
        <v>0</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2</v>
      </c>
      <c r="BJ231">
        <v>2</v>
      </c>
      <c r="BK231">
        <v>2</v>
      </c>
      <c r="BL231">
        <v>2</v>
      </c>
      <c r="BM231">
        <v>3</v>
      </c>
      <c r="BN231">
        <v>3</v>
      </c>
      <c r="BO231">
        <v>3</v>
      </c>
      <c r="BP231">
        <v>12</v>
      </c>
      <c r="BQ231">
        <v>16</v>
      </c>
      <c r="BR231">
        <v>22</v>
      </c>
      <c r="BS231">
        <v>28</v>
      </c>
      <c r="BT231">
        <v>29</v>
      </c>
      <c r="BU231">
        <v>35</v>
      </c>
      <c r="BV231">
        <v>35</v>
      </c>
      <c r="BW231">
        <v>36</v>
      </c>
    </row>
    <row r="232" spans="1:75" x14ac:dyDescent="0.25">
      <c r="B232" t="s">
        <v>1028</v>
      </c>
      <c r="C232">
        <v>-20</v>
      </c>
      <c r="D232">
        <v>30</v>
      </c>
      <c r="E232">
        <v>0</v>
      </c>
      <c r="F232">
        <v>0</v>
      </c>
      <c r="G232">
        <v>0</v>
      </c>
      <c r="H232">
        <v>0</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1</v>
      </c>
      <c r="BL232">
        <v>3</v>
      </c>
      <c r="BM232">
        <v>3</v>
      </c>
      <c r="BN232">
        <v>3</v>
      </c>
      <c r="BO232">
        <v>3</v>
      </c>
      <c r="BP232">
        <v>3</v>
      </c>
      <c r="BQ232">
        <v>3</v>
      </c>
      <c r="BR232">
        <v>5</v>
      </c>
      <c r="BS232">
        <v>7</v>
      </c>
      <c r="BT232">
        <v>7</v>
      </c>
      <c r="BU232">
        <v>7</v>
      </c>
      <c r="BV232">
        <v>8</v>
      </c>
      <c r="BW232">
        <v>8</v>
      </c>
    </row>
    <row r="233" spans="1:75" x14ac:dyDescent="0.25">
      <c r="A233" t="s">
        <v>147</v>
      </c>
      <c r="B233" t="s">
        <v>46</v>
      </c>
      <c r="C233">
        <v>0</v>
      </c>
      <c r="D233">
        <v>0</v>
      </c>
      <c r="E233">
        <v>0</v>
      </c>
      <c r="F233">
        <v>0</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0</v>
      </c>
    </row>
    <row r="234" spans="1:75" x14ac:dyDescent="0.25">
      <c r="B234" t="s">
        <v>1274</v>
      </c>
      <c r="C234">
        <v>15.414999999999999</v>
      </c>
      <c r="D234">
        <v>-61.371000000000002</v>
      </c>
      <c r="E234">
        <v>0</v>
      </c>
      <c r="F234">
        <v>0</v>
      </c>
      <c r="G234">
        <v>0</v>
      </c>
      <c r="H234">
        <v>0</v>
      </c>
      <c r="I234">
        <v>0</v>
      </c>
      <c r="J234">
        <v>0</v>
      </c>
      <c r="K234">
        <v>0</v>
      </c>
      <c r="L234">
        <v>0</v>
      </c>
      <c r="M234">
        <v>0</v>
      </c>
      <c r="N234">
        <v>0</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0</v>
      </c>
      <c r="BK234">
        <v>0</v>
      </c>
      <c r="BL234">
        <v>0</v>
      </c>
      <c r="BM234">
        <v>1</v>
      </c>
      <c r="BN234">
        <v>2</v>
      </c>
      <c r="BO234">
        <v>2</v>
      </c>
      <c r="BP234">
        <v>7</v>
      </c>
      <c r="BQ234">
        <v>11</v>
      </c>
      <c r="BR234">
        <v>11</v>
      </c>
      <c r="BS234">
        <v>11</v>
      </c>
      <c r="BT234">
        <v>11</v>
      </c>
      <c r="BU234">
        <v>11</v>
      </c>
      <c r="BV234">
        <v>12</v>
      </c>
      <c r="BW234">
        <v>12</v>
      </c>
    </row>
    <row r="235" spans="1:75" x14ac:dyDescent="0.25">
      <c r="B235" t="s">
        <v>1275</v>
      </c>
      <c r="C235">
        <v>12.1165</v>
      </c>
      <c r="D235">
        <v>-61.678999999999903</v>
      </c>
      <c r="E235">
        <v>0</v>
      </c>
      <c r="F235">
        <v>0</v>
      </c>
      <c r="G235">
        <v>0</v>
      </c>
      <c r="H235">
        <v>0</v>
      </c>
      <c r="I235">
        <v>0</v>
      </c>
      <c r="J235">
        <v>0</v>
      </c>
      <c r="K235">
        <v>0</v>
      </c>
      <c r="L235">
        <v>0</v>
      </c>
      <c r="M235">
        <v>0</v>
      </c>
      <c r="N235">
        <v>0</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1</v>
      </c>
      <c r="BN235">
        <v>1</v>
      </c>
      <c r="BO235">
        <v>1</v>
      </c>
      <c r="BP235">
        <v>1</v>
      </c>
      <c r="BQ235">
        <v>7</v>
      </c>
      <c r="BR235">
        <v>7</v>
      </c>
      <c r="BS235">
        <v>7</v>
      </c>
      <c r="BT235">
        <v>9</v>
      </c>
      <c r="BU235">
        <v>9</v>
      </c>
      <c r="BV235">
        <v>9</v>
      </c>
      <c r="BW235">
        <v>9</v>
      </c>
    </row>
    <row r="236" spans="1:75" x14ac:dyDescent="0.25">
      <c r="B236" t="s">
        <v>1276</v>
      </c>
      <c r="C236">
        <v>-18.665694999999999</v>
      </c>
      <c r="D236">
        <v>35.529561999999999</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0</v>
      </c>
      <c r="BF236">
        <v>0</v>
      </c>
      <c r="BG236">
        <v>0</v>
      </c>
      <c r="BH236">
        <v>0</v>
      </c>
      <c r="BI236">
        <v>0</v>
      </c>
      <c r="BJ236">
        <v>0</v>
      </c>
      <c r="BK236">
        <v>0</v>
      </c>
      <c r="BL236">
        <v>0</v>
      </c>
      <c r="BM236">
        <v>1</v>
      </c>
      <c r="BN236">
        <v>1</v>
      </c>
      <c r="BO236">
        <v>3</v>
      </c>
      <c r="BP236">
        <v>5</v>
      </c>
      <c r="BQ236">
        <v>7</v>
      </c>
      <c r="BR236">
        <v>7</v>
      </c>
      <c r="BS236">
        <v>8</v>
      </c>
      <c r="BT236">
        <v>8</v>
      </c>
      <c r="BU236">
        <v>8</v>
      </c>
      <c r="BV236">
        <v>8</v>
      </c>
      <c r="BW236">
        <v>10</v>
      </c>
    </row>
    <row r="237" spans="1:75" x14ac:dyDescent="0.25">
      <c r="B237" t="s">
        <v>1277</v>
      </c>
      <c r="C237">
        <v>34.802075000000002</v>
      </c>
      <c r="D237">
        <v>38.996814999999998</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0</v>
      </c>
      <c r="BD237">
        <v>0</v>
      </c>
      <c r="BE237">
        <v>0</v>
      </c>
      <c r="BF237">
        <v>0</v>
      </c>
      <c r="BG237">
        <v>0</v>
      </c>
      <c r="BH237">
        <v>0</v>
      </c>
      <c r="BI237">
        <v>0</v>
      </c>
      <c r="BJ237">
        <v>0</v>
      </c>
      <c r="BK237">
        <v>0</v>
      </c>
      <c r="BL237">
        <v>0</v>
      </c>
      <c r="BM237">
        <v>1</v>
      </c>
      <c r="BN237">
        <v>1</v>
      </c>
      <c r="BO237">
        <v>1</v>
      </c>
      <c r="BP237">
        <v>5</v>
      </c>
      <c r="BQ237">
        <v>5</v>
      </c>
      <c r="BR237">
        <v>5</v>
      </c>
      <c r="BS237">
        <v>5</v>
      </c>
      <c r="BT237">
        <v>9</v>
      </c>
      <c r="BU237">
        <v>10</v>
      </c>
      <c r="BV237">
        <v>10</v>
      </c>
      <c r="BW237">
        <v>10</v>
      </c>
    </row>
    <row r="238" spans="1:75" x14ac:dyDescent="0.25">
      <c r="B238" t="s">
        <v>1278</v>
      </c>
      <c r="C238">
        <v>-8.8742169999999998</v>
      </c>
      <c r="D238">
        <v>125.72753899999999</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c r="BL238">
        <v>0</v>
      </c>
      <c r="BM238">
        <v>1</v>
      </c>
      <c r="BN238">
        <v>1</v>
      </c>
      <c r="BO238">
        <v>1</v>
      </c>
      <c r="BP238">
        <v>1</v>
      </c>
      <c r="BQ238">
        <v>1</v>
      </c>
      <c r="BR238">
        <v>1</v>
      </c>
      <c r="BS238">
        <v>1</v>
      </c>
      <c r="BT238">
        <v>1</v>
      </c>
      <c r="BU238">
        <v>1</v>
      </c>
      <c r="BV238">
        <v>1</v>
      </c>
      <c r="BW238">
        <v>1</v>
      </c>
    </row>
    <row r="239" spans="1:75" x14ac:dyDescent="0.25">
      <c r="B239" t="s">
        <v>1474</v>
      </c>
      <c r="C239">
        <v>13.193899999999999</v>
      </c>
      <c r="D239">
        <v>-59.543199999999999</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c r="BL239">
        <v>0</v>
      </c>
      <c r="BM239">
        <v>0</v>
      </c>
      <c r="BN239">
        <v>1</v>
      </c>
      <c r="BO239">
        <v>1</v>
      </c>
      <c r="BP239">
        <v>2</v>
      </c>
      <c r="BQ239">
        <v>2</v>
      </c>
      <c r="BR239">
        <v>2</v>
      </c>
      <c r="BS239">
        <v>2</v>
      </c>
      <c r="BT239">
        <v>2</v>
      </c>
      <c r="BU239">
        <v>3</v>
      </c>
      <c r="BV239">
        <v>3</v>
      </c>
      <c r="BW239">
        <v>3</v>
      </c>
    </row>
    <row r="240" spans="1:75" x14ac:dyDescent="0.25">
      <c r="A240" t="s">
        <v>1475</v>
      </c>
      <c r="B240" t="s">
        <v>46</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0</v>
      </c>
    </row>
    <row r="241" spans="1:75" x14ac:dyDescent="0.25">
      <c r="B241" t="s">
        <v>1476</v>
      </c>
      <c r="C241">
        <v>19.856269999999999</v>
      </c>
      <c r="D241">
        <v>102.495496</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c r="BN241">
        <v>0</v>
      </c>
      <c r="BO241">
        <v>2</v>
      </c>
      <c r="BP241">
        <v>3</v>
      </c>
      <c r="BQ241">
        <v>6</v>
      </c>
      <c r="BR241">
        <v>6</v>
      </c>
      <c r="BS241">
        <v>8</v>
      </c>
      <c r="BT241">
        <v>8</v>
      </c>
      <c r="BU241">
        <v>8</v>
      </c>
      <c r="BV241">
        <v>9</v>
      </c>
      <c r="BW241">
        <v>10</v>
      </c>
    </row>
    <row r="242" spans="1:75" x14ac:dyDescent="0.25">
      <c r="B242" t="s">
        <v>1477</v>
      </c>
      <c r="C242">
        <v>26.335100000000001</v>
      </c>
      <c r="D242">
        <v>17.228331000000001</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1</v>
      </c>
      <c r="BP242">
        <v>1</v>
      </c>
      <c r="BQ242">
        <v>1</v>
      </c>
      <c r="BR242">
        <v>1</v>
      </c>
      <c r="BS242">
        <v>3</v>
      </c>
      <c r="BT242">
        <v>8</v>
      </c>
      <c r="BU242">
        <v>8</v>
      </c>
      <c r="BV242">
        <v>10</v>
      </c>
      <c r="BW242">
        <v>10</v>
      </c>
    </row>
    <row r="243" spans="1:75" x14ac:dyDescent="0.25">
      <c r="B243" t="s">
        <v>1572</v>
      </c>
      <c r="C243">
        <v>31.952200000000001</v>
      </c>
      <c r="D243">
        <v>35.233199999999997</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4</v>
      </c>
      <c r="AW243">
        <v>7</v>
      </c>
      <c r="AX243">
        <v>16</v>
      </c>
      <c r="AY243">
        <v>16</v>
      </c>
      <c r="AZ243">
        <v>19</v>
      </c>
      <c r="BA243">
        <v>26</v>
      </c>
      <c r="BB243">
        <v>30</v>
      </c>
      <c r="BC243">
        <v>30</v>
      </c>
      <c r="BD243">
        <v>31</v>
      </c>
      <c r="BE243">
        <v>35</v>
      </c>
      <c r="BF243">
        <v>38</v>
      </c>
      <c r="BG243">
        <v>38</v>
      </c>
      <c r="BH243">
        <v>39</v>
      </c>
      <c r="BI243">
        <v>41</v>
      </c>
      <c r="BJ243">
        <v>44</v>
      </c>
      <c r="BK243">
        <v>47</v>
      </c>
      <c r="BL243">
        <v>48</v>
      </c>
      <c r="BM243">
        <v>52</v>
      </c>
      <c r="BN243">
        <v>59</v>
      </c>
      <c r="BO243">
        <v>59</v>
      </c>
      <c r="BP243">
        <v>59</v>
      </c>
      <c r="BQ243">
        <v>84</v>
      </c>
      <c r="BR243">
        <v>91</v>
      </c>
      <c r="BS243">
        <v>98</v>
      </c>
      <c r="BT243">
        <v>109</v>
      </c>
      <c r="BU243">
        <v>116</v>
      </c>
      <c r="BV243">
        <v>119</v>
      </c>
      <c r="BW243">
        <v>134</v>
      </c>
    </row>
    <row r="244" spans="1:75" x14ac:dyDescent="0.25">
      <c r="B244" t="s">
        <v>1573</v>
      </c>
      <c r="C244">
        <v>11.803699999999999</v>
      </c>
      <c r="D244">
        <v>-15.180400000000001</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2</v>
      </c>
      <c r="BQ244">
        <v>2</v>
      </c>
      <c r="BR244">
        <v>2</v>
      </c>
      <c r="BS244">
        <v>2</v>
      </c>
      <c r="BT244">
        <v>2</v>
      </c>
      <c r="BU244">
        <v>8</v>
      </c>
      <c r="BV244">
        <v>8</v>
      </c>
      <c r="BW244">
        <v>9</v>
      </c>
    </row>
    <row r="245" spans="1:75" x14ac:dyDescent="0.25">
      <c r="B245" t="s">
        <v>1574</v>
      </c>
      <c r="C245">
        <v>17.570692000000001</v>
      </c>
      <c r="D245">
        <v>-3.9961660000000001</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2</v>
      </c>
      <c r="BQ245">
        <v>4</v>
      </c>
      <c r="BR245">
        <v>11</v>
      </c>
      <c r="BS245">
        <v>18</v>
      </c>
      <c r="BT245">
        <v>18</v>
      </c>
      <c r="BU245">
        <v>25</v>
      </c>
      <c r="BV245">
        <v>28</v>
      </c>
      <c r="BW245">
        <v>31</v>
      </c>
    </row>
    <row r="246" spans="1:75" x14ac:dyDescent="0.25">
      <c r="B246" t="s">
        <v>1575</v>
      </c>
      <c r="C246">
        <v>17.357821999999999</v>
      </c>
      <c r="D246">
        <v>-62.782997999999999</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2</v>
      </c>
      <c r="BQ246">
        <v>2</v>
      </c>
      <c r="BR246">
        <v>2</v>
      </c>
      <c r="BS246">
        <v>2</v>
      </c>
      <c r="BT246">
        <v>2</v>
      </c>
      <c r="BU246">
        <v>7</v>
      </c>
      <c r="BV246">
        <v>8</v>
      </c>
      <c r="BW246">
        <v>8</v>
      </c>
    </row>
    <row r="247" spans="1:75" x14ac:dyDescent="0.25">
      <c r="A247" t="s">
        <v>1576</v>
      </c>
      <c r="B247" t="s">
        <v>46</v>
      </c>
      <c r="C247">
        <v>64.825500000000005</v>
      </c>
      <c r="D247">
        <v>-124.84569999999999</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1</v>
      </c>
      <c r="BR247">
        <v>1</v>
      </c>
      <c r="BS247">
        <v>1</v>
      </c>
      <c r="BT247">
        <v>1</v>
      </c>
      <c r="BU247">
        <v>1</v>
      </c>
      <c r="BV247">
        <v>1</v>
      </c>
      <c r="BW247">
        <v>2</v>
      </c>
    </row>
    <row r="248" spans="1:75" x14ac:dyDescent="0.25">
      <c r="A248" t="s">
        <v>1577</v>
      </c>
      <c r="B248" t="s">
        <v>46</v>
      </c>
      <c r="C248">
        <v>64.282300000000006</v>
      </c>
      <c r="D248">
        <v>-135</v>
      </c>
      <c r="E248">
        <v>0</v>
      </c>
      <c r="F248">
        <v>0</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3</v>
      </c>
      <c r="BR248">
        <v>3</v>
      </c>
      <c r="BS248">
        <v>4</v>
      </c>
      <c r="BT248">
        <v>4</v>
      </c>
      <c r="BU248">
        <v>4</v>
      </c>
      <c r="BV248">
        <v>5</v>
      </c>
      <c r="BW248">
        <v>5</v>
      </c>
    </row>
    <row r="249" spans="1:75" x14ac:dyDescent="0.25">
      <c r="B249" t="s">
        <v>1578</v>
      </c>
      <c r="C249">
        <v>42.602635999999997</v>
      </c>
      <c r="D249">
        <v>20.902977</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71</v>
      </c>
      <c r="BR249">
        <v>86</v>
      </c>
      <c r="BS249">
        <v>91</v>
      </c>
      <c r="BT249">
        <v>94</v>
      </c>
      <c r="BU249">
        <v>94</v>
      </c>
      <c r="BV249">
        <v>112</v>
      </c>
      <c r="BW249">
        <v>125</v>
      </c>
    </row>
    <row r="250" spans="1:75" x14ac:dyDescent="0.25">
      <c r="B250" t="s">
        <v>1816</v>
      </c>
      <c r="C250">
        <v>21.9162</v>
      </c>
      <c r="D250">
        <v>95.956000000000003</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8</v>
      </c>
      <c r="BS250">
        <v>8</v>
      </c>
      <c r="BT250">
        <v>10</v>
      </c>
      <c r="BU250">
        <v>14</v>
      </c>
      <c r="BV250">
        <v>15</v>
      </c>
      <c r="BW250">
        <v>15</v>
      </c>
    </row>
    <row r="251" spans="1:75" x14ac:dyDescent="0.25">
      <c r="A251" t="s">
        <v>1917</v>
      </c>
      <c r="B251" t="s">
        <v>725</v>
      </c>
      <c r="C251">
        <v>18.220600000000001</v>
      </c>
      <c r="D251">
        <v>-63.068600000000004</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2</v>
      </c>
      <c r="BT251">
        <v>2</v>
      </c>
      <c r="BU251">
        <v>2</v>
      </c>
      <c r="BV251">
        <v>2</v>
      </c>
      <c r="BW251">
        <v>2</v>
      </c>
    </row>
    <row r="252" spans="1:75" x14ac:dyDescent="0.25">
      <c r="A252" t="s">
        <v>1918</v>
      </c>
      <c r="B252" t="s">
        <v>725</v>
      </c>
      <c r="C252">
        <v>18.4207</v>
      </c>
      <c r="D252">
        <v>-64.64</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2</v>
      </c>
      <c r="BT252">
        <v>2</v>
      </c>
      <c r="BU252">
        <v>2</v>
      </c>
      <c r="BV252">
        <v>3</v>
      </c>
      <c r="BW252">
        <v>3</v>
      </c>
    </row>
    <row r="253" spans="1:75" x14ac:dyDescent="0.25">
      <c r="A253" t="s">
        <v>1919</v>
      </c>
      <c r="B253" t="s">
        <v>725</v>
      </c>
      <c r="C253">
        <v>21.693999999999999</v>
      </c>
      <c r="D253">
        <v>-71.797899999999998</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4</v>
      </c>
      <c r="BT253">
        <v>4</v>
      </c>
      <c r="BU253">
        <v>5</v>
      </c>
      <c r="BV253">
        <v>5</v>
      </c>
      <c r="BW253">
        <v>6</v>
      </c>
    </row>
    <row r="254" spans="1:75" x14ac:dyDescent="0.25">
      <c r="B254" t="s">
        <v>1920</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2</v>
      </c>
      <c r="BT254">
        <v>2</v>
      </c>
      <c r="BU254">
        <v>2</v>
      </c>
      <c r="BV254">
        <v>2</v>
      </c>
      <c r="BW254">
        <v>9</v>
      </c>
    </row>
    <row r="255" spans="1:75" x14ac:dyDescent="0.25">
      <c r="B255" t="s">
        <v>2022</v>
      </c>
      <c r="C255">
        <v>-22.328499999999998</v>
      </c>
      <c r="D255">
        <v>24.684899999999999</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3</v>
      </c>
      <c r="BV255">
        <v>4</v>
      </c>
      <c r="BW255">
        <v>4</v>
      </c>
    </row>
    <row r="256" spans="1:75" x14ac:dyDescent="0.25">
      <c r="B256" t="s">
        <v>2074</v>
      </c>
      <c r="C256">
        <v>-3.3731</v>
      </c>
      <c r="D256">
        <v>29.918900000000001</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2</v>
      </c>
      <c r="BW256">
        <v>2</v>
      </c>
    </row>
    <row r="257" spans="2:75" x14ac:dyDescent="0.25">
      <c r="B257" t="s">
        <v>2075</v>
      </c>
      <c r="C257">
        <v>8.4605549999999994</v>
      </c>
      <c r="D257">
        <v>-11.779889000000001</v>
      </c>
      <c r="E257">
        <v>0</v>
      </c>
      <c r="F257">
        <v>0</v>
      </c>
      <c r="G257">
        <v>0</v>
      </c>
      <c r="H257">
        <v>0</v>
      </c>
      <c r="I257">
        <v>0</v>
      </c>
      <c r="J257">
        <v>0</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1</v>
      </c>
      <c r="BW257">
        <v>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369"/>
  <sheetViews>
    <sheetView topLeftCell="AU29" workbookViewId="0">
      <selection activeCell="BD42" sqref="BD42"/>
    </sheetView>
  </sheetViews>
  <sheetFormatPr defaultRowHeight="15" x14ac:dyDescent="0.25"/>
  <cols>
    <col min="1" max="1" width="13.140625" customWidth="1"/>
    <col min="2" max="2" width="17" bestFit="1" customWidth="1"/>
    <col min="3" max="3" width="24.7109375" bestFit="1" customWidth="1"/>
    <col min="4" max="4" width="162.140625" customWidth="1"/>
    <col min="5" max="5" width="30.7109375" style="27" customWidth="1"/>
    <col min="6" max="6" width="22" customWidth="1"/>
    <col min="7" max="7" width="22.7109375" customWidth="1"/>
  </cols>
  <sheetData>
    <row r="1" spans="1:16" s="65" customFormat="1" x14ac:dyDescent="0.25">
      <c r="A1" s="67" t="s">
        <v>617</v>
      </c>
      <c r="B1" s="65" t="s">
        <v>618</v>
      </c>
      <c r="C1" s="65" t="s">
        <v>619</v>
      </c>
      <c r="D1" s="67" t="s">
        <v>620</v>
      </c>
      <c r="E1" s="68" t="s">
        <v>621</v>
      </c>
      <c r="F1" s="65" t="s">
        <v>553</v>
      </c>
      <c r="G1" s="65" t="s">
        <v>615</v>
      </c>
      <c r="H1" s="65" t="s">
        <v>616</v>
      </c>
      <c r="I1" s="67"/>
      <c r="M1" s="67"/>
      <c r="P1" s="67"/>
    </row>
    <row r="2" spans="1:16" x14ac:dyDescent="0.25">
      <c r="A2" s="30" t="s">
        <v>437</v>
      </c>
      <c r="B2" t="s">
        <v>214</v>
      </c>
      <c r="C2" t="s">
        <v>554</v>
      </c>
      <c r="D2" s="30" t="s">
        <v>555</v>
      </c>
      <c r="E2" s="45" t="s">
        <v>555</v>
      </c>
      <c r="I2" s="30"/>
      <c r="M2" s="30"/>
      <c r="P2" s="30"/>
    </row>
    <row r="3" spans="1:16" x14ac:dyDescent="0.25">
      <c r="A3" s="30" t="s">
        <v>437</v>
      </c>
      <c r="B3" t="s">
        <v>386</v>
      </c>
      <c r="C3" t="s">
        <v>438</v>
      </c>
      <c r="D3" s="30" t="s">
        <v>439</v>
      </c>
      <c r="E3" s="45" t="s">
        <v>439</v>
      </c>
      <c r="I3" s="30"/>
      <c r="M3" s="30"/>
      <c r="P3" s="30"/>
    </row>
    <row r="4" spans="1:16" x14ac:dyDescent="0.25">
      <c r="A4" s="30" t="s">
        <v>437</v>
      </c>
      <c r="B4" t="s">
        <v>387</v>
      </c>
      <c r="C4" t="s">
        <v>440</v>
      </c>
      <c r="D4" s="30" t="s">
        <v>556</v>
      </c>
      <c r="E4" s="45" t="s">
        <v>556</v>
      </c>
      <c r="I4" s="30"/>
      <c r="M4" s="30"/>
      <c r="P4" s="30"/>
    </row>
    <row r="5" spans="1:16" x14ac:dyDescent="0.25">
      <c r="A5" s="30" t="s">
        <v>437</v>
      </c>
      <c r="B5" t="s">
        <v>388</v>
      </c>
      <c r="C5" t="s">
        <v>441</v>
      </c>
      <c r="D5" s="30" t="s">
        <v>557</v>
      </c>
      <c r="E5" s="45" t="s">
        <v>557</v>
      </c>
      <c r="I5" s="30"/>
      <c r="M5" s="30"/>
      <c r="P5" s="30"/>
    </row>
    <row r="6" spans="1:16" x14ac:dyDescent="0.25">
      <c r="A6" s="30" t="s">
        <v>437</v>
      </c>
      <c r="B6" t="s">
        <v>389</v>
      </c>
      <c r="C6" t="s">
        <v>442</v>
      </c>
      <c r="D6" s="30" t="s">
        <v>558</v>
      </c>
      <c r="E6" s="45" t="s">
        <v>558</v>
      </c>
      <c r="I6" s="30"/>
      <c r="M6" s="30"/>
      <c r="P6" s="30"/>
    </row>
    <row r="7" spans="1:16" x14ac:dyDescent="0.25">
      <c r="A7" s="30" t="s">
        <v>437</v>
      </c>
      <c r="B7" t="s">
        <v>390</v>
      </c>
      <c r="C7" t="s">
        <v>443</v>
      </c>
      <c r="D7" s="30" t="s">
        <v>444</v>
      </c>
      <c r="E7" s="45" t="s">
        <v>444</v>
      </c>
      <c r="I7" s="30"/>
      <c r="M7" s="30"/>
      <c r="P7" s="30"/>
    </row>
    <row r="8" spans="1:16" x14ac:dyDescent="0.25">
      <c r="A8" s="30" t="s">
        <v>437</v>
      </c>
      <c r="B8" t="s">
        <v>391</v>
      </c>
      <c r="C8" t="s">
        <v>445</v>
      </c>
      <c r="D8" s="30" t="s">
        <v>559</v>
      </c>
      <c r="E8" s="45" t="s">
        <v>559</v>
      </c>
      <c r="I8" s="30"/>
      <c r="M8" s="30"/>
      <c r="P8" s="30"/>
    </row>
    <row r="9" spans="1:16" x14ac:dyDescent="0.25">
      <c r="A9" s="30" t="s">
        <v>437</v>
      </c>
      <c r="B9" t="s">
        <v>392</v>
      </c>
      <c r="C9" t="s">
        <v>446</v>
      </c>
      <c r="D9" s="30" t="s">
        <v>560</v>
      </c>
      <c r="E9" s="45" t="s">
        <v>560</v>
      </c>
      <c r="I9" s="30"/>
      <c r="M9" s="30"/>
      <c r="P9" s="30"/>
    </row>
    <row r="10" spans="1:16" x14ac:dyDescent="0.25">
      <c r="A10" s="30" t="s">
        <v>437</v>
      </c>
      <c r="B10" t="s">
        <v>393</v>
      </c>
      <c r="C10" t="s">
        <v>447</v>
      </c>
      <c r="D10" s="30" t="s">
        <v>561</v>
      </c>
      <c r="E10" s="45" t="s">
        <v>561</v>
      </c>
      <c r="I10" s="30"/>
      <c r="M10" s="30"/>
      <c r="P10" s="30"/>
    </row>
    <row r="11" spans="1:16" x14ac:dyDescent="0.25">
      <c r="A11" s="30" t="s">
        <v>437</v>
      </c>
      <c r="B11" t="s">
        <v>562</v>
      </c>
      <c r="C11" t="s">
        <v>563</v>
      </c>
      <c r="D11" s="30" t="s">
        <v>564</v>
      </c>
      <c r="E11" s="45" t="s">
        <v>564</v>
      </c>
      <c r="I11" s="30"/>
      <c r="M11" s="30"/>
      <c r="P11" s="30"/>
    </row>
    <row r="12" spans="1:16" x14ac:dyDescent="0.25">
      <c r="A12" s="30" t="s">
        <v>437</v>
      </c>
      <c r="B12" t="s">
        <v>394</v>
      </c>
      <c r="C12" t="s">
        <v>448</v>
      </c>
      <c r="D12" s="30" t="s">
        <v>565</v>
      </c>
      <c r="E12" s="45" t="s">
        <v>565</v>
      </c>
      <c r="I12" s="30"/>
      <c r="M12" s="30"/>
      <c r="P12" s="30"/>
    </row>
    <row r="13" spans="1:16" x14ac:dyDescent="0.25">
      <c r="A13" s="30" t="s">
        <v>437</v>
      </c>
      <c r="B13" t="s">
        <v>566</v>
      </c>
      <c r="C13" t="s">
        <v>567</v>
      </c>
      <c r="D13" s="30" t="s">
        <v>568</v>
      </c>
      <c r="E13" s="45" t="s">
        <v>568</v>
      </c>
      <c r="I13" s="30"/>
      <c r="M13" s="30"/>
      <c r="P13" s="30"/>
    </row>
    <row r="14" spans="1:16" x14ac:dyDescent="0.25">
      <c r="A14" s="30" t="s">
        <v>437</v>
      </c>
      <c r="B14" t="s">
        <v>395</v>
      </c>
      <c r="C14" t="s">
        <v>449</v>
      </c>
      <c r="D14" s="30" t="s">
        <v>569</v>
      </c>
      <c r="E14" s="45" t="s">
        <v>569</v>
      </c>
      <c r="I14" s="30"/>
      <c r="M14" s="30"/>
      <c r="P14" s="30"/>
    </row>
    <row r="15" spans="1:16" x14ac:dyDescent="0.25">
      <c r="A15" s="30" t="s">
        <v>437</v>
      </c>
      <c r="B15" t="s">
        <v>396</v>
      </c>
      <c r="C15" t="s">
        <v>450</v>
      </c>
      <c r="D15" s="30" t="s">
        <v>397</v>
      </c>
      <c r="E15" s="45" t="s">
        <v>397</v>
      </c>
      <c r="G15" s="30" t="s">
        <v>642</v>
      </c>
      <c r="H15" s="30" t="s">
        <v>622</v>
      </c>
      <c r="I15" s="30" t="s">
        <v>397</v>
      </c>
      <c r="J15" s="30" t="s">
        <v>643</v>
      </c>
      <c r="M15" s="30"/>
      <c r="P15" s="30"/>
    </row>
    <row r="16" spans="1:16" x14ac:dyDescent="0.25">
      <c r="A16" s="30" t="s">
        <v>437</v>
      </c>
      <c r="B16" t="s">
        <v>398</v>
      </c>
      <c r="C16" t="s">
        <v>451</v>
      </c>
      <c r="D16" s="30" t="s">
        <v>399</v>
      </c>
      <c r="E16" s="45" t="s">
        <v>399</v>
      </c>
      <c r="I16" s="30"/>
      <c r="M16" s="30"/>
      <c r="P16" s="30"/>
    </row>
    <row r="17" spans="1:16" x14ac:dyDescent="0.25">
      <c r="A17" s="30" t="s">
        <v>437</v>
      </c>
      <c r="B17" t="s">
        <v>400</v>
      </c>
      <c r="C17" t="s">
        <v>452</v>
      </c>
      <c r="D17" s="30" t="s">
        <v>401</v>
      </c>
      <c r="E17" s="45" t="s">
        <v>401</v>
      </c>
      <c r="G17" s="30" t="s">
        <v>624</v>
      </c>
      <c r="H17" s="30" t="s">
        <v>623</v>
      </c>
      <c r="I17" s="30" t="s">
        <v>401</v>
      </c>
      <c r="J17" s="30" t="s">
        <v>647</v>
      </c>
      <c r="M17" s="30"/>
      <c r="P17" s="30"/>
    </row>
    <row r="18" spans="1:16" x14ac:dyDescent="0.25">
      <c r="A18" s="30" t="s">
        <v>437</v>
      </c>
      <c r="B18" t="s">
        <v>570</v>
      </c>
      <c r="C18" t="s">
        <v>571</v>
      </c>
      <c r="D18" s="30" t="s">
        <v>402</v>
      </c>
      <c r="E18" s="45" t="s">
        <v>402</v>
      </c>
      <c r="I18" s="30"/>
      <c r="M18" s="30"/>
      <c r="P18" s="30"/>
    </row>
    <row r="19" spans="1:16" x14ac:dyDescent="0.25">
      <c r="A19" s="30" t="s">
        <v>437</v>
      </c>
      <c r="B19" t="s">
        <v>572</v>
      </c>
      <c r="C19" t="s">
        <v>573</v>
      </c>
      <c r="D19" s="30" t="s">
        <v>574</v>
      </c>
      <c r="E19" s="45" t="s">
        <v>574</v>
      </c>
      <c r="I19" s="30"/>
      <c r="M19" s="30"/>
      <c r="P19" s="30"/>
    </row>
    <row r="20" spans="1:16" x14ac:dyDescent="0.25">
      <c r="A20" s="30"/>
      <c r="B20" t="s">
        <v>575</v>
      </c>
      <c r="C20" t="s">
        <v>575</v>
      </c>
      <c r="D20" s="30" t="s">
        <v>576</v>
      </c>
      <c r="E20" s="45" t="s">
        <v>576</v>
      </c>
      <c r="I20" s="30"/>
      <c r="M20" s="30"/>
      <c r="P20" s="30"/>
    </row>
    <row r="21" spans="1:16" x14ac:dyDescent="0.25">
      <c r="A21" s="30" t="s">
        <v>437</v>
      </c>
      <c r="B21" t="s">
        <v>403</v>
      </c>
      <c r="C21" t="s">
        <v>453</v>
      </c>
      <c r="D21" s="30" t="s">
        <v>454</v>
      </c>
      <c r="E21" s="45" t="s">
        <v>454</v>
      </c>
      <c r="I21" s="30"/>
      <c r="M21" s="30"/>
      <c r="P21" s="30"/>
    </row>
    <row r="22" spans="1:16" x14ac:dyDescent="0.25">
      <c r="A22" s="30" t="s">
        <v>437</v>
      </c>
      <c r="B22" t="s">
        <v>404</v>
      </c>
      <c r="C22" t="s">
        <v>455</v>
      </c>
      <c r="D22" s="30" t="s">
        <v>577</v>
      </c>
      <c r="E22" s="45" t="s">
        <v>577</v>
      </c>
      <c r="I22" s="30"/>
      <c r="M22" s="30"/>
      <c r="P22" s="30"/>
    </row>
    <row r="23" spans="1:16" x14ac:dyDescent="0.25">
      <c r="A23" s="30" t="s">
        <v>437</v>
      </c>
      <c r="B23" t="s">
        <v>405</v>
      </c>
      <c r="C23" t="s">
        <v>456</v>
      </c>
      <c r="D23" s="30" t="s">
        <v>578</v>
      </c>
      <c r="E23" s="45" t="s">
        <v>578</v>
      </c>
      <c r="I23" s="30"/>
      <c r="M23" s="30"/>
      <c r="P23" s="30"/>
    </row>
    <row r="24" spans="1:16" x14ac:dyDescent="0.25">
      <c r="A24" s="30" t="s">
        <v>437</v>
      </c>
      <c r="B24" t="s">
        <v>406</v>
      </c>
      <c r="C24" t="s">
        <v>457</v>
      </c>
      <c r="D24" s="30" t="s">
        <v>579</v>
      </c>
      <c r="E24" s="45" t="s">
        <v>579</v>
      </c>
      <c r="I24" s="30"/>
      <c r="M24" s="30"/>
      <c r="P24" s="30"/>
    </row>
    <row r="25" spans="1:16" x14ac:dyDescent="0.25">
      <c r="A25" s="30" t="s">
        <v>437</v>
      </c>
      <c r="B25" t="s">
        <v>580</v>
      </c>
      <c r="C25" t="s">
        <v>581</v>
      </c>
      <c r="D25" s="30" t="s">
        <v>582</v>
      </c>
      <c r="E25" s="45" t="s">
        <v>582</v>
      </c>
      <c r="I25" s="30"/>
      <c r="M25" s="30"/>
      <c r="P25" s="30"/>
    </row>
    <row r="26" spans="1:16" x14ac:dyDescent="0.25">
      <c r="A26" s="30" t="s">
        <v>437</v>
      </c>
      <c r="B26" t="s">
        <v>407</v>
      </c>
      <c r="C26" t="s">
        <v>458</v>
      </c>
      <c r="D26" s="30" t="s">
        <v>583</v>
      </c>
      <c r="E26" s="45" t="s">
        <v>583</v>
      </c>
      <c r="I26" s="30"/>
      <c r="M26" s="30"/>
      <c r="P26" s="30"/>
    </row>
    <row r="27" spans="1:16" x14ac:dyDescent="0.25">
      <c r="A27" s="30" t="s">
        <v>437</v>
      </c>
      <c r="B27" t="s">
        <v>408</v>
      </c>
      <c r="C27" t="s">
        <v>459</v>
      </c>
      <c r="D27" s="30" t="s">
        <v>409</v>
      </c>
      <c r="E27" s="45" t="s">
        <v>409</v>
      </c>
      <c r="G27" s="30" t="s">
        <v>648</v>
      </c>
      <c r="H27" s="30" t="s">
        <v>636</v>
      </c>
      <c r="I27" s="30" t="s">
        <v>409</v>
      </c>
      <c r="J27" s="30" t="s">
        <v>650</v>
      </c>
      <c r="M27" s="30"/>
      <c r="P27" s="30"/>
    </row>
    <row r="28" spans="1:16" x14ac:dyDescent="0.25">
      <c r="A28" s="30" t="s">
        <v>437</v>
      </c>
      <c r="B28" t="s">
        <v>410</v>
      </c>
      <c r="C28" t="s">
        <v>460</v>
      </c>
      <c r="D28" s="30" t="s">
        <v>411</v>
      </c>
      <c r="E28" s="45" t="s">
        <v>411</v>
      </c>
      <c r="I28" s="30"/>
      <c r="M28" s="30"/>
      <c r="P28" s="30"/>
    </row>
    <row r="29" spans="1:16" x14ac:dyDescent="0.25">
      <c r="A29" s="30" t="s">
        <v>437</v>
      </c>
      <c r="B29" t="s">
        <v>412</v>
      </c>
      <c r="C29" t="s">
        <v>461</v>
      </c>
      <c r="D29" s="30" t="s">
        <v>413</v>
      </c>
      <c r="E29" s="45" t="s">
        <v>413</v>
      </c>
      <c r="G29" t="s">
        <v>637</v>
      </c>
      <c r="H29" t="s">
        <v>638</v>
      </c>
      <c r="I29" s="30"/>
      <c r="M29" s="30"/>
      <c r="P29" s="30"/>
    </row>
    <row r="30" spans="1:16" x14ac:dyDescent="0.25">
      <c r="A30" s="30" t="s">
        <v>437</v>
      </c>
      <c r="B30" t="s">
        <v>414</v>
      </c>
      <c r="C30" t="s">
        <v>462</v>
      </c>
      <c r="D30" s="30" t="s">
        <v>415</v>
      </c>
      <c r="E30" s="45" t="s">
        <v>415</v>
      </c>
      <c r="I30" s="30"/>
      <c r="M30" s="30"/>
      <c r="P30" s="30"/>
    </row>
    <row r="31" spans="1:16" x14ac:dyDescent="0.25">
      <c r="A31" s="30" t="s">
        <v>437</v>
      </c>
      <c r="B31" t="s">
        <v>584</v>
      </c>
      <c r="C31" t="s">
        <v>585</v>
      </c>
      <c r="D31" s="30" t="s">
        <v>586</v>
      </c>
      <c r="E31" s="45" t="s">
        <v>586</v>
      </c>
      <c r="I31" s="30"/>
      <c r="M31" s="30"/>
      <c r="P31" s="30"/>
    </row>
    <row r="32" spans="1:16" x14ac:dyDescent="0.25">
      <c r="A32" s="30" t="s">
        <v>437</v>
      </c>
      <c r="B32" t="s">
        <v>416</v>
      </c>
      <c r="C32" t="s">
        <v>463</v>
      </c>
      <c r="D32" s="30" t="s">
        <v>587</v>
      </c>
      <c r="E32" s="45" t="s">
        <v>587</v>
      </c>
      <c r="I32" s="30"/>
      <c r="M32" s="30"/>
      <c r="P32" s="30"/>
    </row>
    <row r="33" spans="1:16" x14ac:dyDescent="0.25">
      <c r="A33" s="30" t="s">
        <v>437</v>
      </c>
      <c r="B33" t="s">
        <v>417</v>
      </c>
      <c r="C33" t="s">
        <v>464</v>
      </c>
      <c r="D33" s="30" t="s">
        <v>588</v>
      </c>
      <c r="E33" s="45" t="s">
        <v>588</v>
      </c>
      <c r="I33" s="30"/>
      <c r="M33" s="30"/>
      <c r="P33" s="30"/>
    </row>
    <row r="34" spans="1:16" x14ac:dyDescent="0.25">
      <c r="A34" s="30" t="s">
        <v>437</v>
      </c>
      <c r="B34" t="s">
        <v>418</v>
      </c>
      <c r="C34" t="s">
        <v>465</v>
      </c>
      <c r="D34" s="30" t="s">
        <v>589</v>
      </c>
      <c r="E34" s="45" t="s">
        <v>589</v>
      </c>
      <c r="I34" s="30"/>
      <c r="M34" s="30"/>
      <c r="P34" s="30"/>
    </row>
    <row r="35" spans="1:16" x14ac:dyDescent="0.25">
      <c r="A35" s="30" t="s">
        <v>437</v>
      </c>
      <c r="B35" t="s">
        <v>590</v>
      </c>
      <c r="C35" t="s">
        <v>591</v>
      </c>
      <c r="D35" s="30" t="s">
        <v>592</v>
      </c>
      <c r="E35" s="45" t="s">
        <v>592</v>
      </c>
      <c r="I35" s="30"/>
      <c r="M35" s="30"/>
      <c r="P35" s="30"/>
    </row>
    <row r="36" spans="1:16" x14ac:dyDescent="0.25">
      <c r="A36" s="30" t="s">
        <v>437</v>
      </c>
      <c r="B36" t="s">
        <v>419</v>
      </c>
      <c r="C36" t="s">
        <v>466</v>
      </c>
      <c r="D36" s="30" t="s">
        <v>593</v>
      </c>
      <c r="E36" s="45" t="s">
        <v>593</v>
      </c>
      <c r="I36" s="30"/>
      <c r="M36" s="30"/>
      <c r="P36" s="30"/>
    </row>
    <row r="37" spans="1:16" x14ac:dyDescent="0.25">
      <c r="A37" s="30" t="s">
        <v>437</v>
      </c>
      <c r="B37" t="s">
        <v>594</v>
      </c>
      <c r="C37" t="s">
        <v>595</v>
      </c>
      <c r="D37" s="30" t="s">
        <v>596</v>
      </c>
      <c r="E37" s="45" t="s">
        <v>596</v>
      </c>
      <c r="I37" s="30"/>
      <c r="M37" s="30"/>
      <c r="P37" s="30"/>
    </row>
    <row r="38" spans="1:16" x14ac:dyDescent="0.25">
      <c r="A38" s="30" t="s">
        <v>437</v>
      </c>
      <c r="B38" t="s">
        <v>420</v>
      </c>
      <c r="C38" t="s">
        <v>467</v>
      </c>
      <c r="D38" s="30" t="s">
        <v>421</v>
      </c>
      <c r="E38" s="45" t="s">
        <v>421</v>
      </c>
      <c r="G38" s="30" t="s">
        <v>649</v>
      </c>
      <c r="H38" s="30" t="s">
        <v>639</v>
      </c>
      <c r="I38" s="30" t="s">
        <v>421</v>
      </c>
      <c r="J38" s="30" t="s">
        <v>651</v>
      </c>
      <c r="M38" s="30"/>
      <c r="P38" s="30"/>
    </row>
    <row r="39" spans="1:16" x14ac:dyDescent="0.25">
      <c r="A39" s="30" t="s">
        <v>437</v>
      </c>
      <c r="B39" t="s">
        <v>422</v>
      </c>
      <c r="C39" t="s">
        <v>468</v>
      </c>
      <c r="D39" s="30" t="s">
        <v>423</v>
      </c>
      <c r="E39" s="45" t="s">
        <v>423</v>
      </c>
      <c r="I39" s="30"/>
      <c r="M39" s="30"/>
      <c r="P39" s="30"/>
    </row>
    <row r="40" spans="1:16" x14ac:dyDescent="0.25">
      <c r="A40" s="30" t="s">
        <v>437</v>
      </c>
      <c r="B40" t="s">
        <v>424</v>
      </c>
      <c r="C40" t="s">
        <v>469</v>
      </c>
      <c r="D40" s="30" t="s">
        <v>425</v>
      </c>
      <c r="E40" s="45" t="s">
        <v>425</v>
      </c>
      <c r="G40" t="s">
        <v>640</v>
      </c>
      <c r="H40" t="s">
        <v>641</v>
      </c>
      <c r="I40" s="30"/>
      <c r="M40" s="30"/>
      <c r="P40" s="30"/>
    </row>
    <row r="41" spans="1:16" x14ac:dyDescent="0.25">
      <c r="A41" s="30" t="s">
        <v>437</v>
      </c>
      <c r="B41" t="s">
        <v>426</v>
      </c>
      <c r="C41" t="s">
        <v>470</v>
      </c>
      <c r="D41" s="30" t="s">
        <v>427</v>
      </c>
      <c r="E41" s="45" t="s">
        <v>427</v>
      </c>
      <c r="I41" s="30"/>
      <c r="M41" s="30"/>
      <c r="P41" s="30"/>
    </row>
    <row r="42" spans="1:16" x14ac:dyDescent="0.25">
      <c r="A42" s="30" t="s">
        <v>437</v>
      </c>
      <c r="B42" t="s">
        <v>597</v>
      </c>
      <c r="C42" t="s">
        <v>598</v>
      </c>
      <c r="D42" s="30" t="s">
        <v>599</v>
      </c>
      <c r="E42" s="45" t="s">
        <v>599</v>
      </c>
      <c r="I42" s="30"/>
      <c r="M42" s="30"/>
      <c r="P42" s="30"/>
    </row>
    <row r="43" spans="1:16" x14ac:dyDescent="0.25">
      <c r="A43" s="30" t="s">
        <v>437</v>
      </c>
      <c r="B43" t="s">
        <v>158</v>
      </c>
      <c r="C43" t="s">
        <v>471</v>
      </c>
      <c r="D43" s="30" t="s">
        <v>472</v>
      </c>
      <c r="E43" s="45" t="s">
        <v>472</v>
      </c>
      <c r="I43" s="30"/>
      <c r="M43" s="30"/>
      <c r="P43" s="30"/>
    </row>
    <row r="44" spans="1:16" x14ac:dyDescent="0.25">
      <c r="A44" s="30" t="s">
        <v>437</v>
      </c>
      <c r="B44" t="s">
        <v>428</v>
      </c>
      <c r="C44" t="s">
        <v>473</v>
      </c>
      <c r="D44" s="30" t="s">
        <v>600</v>
      </c>
      <c r="E44" s="45" t="s">
        <v>600</v>
      </c>
      <c r="I44" s="30"/>
      <c r="M44" s="30"/>
      <c r="P44" s="30"/>
    </row>
    <row r="45" spans="1:16" x14ac:dyDescent="0.25">
      <c r="A45" s="30" t="s">
        <v>437</v>
      </c>
      <c r="B45" t="s">
        <v>429</v>
      </c>
      <c r="C45" t="s">
        <v>474</v>
      </c>
      <c r="D45" s="30" t="s">
        <v>601</v>
      </c>
      <c r="E45" s="45" t="s">
        <v>601</v>
      </c>
      <c r="I45" s="30"/>
      <c r="M45" s="30"/>
      <c r="P45" s="30"/>
    </row>
    <row r="46" spans="1:16" x14ac:dyDescent="0.25">
      <c r="A46" s="30" t="s">
        <v>437</v>
      </c>
      <c r="B46" t="s">
        <v>430</v>
      </c>
      <c r="C46" t="s">
        <v>475</v>
      </c>
      <c r="D46" s="30" t="s">
        <v>602</v>
      </c>
      <c r="E46" s="45" t="s">
        <v>602</v>
      </c>
      <c r="I46" s="30"/>
      <c r="M46" s="30"/>
      <c r="P46" s="30"/>
    </row>
    <row r="47" spans="1:16" x14ac:dyDescent="0.25">
      <c r="A47" s="30" t="s">
        <v>437</v>
      </c>
      <c r="B47" t="s">
        <v>603</v>
      </c>
      <c r="C47" t="s">
        <v>604</v>
      </c>
      <c r="D47" s="30" t="s">
        <v>605</v>
      </c>
      <c r="E47" s="45" t="s">
        <v>605</v>
      </c>
      <c r="I47" s="30"/>
      <c r="M47" s="30"/>
      <c r="P47" s="30"/>
    </row>
    <row r="48" spans="1:16" x14ac:dyDescent="0.25">
      <c r="A48" s="30" t="s">
        <v>437</v>
      </c>
      <c r="B48" t="s">
        <v>606</v>
      </c>
      <c r="C48" t="s">
        <v>607</v>
      </c>
      <c r="D48" s="30" t="s">
        <v>608</v>
      </c>
      <c r="E48" s="45" t="s">
        <v>608</v>
      </c>
      <c r="I48" s="30"/>
      <c r="M48" s="30"/>
      <c r="P48" s="30"/>
    </row>
    <row r="49" spans="1:16" x14ac:dyDescent="0.25">
      <c r="A49" s="30" t="s">
        <v>437</v>
      </c>
      <c r="B49" t="s">
        <v>431</v>
      </c>
      <c r="C49" t="s">
        <v>476</v>
      </c>
      <c r="D49" s="30" t="s">
        <v>609</v>
      </c>
      <c r="E49" s="45" t="s">
        <v>609</v>
      </c>
      <c r="I49" s="30"/>
      <c r="M49" s="30"/>
      <c r="P49" s="30"/>
    </row>
    <row r="50" spans="1:16" x14ac:dyDescent="0.25">
      <c r="B50" t="s">
        <v>610</v>
      </c>
      <c r="C50" t="s">
        <v>610</v>
      </c>
      <c r="D50" s="30" t="s">
        <v>611</v>
      </c>
      <c r="E50" s="45" t="s">
        <v>611</v>
      </c>
      <c r="I50" s="30"/>
      <c r="M50" s="30"/>
      <c r="P50" s="30"/>
    </row>
    <row r="51" spans="1:16" x14ac:dyDescent="0.25">
      <c r="A51" s="30" t="s">
        <v>437</v>
      </c>
      <c r="B51" t="s">
        <v>432</v>
      </c>
      <c r="C51" t="s">
        <v>477</v>
      </c>
      <c r="D51" s="30" t="s">
        <v>627</v>
      </c>
      <c r="E51" s="45" t="s">
        <v>627</v>
      </c>
      <c r="G51" s="30" t="s">
        <v>633</v>
      </c>
      <c r="H51" s="30" t="s">
        <v>632</v>
      </c>
      <c r="I51" s="30" t="s">
        <v>627</v>
      </c>
      <c r="J51" s="30" t="s">
        <v>652</v>
      </c>
      <c r="M51" s="30"/>
      <c r="P51" s="30"/>
    </row>
    <row r="52" spans="1:16" x14ac:dyDescent="0.25">
      <c r="A52" s="30" t="s">
        <v>437</v>
      </c>
      <c r="B52" t="s">
        <v>433</v>
      </c>
      <c r="C52" t="s">
        <v>478</v>
      </c>
      <c r="D52" s="30" t="s">
        <v>628</v>
      </c>
      <c r="E52" s="45" t="s">
        <v>628</v>
      </c>
      <c r="G52" s="25"/>
      <c r="H52" s="25"/>
      <c r="I52" s="30"/>
      <c r="M52" s="30"/>
      <c r="P52" s="30"/>
    </row>
    <row r="53" spans="1:16" x14ac:dyDescent="0.25">
      <c r="A53" s="30" t="s">
        <v>437</v>
      </c>
      <c r="B53" t="s">
        <v>434</v>
      </c>
      <c r="C53" t="s">
        <v>479</v>
      </c>
      <c r="D53" s="30" t="s">
        <v>629</v>
      </c>
      <c r="E53" s="45" t="s">
        <v>629</v>
      </c>
      <c r="G53" s="25"/>
      <c r="H53" s="25"/>
      <c r="I53" s="30"/>
      <c r="M53" s="30"/>
      <c r="P53" s="30"/>
    </row>
    <row r="54" spans="1:16" s="25" customFormat="1" x14ac:dyDescent="0.25">
      <c r="A54" s="30" t="s">
        <v>437</v>
      </c>
      <c r="B54" s="25" t="s">
        <v>435</v>
      </c>
      <c r="C54" s="25" t="s">
        <v>480</v>
      </c>
      <c r="D54" s="30" t="s">
        <v>630</v>
      </c>
      <c r="E54" s="45"/>
      <c r="G54" s="25" t="s">
        <v>634</v>
      </c>
      <c r="H54" s="25" t="s">
        <v>635</v>
      </c>
      <c r="I54" s="30"/>
      <c r="M54" s="30"/>
      <c r="P54" s="30"/>
    </row>
    <row r="55" spans="1:16" x14ac:dyDescent="0.25">
      <c r="A55" s="30" t="s">
        <v>437</v>
      </c>
      <c r="B55" t="s">
        <v>436</v>
      </c>
      <c r="C55" t="s">
        <v>481</v>
      </c>
      <c r="D55" s="30" t="s">
        <v>631</v>
      </c>
      <c r="E55" s="45" t="s">
        <v>631</v>
      </c>
      <c r="G55" s="25"/>
      <c r="H55" s="25"/>
      <c r="I55" s="30"/>
      <c r="M55" s="30"/>
      <c r="P55" s="30"/>
    </row>
    <row r="56" spans="1:16" x14ac:dyDescent="0.25">
      <c r="A56" s="30" t="s">
        <v>437</v>
      </c>
      <c r="B56" t="s">
        <v>612</v>
      </c>
      <c r="C56" t="s">
        <v>613</v>
      </c>
      <c r="D56" s="30" t="s">
        <v>614</v>
      </c>
      <c r="E56" s="45" t="s">
        <v>614</v>
      </c>
      <c r="I56" s="30"/>
      <c r="M56" s="30"/>
      <c r="P56" s="30"/>
    </row>
    <row r="57" spans="1:16" x14ac:dyDescent="0.25">
      <c r="I57" s="30"/>
      <c r="M57" s="30"/>
      <c r="P57" s="30"/>
    </row>
    <row r="58" spans="1:16" x14ac:dyDescent="0.25">
      <c r="P58" s="30"/>
    </row>
    <row r="59" spans="1:16" s="65" customFormat="1" x14ac:dyDescent="0.25">
      <c r="A59" s="65" t="s">
        <v>727</v>
      </c>
      <c r="B59" s="65" t="s">
        <v>726</v>
      </c>
      <c r="C59" s="66" t="s">
        <v>619</v>
      </c>
      <c r="D59" s="67" t="s">
        <v>620</v>
      </c>
      <c r="E59" s="67" t="s">
        <v>621</v>
      </c>
      <c r="H59" s="67"/>
    </row>
    <row r="60" spans="1:16" x14ac:dyDescent="0.25">
      <c r="A60" s="30" t="s">
        <v>730</v>
      </c>
      <c r="B60" t="s">
        <v>726</v>
      </c>
      <c r="C60" s="27" t="s">
        <v>728</v>
      </c>
      <c r="D60" s="30" t="s">
        <v>729</v>
      </c>
      <c r="E60" s="30" t="s">
        <v>729</v>
      </c>
      <c r="H60" s="30"/>
    </row>
    <row r="61" spans="1:16" x14ac:dyDescent="0.25">
      <c r="A61" t="s">
        <v>437</v>
      </c>
      <c r="B61" t="s">
        <v>214</v>
      </c>
      <c r="C61" s="45" t="s">
        <v>731</v>
      </c>
      <c r="D61" s="30" t="s">
        <v>732</v>
      </c>
      <c r="E61" s="30" t="s">
        <v>732</v>
      </c>
      <c r="H61" s="30"/>
    </row>
    <row r="62" spans="1:16" x14ac:dyDescent="0.25">
      <c r="A62" t="s">
        <v>437</v>
      </c>
      <c r="B62" t="s">
        <v>733</v>
      </c>
      <c r="C62" s="27" t="s">
        <v>554</v>
      </c>
      <c r="D62" s="30" t="s">
        <v>555</v>
      </c>
      <c r="E62" s="30" t="s">
        <v>555</v>
      </c>
      <c r="H62" s="30"/>
    </row>
    <row r="63" spans="1:16" x14ac:dyDescent="0.25">
      <c r="A63" t="s">
        <v>437</v>
      </c>
      <c r="B63" t="s">
        <v>736</v>
      </c>
      <c r="C63" s="27" t="s">
        <v>734</v>
      </c>
      <c r="D63" s="30" t="s">
        <v>735</v>
      </c>
      <c r="E63" s="30" t="s">
        <v>735</v>
      </c>
      <c r="H63" s="30"/>
    </row>
    <row r="64" spans="1:16" x14ac:dyDescent="0.25">
      <c r="A64" t="s">
        <v>437</v>
      </c>
      <c r="B64" t="s">
        <v>739</v>
      </c>
      <c r="C64" s="27" t="s">
        <v>737</v>
      </c>
      <c r="D64" s="30" t="s">
        <v>738</v>
      </c>
      <c r="E64" s="30" t="s">
        <v>738</v>
      </c>
      <c r="H64" s="30"/>
    </row>
    <row r="65" spans="1:8" x14ac:dyDescent="0.25">
      <c r="A65" t="s">
        <v>437</v>
      </c>
      <c r="B65" t="s">
        <v>742</v>
      </c>
      <c r="C65" s="27" t="s">
        <v>740</v>
      </c>
      <c r="D65" s="30" t="s">
        <v>741</v>
      </c>
      <c r="E65" s="30" t="s">
        <v>741</v>
      </c>
      <c r="H65" s="30"/>
    </row>
    <row r="66" spans="1:8" x14ac:dyDescent="0.25">
      <c r="A66" t="s">
        <v>437</v>
      </c>
      <c r="B66" t="s">
        <v>744</v>
      </c>
      <c r="C66" s="27" t="s">
        <v>743</v>
      </c>
      <c r="D66" s="30" t="s">
        <v>427</v>
      </c>
      <c r="E66" s="30" t="s">
        <v>427</v>
      </c>
      <c r="H66" s="30"/>
    </row>
    <row r="67" spans="1:8" x14ac:dyDescent="0.25">
      <c r="A67" t="s">
        <v>437</v>
      </c>
      <c r="B67" t="s">
        <v>747</v>
      </c>
      <c r="C67" s="27" t="s">
        <v>745</v>
      </c>
      <c r="D67" s="30" t="s">
        <v>746</v>
      </c>
      <c r="E67" s="30" t="s">
        <v>746</v>
      </c>
    </row>
    <row r="68" spans="1:8" x14ac:dyDescent="0.25">
      <c r="A68" t="s">
        <v>437</v>
      </c>
      <c r="B68" t="s">
        <v>750</v>
      </c>
      <c r="C68" s="27" t="s">
        <v>748</v>
      </c>
      <c r="D68" s="30" t="s">
        <v>749</v>
      </c>
      <c r="E68" s="30" t="s">
        <v>749</v>
      </c>
    </row>
    <row r="69" spans="1:8" x14ac:dyDescent="0.25">
      <c r="A69" t="s">
        <v>437</v>
      </c>
      <c r="B69" t="s">
        <v>386</v>
      </c>
      <c r="C69" s="27" t="s">
        <v>751</v>
      </c>
      <c r="D69" s="30" t="s">
        <v>752</v>
      </c>
      <c r="E69" s="30" t="s">
        <v>752</v>
      </c>
    </row>
    <row r="70" spans="1:8" x14ac:dyDescent="0.25">
      <c r="A70" t="s">
        <v>437</v>
      </c>
      <c r="B70" t="s">
        <v>753</v>
      </c>
      <c r="C70" s="27" t="s">
        <v>438</v>
      </c>
      <c r="D70" s="30" t="s">
        <v>439</v>
      </c>
      <c r="E70" s="30" t="s">
        <v>439</v>
      </c>
    </row>
    <row r="71" spans="1:8" x14ac:dyDescent="0.25">
      <c r="A71" t="s">
        <v>437</v>
      </c>
      <c r="B71" t="s">
        <v>387</v>
      </c>
      <c r="C71" s="27" t="s">
        <v>754</v>
      </c>
      <c r="D71" s="30" t="s">
        <v>755</v>
      </c>
      <c r="E71" s="30" t="s">
        <v>755</v>
      </c>
    </row>
    <row r="72" spans="1:8" x14ac:dyDescent="0.25">
      <c r="A72" t="s">
        <v>437</v>
      </c>
      <c r="B72" t="s">
        <v>388</v>
      </c>
      <c r="C72" s="27" t="s">
        <v>440</v>
      </c>
      <c r="D72" s="30" t="s">
        <v>756</v>
      </c>
      <c r="E72" s="30" t="s">
        <v>756</v>
      </c>
    </row>
    <row r="73" spans="1:8" x14ac:dyDescent="0.25">
      <c r="A73" t="s">
        <v>437</v>
      </c>
      <c r="B73" t="s">
        <v>389</v>
      </c>
      <c r="C73" s="27" t="s">
        <v>441</v>
      </c>
      <c r="D73" s="30" t="s">
        <v>757</v>
      </c>
      <c r="E73" s="30" t="s">
        <v>757</v>
      </c>
    </row>
    <row r="74" spans="1:8" x14ac:dyDescent="0.25">
      <c r="A74" t="s">
        <v>437</v>
      </c>
      <c r="B74" t="s">
        <v>390</v>
      </c>
      <c r="C74" s="27" t="s">
        <v>442</v>
      </c>
      <c r="D74" s="30" t="s">
        <v>758</v>
      </c>
      <c r="E74" s="30" t="s">
        <v>758</v>
      </c>
    </row>
    <row r="75" spans="1:8" x14ac:dyDescent="0.25">
      <c r="A75" t="s">
        <v>437</v>
      </c>
      <c r="B75" t="s">
        <v>759</v>
      </c>
      <c r="C75" s="45" t="s">
        <v>443</v>
      </c>
      <c r="D75" s="30" t="s">
        <v>444</v>
      </c>
      <c r="E75" s="30" t="s">
        <v>444</v>
      </c>
    </row>
    <row r="76" spans="1:8" x14ac:dyDescent="0.25">
      <c r="A76" s="30" t="s">
        <v>437</v>
      </c>
      <c r="B76" t="s">
        <v>391</v>
      </c>
      <c r="C76" s="45" t="s">
        <v>760</v>
      </c>
      <c r="D76" s="30" t="s">
        <v>761</v>
      </c>
      <c r="E76" s="30" t="s">
        <v>761</v>
      </c>
    </row>
    <row r="77" spans="1:8" x14ac:dyDescent="0.25">
      <c r="A77" s="30" t="s">
        <v>437</v>
      </c>
      <c r="B77" t="s">
        <v>392</v>
      </c>
      <c r="C77" s="45" t="s">
        <v>445</v>
      </c>
      <c r="D77" s="30" t="s">
        <v>762</v>
      </c>
      <c r="E77" s="30" t="s">
        <v>762</v>
      </c>
    </row>
    <row r="78" spans="1:8" x14ac:dyDescent="0.25">
      <c r="A78" s="30" t="s">
        <v>437</v>
      </c>
      <c r="B78" t="s">
        <v>393</v>
      </c>
      <c r="C78" s="45" t="s">
        <v>446</v>
      </c>
      <c r="D78" s="30" t="s">
        <v>763</v>
      </c>
      <c r="E78" s="30" t="s">
        <v>763</v>
      </c>
    </row>
    <row r="79" spans="1:8" x14ac:dyDescent="0.25">
      <c r="A79" s="30" t="s">
        <v>437</v>
      </c>
      <c r="B79" t="s">
        <v>562</v>
      </c>
      <c r="C79" s="45" t="s">
        <v>447</v>
      </c>
      <c r="D79" s="30" t="s">
        <v>764</v>
      </c>
      <c r="E79" s="30" t="s">
        <v>764</v>
      </c>
    </row>
    <row r="80" spans="1:8" x14ac:dyDescent="0.25">
      <c r="A80" s="30" t="s">
        <v>437</v>
      </c>
      <c r="B80" t="s">
        <v>394</v>
      </c>
      <c r="C80" s="45" t="s">
        <v>563</v>
      </c>
      <c r="D80" s="30" t="s">
        <v>564</v>
      </c>
      <c r="E80" s="30" t="s">
        <v>564</v>
      </c>
    </row>
    <row r="81" spans="1:5" x14ac:dyDescent="0.25">
      <c r="A81" s="30" t="s">
        <v>437</v>
      </c>
      <c r="B81" t="s">
        <v>566</v>
      </c>
      <c r="C81" s="45" t="s">
        <v>448</v>
      </c>
      <c r="D81" s="30" t="s">
        <v>765</v>
      </c>
      <c r="E81" s="30" t="s">
        <v>765</v>
      </c>
    </row>
    <row r="82" spans="1:5" x14ac:dyDescent="0.25">
      <c r="A82" s="30" t="s">
        <v>437</v>
      </c>
      <c r="B82" t="s">
        <v>766</v>
      </c>
      <c r="C82" s="45" t="s">
        <v>567</v>
      </c>
      <c r="D82" s="30" t="s">
        <v>568</v>
      </c>
      <c r="E82" s="30" t="s">
        <v>568</v>
      </c>
    </row>
    <row r="83" spans="1:5" x14ac:dyDescent="0.25">
      <c r="A83" t="s">
        <v>437</v>
      </c>
      <c r="B83" t="s">
        <v>395</v>
      </c>
      <c r="C83" s="27" t="s">
        <v>767</v>
      </c>
      <c r="D83" s="30" t="s">
        <v>768</v>
      </c>
      <c r="E83" s="30" t="s">
        <v>768</v>
      </c>
    </row>
    <row r="84" spans="1:5" x14ac:dyDescent="0.25">
      <c r="A84" t="s">
        <v>437</v>
      </c>
      <c r="B84" t="s">
        <v>396</v>
      </c>
      <c r="C84" s="27" t="s">
        <v>449</v>
      </c>
      <c r="D84" s="30" t="s">
        <v>769</v>
      </c>
      <c r="E84" s="30" t="s">
        <v>769</v>
      </c>
    </row>
    <row r="85" spans="1:5" x14ac:dyDescent="0.25">
      <c r="A85" t="s">
        <v>437</v>
      </c>
      <c r="B85" t="s">
        <v>398</v>
      </c>
      <c r="C85" s="27" t="s">
        <v>450</v>
      </c>
      <c r="D85" s="30" t="s">
        <v>643</v>
      </c>
      <c r="E85" s="30" t="s">
        <v>643</v>
      </c>
    </row>
    <row r="86" spans="1:5" x14ac:dyDescent="0.25">
      <c r="A86" t="s">
        <v>437</v>
      </c>
      <c r="B86" t="s">
        <v>400</v>
      </c>
      <c r="C86" s="27" t="s">
        <v>451</v>
      </c>
      <c r="D86" s="30" t="s">
        <v>399</v>
      </c>
      <c r="E86" s="30" t="s">
        <v>399</v>
      </c>
    </row>
    <row r="87" spans="1:5" x14ac:dyDescent="0.25">
      <c r="A87" t="s">
        <v>437</v>
      </c>
      <c r="B87" t="s">
        <v>570</v>
      </c>
      <c r="C87" s="27" t="s">
        <v>452</v>
      </c>
      <c r="D87" s="30" t="s">
        <v>647</v>
      </c>
      <c r="E87" s="30" t="s">
        <v>647</v>
      </c>
    </row>
    <row r="88" spans="1:5" x14ac:dyDescent="0.25">
      <c r="A88" t="s">
        <v>437</v>
      </c>
      <c r="B88" t="s">
        <v>770</v>
      </c>
      <c r="C88" s="27" t="s">
        <v>571</v>
      </c>
      <c r="D88" s="30" t="s">
        <v>402</v>
      </c>
      <c r="E88" s="30" t="s">
        <v>402</v>
      </c>
    </row>
    <row r="89" spans="1:5" x14ac:dyDescent="0.25">
      <c r="A89" t="s">
        <v>437</v>
      </c>
      <c r="B89" t="s">
        <v>572</v>
      </c>
      <c r="C89" s="27" t="s">
        <v>771</v>
      </c>
      <c r="D89" s="30" t="s">
        <v>772</v>
      </c>
      <c r="E89" s="30" t="s">
        <v>772</v>
      </c>
    </row>
    <row r="90" spans="1:5" x14ac:dyDescent="0.25">
      <c r="B90" t="s">
        <v>575</v>
      </c>
      <c r="C90" s="27" t="s">
        <v>573</v>
      </c>
      <c r="D90" s="30" t="s">
        <v>773</v>
      </c>
      <c r="E90" s="30" t="s">
        <v>773</v>
      </c>
    </row>
    <row r="91" spans="1:5" x14ac:dyDescent="0.25">
      <c r="A91" t="s">
        <v>437</v>
      </c>
      <c r="B91" t="s">
        <v>403</v>
      </c>
      <c r="C91" s="27" t="s">
        <v>575</v>
      </c>
      <c r="D91" s="30" t="s">
        <v>774</v>
      </c>
      <c r="E91" s="30" t="s">
        <v>774</v>
      </c>
    </row>
    <row r="92" spans="1:5" x14ac:dyDescent="0.25">
      <c r="A92" t="s">
        <v>437</v>
      </c>
      <c r="B92" t="s">
        <v>775</v>
      </c>
      <c r="C92" s="27" t="s">
        <v>453</v>
      </c>
      <c r="D92" s="30" t="s">
        <v>454</v>
      </c>
      <c r="E92" s="30" t="s">
        <v>454</v>
      </c>
    </row>
    <row r="93" spans="1:5" x14ac:dyDescent="0.25">
      <c r="A93" t="s">
        <v>437</v>
      </c>
      <c r="B93" t="s">
        <v>404</v>
      </c>
      <c r="C93" s="27" t="s">
        <v>776</v>
      </c>
      <c r="D93" s="30" t="s">
        <v>777</v>
      </c>
      <c r="E93" s="30" t="s">
        <v>777</v>
      </c>
    </row>
    <row r="94" spans="1:5" x14ac:dyDescent="0.25">
      <c r="A94" t="s">
        <v>437</v>
      </c>
      <c r="B94" t="s">
        <v>405</v>
      </c>
      <c r="C94" s="27" t="s">
        <v>455</v>
      </c>
      <c r="D94" s="30" t="s">
        <v>778</v>
      </c>
      <c r="E94" s="30" t="s">
        <v>778</v>
      </c>
    </row>
    <row r="95" spans="1:5" x14ac:dyDescent="0.25">
      <c r="A95" t="s">
        <v>437</v>
      </c>
      <c r="B95" t="s">
        <v>406</v>
      </c>
      <c r="C95" s="27" t="s">
        <v>456</v>
      </c>
      <c r="D95" s="30" t="s">
        <v>779</v>
      </c>
      <c r="E95" s="30" t="s">
        <v>779</v>
      </c>
    </row>
    <row r="96" spans="1:5" x14ac:dyDescent="0.25">
      <c r="A96" t="s">
        <v>437</v>
      </c>
      <c r="B96" t="s">
        <v>580</v>
      </c>
      <c r="C96" s="27" t="s">
        <v>457</v>
      </c>
      <c r="D96" s="30" t="s">
        <v>780</v>
      </c>
      <c r="E96" s="30" t="s">
        <v>780</v>
      </c>
    </row>
    <row r="97" spans="1:5" x14ac:dyDescent="0.25">
      <c r="A97" t="s">
        <v>437</v>
      </c>
      <c r="B97" t="s">
        <v>781</v>
      </c>
      <c r="C97" s="27" t="s">
        <v>581</v>
      </c>
      <c r="D97" s="30" t="s">
        <v>582</v>
      </c>
      <c r="E97" s="30" t="s">
        <v>582</v>
      </c>
    </row>
    <row r="98" spans="1:5" x14ac:dyDescent="0.25">
      <c r="A98" t="s">
        <v>437</v>
      </c>
      <c r="B98" t="s">
        <v>407</v>
      </c>
      <c r="C98" s="27" t="s">
        <v>782</v>
      </c>
      <c r="D98" s="30" t="s">
        <v>783</v>
      </c>
      <c r="E98" s="30" t="s">
        <v>783</v>
      </c>
    </row>
    <row r="99" spans="1:5" x14ac:dyDescent="0.25">
      <c r="A99" t="s">
        <v>437</v>
      </c>
      <c r="B99" t="s">
        <v>408</v>
      </c>
      <c r="C99" s="27" t="s">
        <v>458</v>
      </c>
      <c r="D99" s="30" t="s">
        <v>784</v>
      </c>
      <c r="E99" s="30" t="s">
        <v>784</v>
      </c>
    </row>
    <row r="100" spans="1:5" x14ac:dyDescent="0.25">
      <c r="A100" t="s">
        <v>437</v>
      </c>
      <c r="B100" t="s">
        <v>410</v>
      </c>
      <c r="C100" s="27" t="s">
        <v>459</v>
      </c>
      <c r="D100" s="30" t="s">
        <v>785</v>
      </c>
      <c r="E100" s="30" t="s">
        <v>785</v>
      </c>
    </row>
    <row r="101" spans="1:5" x14ac:dyDescent="0.25">
      <c r="A101" t="s">
        <v>437</v>
      </c>
      <c r="B101" t="s">
        <v>412</v>
      </c>
      <c r="C101" s="27" t="s">
        <v>460</v>
      </c>
      <c r="D101" s="30" t="s">
        <v>411</v>
      </c>
      <c r="E101" s="30" t="s">
        <v>411</v>
      </c>
    </row>
    <row r="102" spans="1:5" x14ac:dyDescent="0.25">
      <c r="A102" t="s">
        <v>437</v>
      </c>
      <c r="B102" t="s">
        <v>414</v>
      </c>
      <c r="C102" s="27" t="s">
        <v>461</v>
      </c>
      <c r="D102" s="30" t="s">
        <v>786</v>
      </c>
      <c r="E102" s="30" t="s">
        <v>786</v>
      </c>
    </row>
    <row r="103" spans="1:5" x14ac:dyDescent="0.25">
      <c r="A103" t="s">
        <v>437</v>
      </c>
      <c r="B103" t="s">
        <v>787</v>
      </c>
      <c r="C103" s="27" t="s">
        <v>462</v>
      </c>
      <c r="D103" s="30" t="s">
        <v>415</v>
      </c>
      <c r="E103" s="30" t="s">
        <v>415</v>
      </c>
    </row>
    <row r="104" spans="1:5" x14ac:dyDescent="0.25">
      <c r="A104" t="s">
        <v>437</v>
      </c>
      <c r="B104" t="s">
        <v>584</v>
      </c>
      <c r="C104" s="27" t="s">
        <v>788</v>
      </c>
      <c r="D104" s="30" t="s">
        <v>789</v>
      </c>
      <c r="E104" s="30" t="s">
        <v>789</v>
      </c>
    </row>
    <row r="105" spans="1:5" x14ac:dyDescent="0.25">
      <c r="A105" t="s">
        <v>437</v>
      </c>
      <c r="B105" t="s">
        <v>791</v>
      </c>
      <c r="C105" s="27" t="s">
        <v>585</v>
      </c>
      <c r="D105" s="30" t="s">
        <v>790</v>
      </c>
      <c r="E105" s="30" t="s">
        <v>790</v>
      </c>
    </row>
    <row r="106" spans="1:5" x14ac:dyDescent="0.25">
      <c r="A106" t="s">
        <v>437</v>
      </c>
      <c r="B106" t="s">
        <v>794</v>
      </c>
      <c r="C106" s="27" t="s">
        <v>792</v>
      </c>
      <c r="D106" s="30" t="s">
        <v>793</v>
      </c>
      <c r="E106" s="30" t="s">
        <v>793</v>
      </c>
    </row>
    <row r="107" spans="1:5" x14ac:dyDescent="0.25">
      <c r="A107" t="s">
        <v>437</v>
      </c>
      <c r="B107" t="s">
        <v>797</v>
      </c>
      <c r="C107" s="27" t="s">
        <v>795</v>
      </c>
      <c r="D107" s="30" t="s">
        <v>796</v>
      </c>
      <c r="E107" s="30" t="s">
        <v>796</v>
      </c>
    </row>
    <row r="108" spans="1:5" x14ac:dyDescent="0.25">
      <c r="A108" t="s">
        <v>437</v>
      </c>
      <c r="B108" t="s">
        <v>416</v>
      </c>
      <c r="C108" s="27" t="s">
        <v>798</v>
      </c>
      <c r="D108" s="30" t="s">
        <v>799</v>
      </c>
      <c r="E108" s="30" t="s">
        <v>799</v>
      </c>
    </row>
    <row r="109" spans="1:5" x14ac:dyDescent="0.25">
      <c r="A109" t="s">
        <v>437</v>
      </c>
      <c r="B109" t="s">
        <v>417</v>
      </c>
      <c r="C109" s="27" t="s">
        <v>463</v>
      </c>
      <c r="D109" s="30" t="s">
        <v>800</v>
      </c>
      <c r="E109" s="30" t="s">
        <v>800</v>
      </c>
    </row>
    <row r="110" spans="1:5" x14ac:dyDescent="0.25">
      <c r="A110" t="s">
        <v>437</v>
      </c>
      <c r="B110" t="s">
        <v>418</v>
      </c>
      <c r="C110" s="27" t="s">
        <v>464</v>
      </c>
      <c r="D110" s="30" t="s">
        <v>801</v>
      </c>
      <c r="E110" s="30" t="s">
        <v>801</v>
      </c>
    </row>
    <row r="111" spans="1:5" x14ac:dyDescent="0.25">
      <c r="A111" t="s">
        <v>437</v>
      </c>
      <c r="B111" t="s">
        <v>590</v>
      </c>
      <c r="C111" s="27" t="s">
        <v>465</v>
      </c>
      <c r="D111" s="30" t="s">
        <v>802</v>
      </c>
      <c r="E111" s="30" t="s">
        <v>802</v>
      </c>
    </row>
    <row r="112" spans="1:5" x14ac:dyDescent="0.25">
      <c r="A112" t="s">
        <v>437</v>
      </c>
      <c r="B112" t="s">
        <v>803</v>
      </c>
      <c r="C112" s="27" t="s">
        <v>591</v>
      </c>
      <c r="D112" s="30" t="s">
        <v>592</v>
      </c>
      <c r="E112" s="30" t="s">
        <v>592</v>
      </c>
    </row>
    <row r="113" spans="1:5" x14ac:dyDescent="0.25">
      <c r="A113" t="s">
        <v>437</v>
      </c>
      <c r="B113" t="s">
        <v>419</v>
      </c>
      <c r="C113" s="27" t="s">
        <v>804</v>
      </c>
      <c r="D113" s="30" t="s">
        <v>805</v>
      </c>
      <c r="E113" s="30" t="s">
        <v>805</v>
      </c>
    </row>
    <row r="114" spans="1:5" x14ac:dyDescent="0.25">
      <c r="A114" t="s">
        <v>437</v>
      </c>
      <c r="B114" t="s">
        <v>594</v>
      </c>
      <c r="C114" s="27" t="s">
        <v>466</v>
      </c>
      <c r="D114" s="30" t="s">
        <v>806</v>
      </c>
      <c r="E114" s="30" t="s">
        <v>806</v>
      </c>
    </row>
    <row r="115" spans="1:5" x14ac:dyDescent="0.25">
      <c r="A115" t="s">
        <v>437</v>
      </c>
      <c r="B115" t="s">
        <v>420</v>
      </c>
      <c r="C115" s="27" t="s">
        <v>595</v>
      </c>
      <c r="D115" s="30" t="s">
        <v>596</v>
      </c>
      <c r="E115" s="30" t="s">
        <v>596</v>
      </c>
    </row>
    <row r="116" spans="1:5" x14ac:dyDescent="0.25">
      <c r="A116" t="s">
        <v>437</v>
      </c>
      <c r="B116" t="s">
        <v>422</v>
      </c>
      <c r="C116" s="27" t="s">
        <v>467</v>
      </c>
      <c r="D116" s="30" t="s">
        <v>807</v>
      </c>
      <c r="E116" s="30" t="s">
        <v>807</v>
      </c>
    </row>
    <row r="117" spans="1:5" x14ac:dyDescent="0.25">
      <c r="A117" t="s">
        <v>437</v>
      </c>
      <c r="B117" t="s">
        <v>424</v>
      </c>
      <c r="C117" s="27" t="s">
        <v>468</v>
      </c>
      <c r="D117" s="30" t="s">
        <v>423</v>
      </c>
      <c r="E117" s="30" t="s">
        <v>423</v>
      </c>
    </row>
    <row r="118" spans="1:5" x14ac:dyDescent="0.25">
      <c r="A118" t="s">
        <v>437</v>
      </c>
      <c r="B118" t="s">
        <v>426</v>
      </c>
      <c r="C118" s="27" t="s">
        <v>469</v>
      </c>
      <c r="D118" s="30" t="s">
        <v>808</v>
      </c>
      <c r="E118" s="30" t="s">
        <v>808</v>
      </c>
    </row>
    <row r="119" spans="1:5" x14ac:dyDescent="0.25">
      <c r="A119" t="s">
        <v>437</v>
      </c>
      <c r="B119" t="s">
        <v>809</v>
      </c>
      <c r="C119" s="27" t="s">
        <v>470</v>
      </c>
      <c r="D119" s="30" t="s">
        <v>427</v>
      </c>
      <c r="E119" s="30" t="s">
        <v>427</v>
      </c>
    </row>
    <row r="120" spans="1:5" x14ac:dyDescent="0.25">
      <c r="A120" t="s">
        <v>437</v>
      </c>
      <c r="B120" t="s">
        <v>812</v>
      </c>
      <c r="C120" s="27" t="s">
        <v>810</v>
      </c>
      <c r="D120" s="30" t="s">
        <v>811</v>
      </c>
      <c r="E120" s="30" t="s">
        <v>811</v>
      </c>
    </row>
    <row r="121" spans="1:5" x14ac:dyDescent="0.25">
      <c r="A121" t="s">
        <v>437</v>
      </c>
      <c r="B121" t="s">
        <v>597</v>
      </c>
      <c r="C121" s="27" t="s">
        <v>813</v>
      </c>
      <c r="D121" s="30" t="s">
        <v>814</v>
      </c>
      <c r="E121" s="30" t="s">
        <v>814</v>
      </c>
    </row>
    <row r="122" spans="1:5" x14ac:dyDescent="0.25">
      <c r="A122" t="s">
        <v>437</v>
      </c>
      <c r="B122" t="s">
        <v>654</v>
      </c>
      <c r="C122" s="27" t="s">
        <v>598</v>
      </c>
      <c r="D122" s="30" t="s">
        <v>815</v>
      </c>
      <c r="E122" s="30" t="s">
        <v>815</v>
      </c>
    </row>
    <row r="123" spans="1:5" x14ac:dyDescent="0.25">
      <c r="B123" t="s">
        <v>818</v>
      </c>
      <c r="C123" s="27" t="s">
        <v>816</v>
      </c>
      <c r="D123" s="30" t="s">
        <v>817</v>
      </c>
      <c r="E123" s="30" t="s">
        <v>817</v>
      </c>
    </row>
    <row r="124" spans="1:5" x14ac:dyDescent="0.25">
      <c r="A124" t="s">
        <v>437</v>
      </c>
      <c r="B124" t="s">
        <v>158</v>
      </c>
      <c r="C124" s="27" t="s">
        <v>818</v>
      </c>
      <c r="D124" s="30" t="s">
        <v>819</v>
      </c>
      <c r="E124" s="30" t="s">
        <v>819</v>
      </c>
    </row>
    <row r="125" spans="1:5" x14ac:dyDescent="0.25">
      <c r="A125" t="s">
        <v>437</v>
      </c>
      <c r="B125" t="s">
        <v>820</v>
      </c>
      <c r="C125" s="27" t="s">
        <v>471</v>
      </c>
      <c r="D125" s="30" t="s">
        <v>472</v>
      </c>
      <c r="E125" s="30" t="s">
        <v>472</v>
      </c>
    </row>
    <row r="126" spans="1:5" x14ac:dyDescent="0.25">
      <c r="A126" t="s">
        <v>437</v>
      </c>
      <c r="B126" t="s">
        <v>428</v>
      </c>
      <c r="C126" s="27" t="s">
        <v>821</v>
      </c>
      <c r="D126" s="30" t="s">
        <v>822</v>
      </c>
      <c r="E126" s="30" t="s">
        <v>822</v>
      </c>
    </row>
    <row r="127" spans="1:5" x14ac:dyDescent="0.25">
      <c r="A127" t="s">
        <v>437</v>
      </c>
      <c r="B127" t="s">
        <v>429</v>
      </c>
      <c r="C127" s="27" t="s">
        <v>473</v>
      </c>
      <c r="D127" s="30" t="s">
        <v>823</v>
      </c>
      <c r="E127" s="30" t="s">
        <v>823</v>
      </c>
    </row>
    <row r="128" spans="1:5" x14ac:dyDescent="0.25">
      <c r="A128" t="s">
        <v>437</v>
      </c>
      <c r="B128" t="s">
        <v>430</v>
      </c>
      <c r="C128" s="27" t="s">
        <v>474</v>
      </c>
      <c r="D128" s="30" t="s">
        <v>824</v>
      </c>
      <c r="E128" s="30" t="s">
        <v>824</v>
      </c>
    </row>
    <row r="129" spans="1:5" x14ac:dyDescent="0.25">
      <c r="A129" t="s">
        <v>437</v>
      </c>
      <c r="B129" t="s">
        <v>603</v>
      </c>
      <c r="C129" s="27" t="s">
        <v>475</v>
      </c>
      <c r="D129" s="30" t="s">
        <v>825</v>
      </c>
      <c r="E129" s="30" t="s">
        <v>825</v>
      </c>
    </row>
    <row r="130" spans="1:5" x14ac:dyDescent="0.25">
      <c r="A130" t="s">
        <v>437</v>
      </c>
      <c r="B130" t="s">
        <v>606</v>
      </c>
      <c r="C130" s="27" t="s">
        <v>604</v>
      </c>
      <c r="D130" s="30" t="s">
        <v>605</v>
      </c>
      <c r="E130" s="30" t="s">
        <v>605</v>
      </c>
    </row>
    <row r="131" spans="1:5" x14ac:dyDescent="0.25">
      <c r="A131" t="s">
        <v>437</v>
      </c>
      <c r="B131" t="s">
        <v>826</v>
      </c>
      <c r="C131" s="27" t="s">
        <v>607</v>
      </c>
      <c r="D131" s="30" t="s">
        <v>608</v>
      </c>
      <c r="E131" s="30" t="s">
        <v>608</v>
      </c>
    </row>
    <row r="132" spans="1:5" x14ac:dyDescent="0.25">
      <c r="A132" t="s">
        <v>437</v>
      </c>
      <c r="B132" t="s">
        <v>431</v>
      </c>
      <c r="C132" s="27" t="s">
        <v>827</v>
      </c>
      <c r="D132" s="30" t="s">
        <v>828</v>
      </c>
      <c r="E132" s="30" t="s">
        <v>828</v>
      </c>
    </row>
    <row r="133" spans="1:5" x14ac:dyDescent="0.25">
      <c r="A133" t="s">
        <v>437</v>
      </c>
      <c r="B133" t="s">
        <v>830</v>
      </c>
      <c r="C133" s="27" t="s">
        <v>476</v>
      </c>
      <c r="D133" s="30" t="s">
        <v>829</v>
      </c>
      <c r="E133" s="30" t="s">
        <v>829</v>
      </c>
    </row>
    <row r="134" spans="1:5" x14ac:dyDescent="0.25">
      <c r="A134" t="s">
        <v>437</v>
      </c>
      <c r="B134" t="s">
        <v>833</v>
      </c>
      <c r="C134" s="27" t="s">
        <v>831</v>
      </c>
      <c r="D134" s="30" t="s">
        <v>832</v>
      </c>
      <c r="E134" s="30" t="s">
        <v>832</v>
      </c>
    </row>
    <row r="135" spans="1:5" x14ac:dyDescent="0.25">
      <c r="A135" t="s">
        <v>437</v>
      </c>
      <c r="B135" t="s">
        <v>836</v>
      </c>
      <c r="C135" s="27" t="s">
        <v>834</v>
      </c>
      <c r="D135" s="30" t="s">
        <v>835</v>
      </c>
      <c r="E135" s="30" t="s">
        <v>835</v>
      </c>
    </row>
    <row r="136" spans="1:5" x14ac:dyDescent="0.25">
      <c r="A136" t="s">
        <v>437</v>
      </c>
      <c r="B136" t="s">
        <v>839</v>
      </c>
      <c r="C136" s="27" t="s">
        <v>837</v>
      </c>
      <c r="D136" s="30" t="s">
        <v>838</v>
      </c>
      <c r="E136" s="30" t="s">
        <v>838</v>
      </c>
    </row>
    <row r="137" spans="1:5" x14ac:dyDescent="0.25">
      <c r="A137" t="s">
        <v>437</v>
      </c>
      <c r="B137" t="s">
        <v>841</v>
      </c>
      <c r="C137" s="27" t="s">
        <v>840</v>
      </c>
      <c r="D137" s="30" t="s">
        <v>838</v>
      </c>
      <c r="E137" s="30" t="s">
        <v>838</v>
      </c>
    </row>
    <row r="138" spans="1:5" x14ac:dyDescent="0.25">
      <c r="A138" t="s">
        <v>437</v>
      </c>
      <c r="B138" t="s">
        <v>843</v>
      </c>
      <c r="C138" s="27" t="s">
        <v>842</v>
      </c>
      <c r="D138" s="30" t="s">
        <v>838</v>
      </c>
      <c r="E138" s="30" t="s">
        <v>838</v>
      </c>
    </row>
    <row r="139" spans="1:5" x14ac:dyDescent="0.25">
      <c r="A139" t="s">
        <v>437</v>
      </c>
      <c r="B139" t="s">
        <v>846</v>
      </c>
      <c r="C139" s="27" t="s">
        <v>844</v>
      </c>
      <c r="D139" s="30" t="s">
        <v>845</v>
      </c>
      <c r="E139" s="30" t="s">
        <v>845</v>
      </c>
    </row>
    <row r="140" spans="1:5" x14ac:dyDescent="0.25">
      <c r="A140" t="s">
        <v>437</v>
      </c>
      <c r="B140" t="s">
        <v>848</v>
      </c>
      <c r="C140" s="27" t="s">
        <v>847</v>
      </c>
      <c r="D140" s="30" t="s">
        <v>439</v>
      </c>
      <c r="E140" s="30" t="s">
        <v>439</v>
      </c>
    </row>
    <row r="141" spans="1:5" x14ac:dyDescent="0.25">
      <c r="A141" t="s">
        <v>437</v>
      </c>
      <c r="B141" t="s">
        <v>850</v>
      </c>
      <c r="C141" s="27" t="s">
        <v>849</v>
      </c>
      <c r="D141" s="30" t="s">
        <v>444</v>
      </c>
      <c r="E141" s="30" t="s">
        <v>444</v>
      </c>
    </row>
    <row r="142" spans="1:5" x14ac:dyDescent="0.25">
      <c r="A142" t="s">
        <v>437</v>
      </c>
      <c r="B142" t="s">
        <v>852</v>
      </c>
      <c r="C142" s="27" t="s">
        <v>851</v>
      </c>
      <c r="D142" s="30" t="s">
        <v>454</v>
      </c>
      <c r="E142" s="30" t="s">
        <v>454</v>
      </c>
    </row>
    <row r="143" spans="1:5" x14ac:dyDescent="0.25">
      <c r="A143" t="s">
        <v>437</v>
      </c>
      <c r="B143" t="s">
        <v>854</v>
      </c>
      <c r="C143" s="27" t="s">
        <v>853</v>
      </c>
      <c r="D143" s="30" t="s">
        <v>454</v>
      </c>
      <c r="E143" s="30" t="s">
        <v>454</v>
      </c>
    </row>
    <row r="144" spans="1:5" x14ac:dyDescent="0.25">
      <c r="A144" t="s">
        <v>437</v>
      </c>
      <c r="B144" t="s">
        <v>856</v>
      </c>
      <c r="C144" s="27" t="s">
        <v>855</v>
      </c>
      <c r="D144" s="30" t="s">
        <v>582</v>
      </c>
      <c r="E144" s="30" t="s">
        <v>582</v>
      </c>
    </row>
    <row r="145" spans="1:5" x14ac:dyDescent="0.25">
      <c r="A145" t="s">
        <v>437</v>
      </c>
      <c r="B145" t="s">
        <v>858</v>
      </c>
      <c r="C145" s="27" t="s">
        <v>857</v>
      </c>
      <c r="D145" s="30" t="s">
        <v>845</v>
      </c>
      <c r="E145" s="30" t="s">
        <v>845</v>
      </c>
    </row>
    <row r="146" spans="1:5" x14ac:dyDescent="0.25">
      <c r="A146" t="s">
        <v>437</v>
      </c>
      <c r="B146" t="s">
        <v>861</v>
      </c>
      <c r="C146" s="27" t="s">
        <v>859</v>
      </c>
      <c r="D146" s="30" t="s">
        <v>860</v>
      </c>
      <c r="E146" s="30" t="s">
        <v>860</v>
      </c>
    </row>
    <row r="147" spans="1:5" x14ac:dyDescent="0.25">
      <c r="A147" t="s">
        <v>437</v>
      </c>
      <c r="B147" t="s">
        <v>864</v>
      </c>
      <c r="C147" s="27" t="s">
        <v>862</v>
      </c>
      <c r="D147" s="30" t="s">
        <v>863</v>
      </c>
      <c r="E147" s="30" t="s">
        <v>863</v>
      </c>
    </row>
    <row r="148" spans="1:5" x14ac:dyDescent="0.25">
      <c r="A148" t="s">
        <v>437</v>
      </c>
      <c r="B148" t="s">
        <v>867</v>
      </c>
      <c r="C148" s="27" t="s">
        <v>865</v>
      </c>
      <c r="D148" s="30" t="s">
        <v>866</v>
      </c>
      <c r="E148" s="30" t="s">
        <v>866</v>
      </c>
    </row>
    <row r="149" spans="1:5" x14ac:dyDescent="0.25">
      <c r="A149" t="s">
        <v>437</v>
      </c>
      <c r="B149" t="s">
        <v>869</v>
      </c>
      <c r="C149" s="27" t="s">
        <v>868</v>
      </c>
      <c r="D149" s="30" t="s">
        <v>838</v>
      </c>
      <c r="E149" s="30" t="s">
        <v>838</v>
      </c>
    </row>
    <row r="150" spans="1:5" x14ac:dyDescent="0.25">
      <c r="A150" t="s">
        <v>437</v>
      </c>
      <c r="B150" t="s">
        <v>871</v>
      </c>
      <c r="C150" s="27" t="s">
        <v>870</v>
      </c>
      <c r="D150" s="30" t="s">
        <v>845</v>
      </c>
      <c r="E150" s="30" t="s">
        <v>845</v>
      </c>
    </row>
    <row r="151" spans="1:5" x14ac:dyDescent="0.25">
      <c r="A151" t="s">
        <v>437</v>
      </c>
      <c r="B151" t="s">
        <v>874</v>
      </c>
      <c r="C151" s="27" t="s">
        <v>872</v>
      </c>
      <c r="D151" s="30" t="s">
        <v>873</v>
      </c>
      <c r="E151" s="30" t="s">
        <v>873</v>
      </c>
    </row>
    <row r="152" spans="1:5" x14ac:dyDescent="0.25">
      <c r="A152" t="s">
        <v>437</v>
      </c>
      <c r="B152" t="s">
        <v>876</v>
      </c>
      <c r="C152" s="27" t="s">
        <v>875</v>
      </c>
      <c r="D152" s="30" t="s">
        <v>838</v>
      </c>
      <c r="E152" s="30" t="s">
        <v>838</v>
      </c>
    </row>
    <row r="153" spans="1:5" x14ac:dyDescent="0.25">
      <c r="A153" t="s">
        <v>437</v>
      </c>
      <c r="B153" t="s">
        <v>878</v>
      </c>
      <c r="C153" s="27" t="s">
        <v>877</v>
      </c>
      <c r="D153" s="30" t="s">
        <v>592</v>
      </c>
      <c r="E153" s="30" t="s">
        <v>592</v>
      </c>
    </row>
    <row r="154" spans="1:5" x14ac:dyDescent="0.25">
      <c r="A154" t="s">
        <v>437</v>
      </c>
      <c r="B154" t="s">
        <v>881</v>
      </c>
      <c r="C154" s="27" t="s">
        <v>879</v>
      </c>
      <c r="D154" s="30" t="s">
        <v>880</v>
      </c>
      <c r="E154" s="30" t="s">
        <v>880</v>
      </c>
    </row>
    <row r="155" spans="1:5" x14ac:dyDescent="0.25">
      <c r="A155" t="s">
        <v>437</v>
      </c>
      <c r="B155" t="s">
        <v>883</v>
      </c>
      <c r="C155" s="27" t="s">
        <v>882</v>
      </c>
      <c r="D155" s="30" t="s">
        <v>838</v>
      </c>
      <c r="E155" s="30" t="s">
        <v>838</v>
      </c>
    </row>
    <row r="156" spans="1:5" x14ac:dyDescent="0.25">
      <c r="A156" t="s">
        <v>437</v>
      </c>
      <c r="B156" t="s">
        <v>885</v>
      </c>
      <c r="C156" s="27" t="s">
        <v>884</v>
      </c>
      <c r="D156" s="30" t="s">
        <v>873</v>
      </c>
      <c r="E156" s="30" t="s">
        <v>873</v>
      </c>
    </row>
    <row r="157" spans="1:5" x14ac:dyDescent="0.25">
      <c r="A157" t="s">
        <v>437</v>
      </c>
      <c r="B157" t="s">
        <v>887</v>
      </c>
      <c r="C157" s="27" t="s">
        <v>886</v>
      </c>
      <c r="D157" s="30" t="s">
        <v>873</v>
      </c>
      <c r="E157" s="30" t="s">
        <v>873</v>
      </c>
    </row>
    <row r="158" spans="1:5" x14ac:dyDescent="0.25">
      <c r="A158" t="s">
        <v>437</v>
      </c>
      <c r="B158" t="s">
        <v>889</v>
      </c>
      <c r="C158" s="27" t="s">
        <v>888</v>
      </c>
      <c r="D158" s="30" t="s">
        <v>873</v>
      </c>
      <c r="E158" s="30" t="s">
        <v>873</v>
      </c>
    </row>
    <row r="159" spans="1:5" x14ac:dyDescent="0.25">
      <c r="A159" t="s">
        <v>437</v>
      </c>
      <c r="B159" t="s">
        <v>891</v>
      </c>
      <c r="C159" s="27" t="s">
        <v>890</v>
      </c>
      <c r="D159" s="30" t="s">
        <v>873</v>
      </c>
      <c r="E159" s="30" t="s">
        <v>873</v>
      </c>
    </row>
    <row r="160" spans="1:5" x14ac:dyDescent="0.25">
      <c r="A160" t="s">
        <v>437</v>
      </c>
      <c r="B160" t="s">
        <v>893</v>
      </c>
      <c r="C160" s="27" t="s">
        <v>892</v>
      </c>
      <c r="D160" s="30" t="s">
        <v>873</v>
      </c>
      <c r="E160" s="30" t="s">
        <v>873</v>
      </c>
    </row>
    <row r="161" spans="1:5" x14ac:dyDescent="0.25">
      <c r="A161" t="s">
        <v>437</v>
      </c>
      <c r="B161" t="s">
        <v>896</v>
      </c>
      <c r="C161" s="27" t="s">
        <v>894</v>
      </c>
      <c r="D161" s="30" t="s">
        <v>895</v>
      </c>
      <c r="E161" s="30" t="s">
        <v>895</v>
      </c>
    </row>
    <row r="162" spans="1:5" x14ac:dyDescent="0.25">
      <c r="A162" t="s">
        <v>437</v>
      </c>
      <c r="B162" t="s">
        <v>899</v>
      </c>
      <c r="C162" s="27" t="s">
        <v>897</v>
      </c>
      <c r="D162" s="30" t="s">
        <v>898</v>
      </c>
      <c r="E162" s="30" t="s">
        <v>898</v>
      </c>
    </row>
    <row r="163" spans="1:5" x14ac:dyDescent="0.25">
      <c r="A163" t="s">
        <v>437</v>
      </c>
      <c r="B163" t="s">
        <v>901</v>
      </c>
      <c r="C163" s="27" t="s">
        <v>900</v>
      </c>
      <c r="D163" s="30" t="s">
        <v>895</v>
      </c>
      <c r="E163" s="30" t="s">
        <v>895</v>
      </c>
    </row>
    <row r="164" spans="1:5" x14ac:dyDescent="0.25">
      <c r="A164" t="s">
        <v>437</v>
      </c>
      <c r="B164" t="s">
        <v>904</v>
      </c>
      <c r="C164" s="27" t="s">
        <v>902</v>
      </c>
      <c r="D164" s="30" t="s">
        <v>903</v>
      </c>
      <c r="E164" s="30" t="s">
        <v>903</v>
      </c>
    </row>
    <row r="165" spans="1:5" x14ac:dyDescent="0.25">
      <c r="A165" t="s">
        <v>437</v>
      </c>
      <c r="B165" t="s">
        <v>906</v>
      </c>
      <c r="C165" s="27" t="s">
        <v>905</v>
      </c>
      <c r="D165" s="30" t="s">
        <v>898</v>
      </c>
      <c r="E165" s="30" t="s">
        <v>898</v>
      </c>
    </row>
    <row r="166" spans="1:5" x14ac:dyDescent="0.25">
      <c r="A166" t="s">
        <v>437</v>
      </c>
      <c r="B166" t="s">
        <v>908</v>
      </c>
      <c r="C166" s="27" t="s">
        <v>907</v>
      </c>
      <c r="D166" s="30" t="s">
        <v>866</v>
      </c>
      <c r="E166" s="30" t="s">
        <v>866</v>
      </c>
    </row>
    <row r="167" spans="1:5" x14ac:dyDescent="0.25">
      <c r="A167" t="s">
        <v>437</v>
      </c>
      <c r="B167" t="s">
        <v>910</v>
      </c>
      <c r="C167" s="27" t="s">
        <v>909</v>
      </c>
      <c r="D167" s="30" t="s">
        <v>898</v>
      </c>
      <c r="E167" s="30" t="s">
        <v>898</v>
      </c>
    </row>
    <row r="168" spans="1:5" x14ac:dyDescent="0.25">
      <c r="A168" t="s">
        <v>437</v>
      </c>
      <c r="B168" t="s">
        <v>912</v>
      </c>
      <c r="C168" s="27" t="s">
        <v>911</v>
      </c>
      <c r="D168" s="30" t="s">
        <v>838</v>
      </c>
      <c r="E168" s="30" t="s">
        <v>838</v>
      </c>
    </row>
    <row r="169" spans="1:5" x14ac:dyDescent="0.25">
      <c r="A169" t="s">
        <v>437</v>
      </c>
      <c r="B169" t="s">
        <v>914</v>
      </c>
      <c r="C169" s="27" t="s">
        <v>913</v>
      </c>
      <c r="D169" s="30" t="s">
        <v>866</v>
      </c>
      <c r="E169" s="30" t="s">
        <v>866</v>
      </c>
    </row>
    <row r="170" spans="1:5" x14ac:dyDescent="0.25">
      <c r="A170" t="s">
        <v>437</v>
      </c>
      <c r="B170" t="s">
        <v>917</v>
      </c>
      <c r="C170" s="27" t="s">
        <v>915</v>
      </c>
      <c r="D170" s="30" t="s">
        <v>916</v>
      </c>
      <c r="E170" s="30" t="s">
        <v>916</v>
      </c>
    </row>
    <row r="171" spans="1:5" x14ac:dyDescent="0.25">
      <c r="A171" t="s">
        <v>437</v>
      </c>
      <c r="B171" t="s">
        <v>919</v>
      </c>
      <c r="C171" s="27" t="s">
        <v>918</v>
      </c>
      <c r="D171" s="30" t="s">
        <v>845</v>
      </c>
      <c r="E171" s="30" t="s">
        <v>845</v>
      </c>
    </row>
    <row r="172" spans="1:5" x14ac:dyDescent="0.25">
      <c r="A172" t="s">
        <v>437</v>
      </c>
      <c r="B172" t="s">
        <v>922</v>
      </c>
      <c r="C172" s="27" t="s">
        <v>920</v>
      </c>
      <c r="D172" s="30" t="s">
        <v>921</v>
      </c>
      <c r="E172" s="30" t="s">
        <v>921</v>
      </c>
    </row>
    <row r="173" spans="1:5" x14ac:dyDescent="0.25">
      <c r="A173" t="s">
        <v>437</v>
      </c>
      <c r="B173" t="s">
        <v>924</v>
      </c>
      <c r="C173" s="27" t="s">
        <v>923</v>
      </c>
      <c r="D173" s="30" t="s">
        <v>866</v>
      </c>
      <c r="E173" s="30" t="s">
        <v>866</v>
      </c>
    </row>
    <row r="174" spans="1:5" x14ac:dyDescent="0.25">
      <c r="A174" t="s">
        <v>437</v>
      </c>
      <c r="B174" t="s">
        <v>926</v>
      </c>
      <c r="C174" s="27" t="s">
        <v>925</v>
      </c>
      <c r="D174" s="30" t="s">
        <v>898</v>
      </c>
      <c r="E174" s="30" t="s">
        <v>898</v>
      </c>
    </row>
    <row r="175" spans="1:5" x14ac:dyDescent="0.25">
      <c r="B175" t="s">
        <v>610</v>
      </c>
      <c r="C175" s="27" t="s">
        <v>927</v>
      </c>
      <c r="D175" s="30" t="s">
        <v>873</v>
      </c>
      <c r="E175" s="30" t="s">
        <v>873</v>
      </c>
    </row>
    <row r="176" spans="1:5" x14ac:dyDescent="0.25">
      <c r="A176" t="s">
        <v>437</v>
      </c>
      <c r="B176" t="s">
        <v>432</v>
      </c>
      <c r="C176" s="27" t="s">
        <v>610</v>
      </c>
      <c r="D176" s="30" t="s">
        <v>611</v>
      </c>
      <c r="E176" s="30" t="s">
        <v>611</v>
      </c>
    </row>
    <row r="177" spans="1:6" x14ac:dyDescent="0.25">
      <c r="A177" t="s">
        <v>437</v>
      </c>
      <c r="B177" t="s">
        <v>433</v>
      </c>
      <c r="C177" s="27" t="s">
        <v>477</v>
      </c>
      <c r="D177" s="30" t="s">
        <v>928</v>
      </c>
      <c r="E177" s="30" t="s">
        <v>928</v>
      </c>
    </row>
    <row r="178" spans="1:6" x14ac:dyDescent="0.25">
      <c r="A178" t="s">
        <v>437</v>
      </c>
      <c r="B178" t="s">
        <v>434</v>
      </c>
      <c r="C178" s="27" t="s">
        <v>478</v>
      </c>
      <c r="D178" s="30" t="s">
        <v>929</v>
      </c>
      <c r="E178" s="30" t="s">
        <v>929</v>
      </c>
    </row>
    <row r="179" spans="1:6" x14ac:dyDescent="0.25">
      <c r="A179" t="s">
        <v>437</v>
      </c>
      <c r="B179" t="s">
        <v>435</v>
      </c>
      <c r="C179" s="27" t="s">
        <v>479</v>
      </c>
      <c r="D179" s="30" t="s">
        <v>930</v>
      </c>
      <c r="E179" s="30" t="s">
        <v>930</v>
      </c>
    </row>
    <row r="180" spans="1:6" x14ac:dyDescent="0.25">
      <c r="A180" t="s">
        <v>437</v>
      </c>
      <c r="B180" t="s">
        <v>436</v>
      </c>
      <c r="C180" s="27" t="s">
        <v>480</v>
      </c>
      <c r="D180" s="30" t="s">
        <v>931</v>
      </c>
      <c r="E180" s="30" t="s">
        <v>931</v>
      </c>
    </row>
    <row r="181" spans="1:6" x14ac:dyDescent="0.25">
      <c r="A181" t="s">
        <v>437</v>
      </c>
      <c r="B181" t="s">
        <v>933</v>
      </c>
      <c r="C181" s="27" t="s">
        <v>481</v>
      </c>
      <c r="D181" s="30" t="s">
        <v>932</v>
      </c>
      <c r="E181" s="30" t="s">
        <v>932</v>
      </c>
    </row>
    <row r="182" spans="1:6" x14ac:dyDescent="0.25">
      <c r="A182" t="s">
        <v>437</v>
      </c>
      <c r="B182" t="s">
        <v>612</v>
      </c>
      <c r="C182" s="27" t="s">
        <v>934</v>
      </c>
      <c r="D182" s="30" t="s">
        <v>935</v>
      </c>
      <c r="E182" s="30" t="s">
        <v>935</v>
      </c>
    </row>
    <row r="183" spans="1:6" x14ac:dyDescent="0.25">
      <c r="C183" s="27" t="s">
        <v>613</v>
      </c>
      <c r="D183" s="30" t="s">
        <v>936</v>
      </c>
      <c r="E183" s="30" t="s">
        <v>936</v>
      </c>
    </row>
    <row r="184" spans="1:6" s="25" customFormat="1" x14ac:dyDescent="0.25">
      <c r="C184" s="27" t="s">
        <v>619</v>
      </c>
      <c r="D184" s="30" t="s">
        <v>620</v>
      </c>
      <c r="E184" s="30" t="s">
        <v>621</v>
      </c>
    </row>
    <row r="185" spans="1:6" s="25" customFormat="1" x14ac:dyDescent="0.25">
      <c r="C185" s="27"/>
      <c r="D185" s="30"/>
      <c r="E185" s="30"/>
    </row>
    <row r="186" spans="1:6" x14ac:dyDescent="0.25">
      <c r="A186" s="25"/>
      <c r="B186" s="25"/>
      <c r="C186" t="s">
        <v>619</v>
      </c>
      <c r="D186" t="s">
        <v>620</v>
      </c>
      <c r="E186" s="27" t="s">
        <v>621</v>
      </c>
    </row>
    <row r="187" spans="1:6" s="25" customFormat="1" x14ac:dyDescent="0.25">
      <c r="A187" s="25" t="s">
        <v>617</v>
      </c>
      <c r="B187" s="25" t="s">
        <v>618</v>
      </c>
      <c r="C187" s="25" t="s">
        <v>619</v>
      </c>
      <c r="D187" s="25" t="s">
        <v>620</v>
      </c>
      <c r="E187" s="27" t="s">
        <v>621</v>
      </c>
      <c r="F187" s="25" t="s">
        <v>553</v>
      </c>
    </row>
    <row r="188" spans="1:6" x14ac:dyDescent="0.25">
      <c r="B188" t="s">
        <v>1145</v>
      </c>
      <c r="C188" t="s">
        <v>1145</v>
      </c>
      <c r="D188" s="30" t="s">
        <v>1873</v>
      </c>
      <c r="E188" s="45" t="s">
        <v>1873</v>
      </c>
    </row>
    <row r="189" spans="1:6" x14ac:dyDescent="0.25">
      <c r="A189" s="30" t="s">
        <v>437</v>
      </c>
      <c r="B189" t="s">
        <v>214</v>
      </c>
      <c r="C189" t="s">
        <v>554</v>
      </c>
      <c r="D189" s="30" t="s">
        <v>555</v>
      </c>
      <c r="E189" s="45" t="s">
        <v>555</v>
      </c>
    </row>
    <row r="190" spans="1:6" x14ac:dyDescent="0.25">
      <c r="A190" s="30" t="s">
        <v>437</v>
      </c>
      <c r="B190" t="s">
        <v>733</v>
      </c>
      <c r="C190" t="s">
        <v>734</v>
      </c>
      <c r="D190" s="30" t="s">
        <v>1146</v>
      </c>
      <c r="E190" s="45" t="s">
        <v>1146</v>
      </c>
    </row>
    <row r="191" spans="1:6" x14ac:dyDescent="0.25">
      <c r="A191" s="30" t="s">
        <v>437</v>
      </c>
      <c r="B191" t="s">
        <v>736</v>
      </c>
      <c r="C191" t="s">
        <v>737</v>
      </c>
      <c r="D191" s="30" t="s">
        <v>738</v>
      </c>
      <c r="E191" s="45" t="s">
        <v>738</v>
      </c>
    </row>
    <row r="192" spans="1:6" x14ac:dyDescent="0.25">
      <c r="A192" s="30" t="s">
        <v>437</v>
      </c>
      <c r="B192" t="s">
        <v>739</v>
      </c>
      <c r="C192" t="s">
        <v>740</v>
      </c>
      <c r="D192" s="30" t="s">
        <v>1874</v>
      </c>
      <c r="E192" s="45" t="s">
        <v>1874</v>
      </c>
    </row>
    <row r="193" spans="1:5" x14ac:dyDescent="0.25">
      <c r="A193" s="30" t="s">
        <v>437</v>
      </c>
      <c r="B193" t="s">
        <v>742</v>
      </c>
      <c r="C193" t="s">
        <v>743</v>
      </c>
      <c r="D193" s="30" t="s">
        <v>1875</v>
      </c>
      <c r="E193" s="45" t="s">
        <v>1875</v>
      </c>
    </row>
    <row r="194" spans="1:5" x14ac:dyDescent="0.25">
      <c r="A194" s="30" t="s">
        <v>437</v>
      </c>
      <c r="B194" t="s">
        <v>744</v>
      </c>
      <c r="C194" t="s">
        <v>745</v>
      </c>
      <c r="D194" s="30" t="s">
        <v>1652</v>
      </c>
      <c r="E194" s="45" t="s">
        <v>1652</v>
      </c>
    </row>
    <row r="195" spans="1:5" x14ac:dyDescent="0.25">
      <c r="A195" s="30" t="s">
        <v>437</v>
      </c>
      <c r="B195" t="s">
        <v>747</v>
      </c>
      <c r="C195" t="s">
        <v>748</v>
      </c>
      <c r="D195" s="30" t="s">
        <v>1373</v>
      </c>
      <c r="E195" s="45" t="s">
        <v>1373</v>
      </c>
    </row>
    <row r="196" spans="1:5" x14ac:dyDescent="0.25">
      <c r="A196" s="30" t="s">
        <v>437</v>
      </c>
      <c r="B196" t="s">
        <v>750</v>
      </c>
      <c r="C196" t="s">
        <v>751</v>
      </c>
      <c r="D196" s="30" t="s">
        <v>1653</v>
      </c>
      <c r="E196" s="45" t="s">
        <v>1653</v>
      </c>
    </row>
    <row r="197" spans="1:5" x14ac:dyDescent="0.25">
      <c r="A197" s="30" t="s">
        <v>437</v>
      </c>
      <c r="B197" t="s">
        <v>1654</v>
      </c>
      <c r="C197" t="s">
        <v>1655</v>
      </c>
      <c r="D197" s="30" t="s">
        <v>1389</v>
      </c>
      <c r="E197" s="45" t="s">
        <v>1389</v>
      </c>
    </row>
    <row r="198" spans="1:5" x14ac:dyDescent="0.25">
      <c r="A198" s="30" t="s">
        <v>437</v>
      </c>
      <c r="B198" t="s">
        <v>386</v>
      </c>
      <c r="C198" t="s">
        <v>438</v>
      </c>
      <c r="D198" s="30" t="s">
        <v>439</v>
      </c>
      <c r="E198" s="45" t="s">
        <v>439</v>
      </c>
    </row>
    <row r="199" spans="1:5" x14ac:dyDescent="0.25">
      <c r="A199" s="30" t="s">
        <v>437</v>
      </c>
      <c r="B199" t="s">
        <v>753</v>
      </c>
      <c r="C199" t="s">
        <v>754</v>
      </c>
      <c r="D199" s="30" t="s">
        <v>1416</v>
      </c>
      <c r="E199" s="45" t="s">
        <v>1416</v>
      </c>
    </row>
    <row r="200" spans="1:5" x14ac:dyDescent="0.25">
      <c r="A200" s="30" t="s">
        <v>437</v>
      </c>
      <c r="B200" t="s">
        <v>387</v>
      </c>
      <c r="C200" t="s">
        <v>440</v>
      </c>
      <c r="D200" s="30" t="s">
        <v>1417</v>
      </c>
      <c r="E200" s="45" t="s">
        <v>1417</v>
      </c>
    </row>
    <row r="201" spans="1:5" x14ac:dyDescent="0.25">
      <c r="A201" s="30" t="s">
        <v>437</v>
      </c>
      <c r="B201" t="s">
        <v>1375</v>
      </c>
      <c r="C201" t="s">
        <v>1376</v>
      </c>
      <c r="D201" s="30" t="s">
        <v>1427</v>
      </c>
      <c r="E201" s="45" t="s">
        <v>1427</v>
      </c>
    </row>
    <row r="202" spans="1:5" x14ac:dyDescent="0.25">
      <c r="A202" s="30" t="s">
        <v>437</v>
      </c>
      <c r="B202" t="s">
        <v>388</v>
      </c>
      <c r="C202" t="s">
        <v>441</v>
      </c>
      <c r="D202" s="30" t="s">
        <v>1421</v>
      </c>
      <c r="E202" s="45" t="s">
        <v>1421</v>
      </c>
    </row>
    <row r="203" spans="1:5" x14ac:dyDescent="0.25">
      <c r="A203" s="30" t="s">
        <v>437</v>
      </c>
      <c r="B203" t="s">
        <v>389</v>
      </c>
      <c r="C203" t="s">
        <v>442</v>
      </c>
      <c r="D203" s="30" t="s">
        <v>1422</v>
      </c>
      <c r="E203" s="45" t="s">
        <v>1422</v>
      </c>
    </row>
    <row r="204" spans="1:5" x14ac:dyDescent="0.25">
      <c r="A204" s="30" t="s">
        <v>437</v>
      </c>
      <c r="B204" t="s">
        <v>390</v>
      </c>
      <c r="C204" t="s">
        <v>443</v>
      </c>
      <c r="D204" s="30" t="s">
        <v>444</v>
      </c>
      <c r="E204" s="45" t="s">
        <v>444</v>
      </c>
    </row>
    <row r="205" spans="1:5" x14ac:dyDescent="0.25">
      <c r="A205" s="30" t="s">
        <v>437</v>
      </c>
      <c r="B205" t="s">
        <v>759</v>
      </c>
      <c r="C205" t="s">
        <v>760</v>
      </c>
      <c r="D205" s="30" t="s">
        <v>1656</v>
      </c>
      <c r="E205" s="45" t="s">
        <v>1656</v>
      </c>
    </row>
    <row r="206" spans="1:5" x14ac:dyDescent="0.25">
      <c r="A206" s="30" t="s">
        <v>437</v>
      </c>
      <c r="B206" t="s">
        <v>391</v>
      </c>
      <c r="C206" t="s">
        <v>445</v>
      </c>
      <c r="D206" s="30" t="s">
        <v>1657</v>
      </c>
      <c r="E206" s="45" t="s">
        <v>1657</v>
      </c>
    </row>
    <row r="207" spans="1:5" x14ac:dyDescent="0.25">
      <c r="A207" s="30" t="s">
        <v>437</v>
      </c>
      <c r="B207" t="s">
        <v>1377</v>
      </c>
      <c r="C207" t="s">
        <v>1378</v>
      </c>
      <c r="D207" s="30" t="s">
        <v>1658</v>
      </c>
      <c r="E207" s="45" t="s">
        <v>1658</v>
      </c>
    </row>
    <row r="208" spans="1:5" x14ac:dyDescent="0.25">
      <c r="A208" s="30" t="s">
        <v>437</v>
      </c>
      <c r="B208" t="s">
        <v>392</v>
      </c>
      <c r="C208" t="s">
        <v>446</v>
      </c>
      <c r="D208" s="30" t="s">
        <v>1659</v>
      </c>
      <c r="E208" s="45" t="s">
        <v>1659</v>
      </c>
    </row>
    <row r="209" spans="1:5" x14ac:dyDescent="0.25">
      <c r="A209" s="30" t="s">
        <v>437</v>
      </c>
      <c r="B209" t="s">
        <v>393</v>
      </c>
      <c r="C209" t="s">
        <v>447</v>
      </c>
      <c r="D209" s="30" t="s">
        <v>1660</v>
      </c>
      <c r="E209" s="45" t="s">
        <v>1660</v>
      </c>
    </row>
    <row r="210" spans="1:5" x14ac:dyDescent="0.25">
      <c r="A210" s="30" t="s">
        <v>437</v>
      </c>
      <c r="B210" t="s">
        <v>1380</v>
      </c>
      <c r="C210" t="s">
        <v>1381</v>
      </c>
      <c r="D210" s="30" t="s">
        <v>1661</v>
      </c>
      <c r="E210" s="45" t="s">
        <v>1661</v>
      </c>
    </row>
    <row r="211" spans="1:5" x14ac:dyDescent="0.25">
      <c r="A211" s="30" t="s">
        <v>437</v>
      </c>
      <c r="B211" t="s">
        <v>1148</v>
      </c>
      <c r="C211" t="s">
        <v>1149</v>
      </c>
      <c r="D211" s="30" t="s">
        <v>1662</v>
      </c>
      <c r="E211" s="45" t="s">
        <v>1662</v>
      </c>
    </row>
    <row r="212" spans="1:5" x14ac:dyDescent="0.25">
      <c r="A212" s="30" t="s">
        <v>437</v>
      </c>
      <c r="B212" t="s">
        <v>1383</v>
      </c>
      <c r="C212" t="s">
        <v>1384</v>
      </c>
      <c r="D212" s="30" t="s">
        <v>1663</v>
      </c>
      <c r="E212" s="45" t="s">
        <v>1663</v>
      </c>
    </row>
    <row r="213" spans="1:5" x14ac:dyDescent="0.25">
      <c r="A213" s="30" t="s">
        <v>437</v>
      </c>
      <c r="B213" t="s">
        <v>1150</v>
      </c>
      <c r="C213" t="s">
        <v>1151</v>
      </c>
      <c r="D213" s="30" t="s">
        <v>1664</v>
      </c>
      <c r="E213" s="45" t="s">
        <v>1664</v>
      </c>
    </row>
    <row r="214" spans="1:5" x14ac:dyDescent="0.25">
      <c r="A214" s="30" t="s">
        <v>437</v>
      </c>
      <c r="B214" t="s">
        <v>394</v>
      </c>
      <c r="C214" t="s">
        <v>448</v>
      </c>
      <c r="D214" s="30" t="s">
        <v>1665</v>
      </c>
      <c r="E214" s="45" t="s">
        <v>1665</v>
      </c>
    </row>
    <row r="215" spans="1:5" x14ac:dyDescent="0.25">
      <c r="A215" s="30" t="s">
        <v>437</v>
      </c>
      <c r="B215" t="s">
        <v>1386</v>
      </c>
      <c r="C215" t="s">
        <v>1387</v>
      </c>
      <c r="D215" s="30" t="s">
        <v>1425</v>
      </c>
      <c r="E215" s="45" t="s">
        <v>1425</v>
      </c>
    </row>
    <row r="216" spans="1:5" x14ac:dyDescent="0.25">
      <c r="A216" s="30" t="s">
        <v>437</v>
      </c>
      <c r="B216" t="s">
        <v>1152</v>
      </c>
      <c r="C216" t="s">
        <v>1153</v>
      </c>
      <c r="D216" s="30" t="s">
        <v>1426</v>
      </c>
      <c r="E216" s="45" t="s">
        <v>1426</v>
      </c>
    </row>
    <row r="217" spans="1:5" x14ac:dyDescent="0.25">
      <c r="A217" s="30" t="s">
        <v>437</v>
      </c>
      <c r="B217" t="s">
        <v>766</v>
      </c>
      <c r="C217" t="s">
        <v>767</v>
      </c>
      <c r="D217" s="30" t="s">
        <v>1420</v>
      </c>
      <c r="E217" s="45" t="s">
        <v>1420</v>
      </c>
    </row>
    <row r="218" spans="1:5" x14ac:dyDescent="0.25">
      <c r="A218" s="30" t="s">
        <v>437</v>
      </c>
      <c r="B218" t="s">
        <v>1154</v>
      </c>
      <c r="C218" t="s">
        <v>1155</v>
      </c>
      <c r="D218" s="30" t="s">
        <v>1428</v>
      </c>
      <c r="E218" s="45" t="s">
        <v>1428</v>
      </c>
    </row>
    <row r="219" spans="1:5" x14ac:dyDescent="0.25">
      <c r="A219" s="30" t="s">
        <v>437</v>
      </c>
      <c r="B219" t="s">
        <v>395</v>
      </c>
      <c r="C219" t="s">
        <v>449</v>
      </c>
      <c r="D219" s="30" t="s">
        <v>1429</v>
      </c>
      <c r="E219" s="45" t="s">
        <v>1429</v>
      </c>
    </row>
    <row r="220" spans="1:5" x14ac:dyDescent="0.25">
      <c r="A220" s="30" t="s">
        <v>437</v>
      </c>
      <c r="B220" t="s">
        <v>396</v>
      </c>
      <c r="C220" t="s">
        <v>450</v>
      </c>
      <c r="D220" s="30" t="s">
        <v>643</v>
      </c>
      <c r="E220" s="45" t="s">
        <v>643</v>
      </c>
    </row>
    <row r="221" spans="1:5" x14ac:dyDescent="0.25">
      <c r="A221" s="30" t="s">
        <v>437</v>
      </c>
      <c r="B221" t="s">
        <v>398</v>
      </c>
      <c r="C221" t="s">
        <v>451</v>
      </c>
      <c r="D221" s="30" t="s">
        <v>399</v>
      </c>
      <c r="E221" s="45" t="s">
        <v>399</v>
      </c>
    </row>
    <row r="222" spans="1:5" x14ac:dyDescent="0.25">
      <c r="A222" s="30" t="s">
        <v>437</v>
      </c>
      <c r="B222" t="s">
        <v>400</v>
      </c>
      <c r="C222" t="s">
        <v>452</v>
      </c>
      <c r="D222" s="30" t="s">
        <v>1876</v>
      </c>
      <c r="E222" s="45" t="s">
        <v>1876</v>
      </c>
    </row>
    <row r="223" spans="1:5" x14ac:dyDescent="0.25">
      <c r="A223" s="30" t="s">
        <v>437</v>
      </c>
      <c r="B223" t="s">
        <v>570</v>
      </c>
      <c r="C223" t="s">
        <v>571</v>
      </c>
      <c r="D223" s="30" t="s">
        <v>1877</v>
      </c>
      <c r="E223" s="45" t="s">
        <v>1877</v>
      </c>
    </row>
    <row r="224" spans="1:5" x14ac:dyDescent="0.25">
      <c r="A224" s="30" t="s">
        <v>437</v>
      </c>
      <c r="B224" t="s">
        <v>770</v>
      </c>
      <c r="C224" t="s">
        <v>771</v>
      </c>
      <c r="D224" s="30" t="s">
        <v>1156</v>
      </c>
      <c r="E224" s="45" t="s">
        <v>1156</v>
      </c>
    </row>
    <row r="225" spans="1:5" x14ac:dyDescent="0.25">
      <c r="A225" s="30" t="s">
        <v>437</v>
      </c>
      <c r="B225" t="s">
        <v>572</v>
      </c>
      <c r="C225" t="s">
        <v>573</v>
      </c>
      <c r="D225" s="30" t="s">
        <v>1666</v>
      </c>
      <c r="E225" s="45" t="s">
        <v>1666</v>
      </c>
    </row>
    <row r="226" spans="1:5" x14ac:dyDescent="0.25">
      <c r="A226" s="30" t="s">
        <v>437</v>
      </c>
      <c r="B226" t="s">
        <v>1667</v>
      </c>
      <c r="C226" t="s">
        <v>1668</v>
      </c>
      <c r="D226" s="30" t="s">
        <v>1390</v>
      </c>
      <c r="E226" s="45" t="s">
        <v>1390</v>
      </c>
    </row>
    <row r="227" spans="1:5" x14ac:dyDescent="0.25">
      <c r="B227" t="s">
        <v>575</v>
      </c>
      <c r="C227" t="s">
        <v>575</v>
      </c>
      <c r="D227" s="30" t="s">
        <v>1388</v>
      </c>
      <c r="E227" s="45" t="s">
        <v>1388</v>
      </c>
    </row>
    <row r="228" spans="1:5" x14ac:dyDescent="0.25">
      <c r="A228" s="30" t="s">
        <v>1670</v>
      </c>
      <c r="B228" t="s">
        <v>1669</v>
      </c>
      <c r="C228" t="s">
        <v>1671</v>
      </c>
      <c r="D228" s="30" t="s">
        <v>1672</v>
      </c>
      <c r="E228" s="45" t="s">
        <v>1672</v>
      </c>
    </row>
    <row r="229" spans="1:5" x14ac:dyDescent="0.25">
      <c r="A229" s="30" t="s">
        <v>437</v>
      </c>
      <c r="B229" t="s">
        <v>403</v>
      </c>
      <c r="C229" t="s">
        <v>453</v>
      </c>
      <c r="D229" s="30" t="s">
        <v>454</v>
      </c>
      <c r="E229" s="45" t="s">
        <v>454</v>
      </c>
    </row>
    <row r="230" spans="1:5" x14ac:dyDescent="0.25">
      <c r="A230" s="30" t="s">
        <v>437</v>
      </c>
      <c r="B230" t="s">
        <v>775</v>
      </c>
      <c r="C230" t="s">
        <v>776</v>
      </c>
      <c r="D230" s="30" t="s">
        <v>1147</v>
      </c>
      <c r="E230" s="45" t="s">
        <v>1147</v>
      </c>
    </row>
    <row r="231" spans="1:5" x14ac:dyDescent="0.25">
      <c r="A231" s="30" t="s">
        <v>437</v>
      </c>
      <c r="B231" t="s">
        <v>404</v>
      </c>
      <c r="C231" t="s">
        <v>455</v>
      </c>
      <c r="D231" s="30" t="s">
        <v>1157</v>
      </c>
      <c r="E231" s="45" t="s">
        <v>1157</v>
      </c>
    </row>
    <row r="232" spans="1:5" x14ac:dyDescent="0.25">
      <c r="A232" s="30" t="s">
        <v>437</v>
      </c>
      <c r="B232" t="s">
        <v>1158</v>
      </c>
      <c r="C232" t="s">
        <v>1159</v>
      </c>
      <c r="D232" s="30" t="s">
        <v>1160</v>
      </c>
      <c r="E232" s="45" t="s">
        <v>1160</v>
      </c>
    </row>
    <row r="233" spans="1:5" x14ac:dyDescent="0.25">
      <c r="A233" s="30" t="s">
        <v>437</v>
      </c>
      <c r="B233" t="s">
        <v>1391</v>
      </c>
      <c r="C233" t="s">
        <v>1392</v>
      </c>
      <c r="D233" s="30" t="s">
        <v>1385</v>
      </c>
      <c r="E233" s="45" t="s">
        <v>1385</v>
      </c>
    </row>
    <row r="234" spans="1:5" x14ac:dyDescent="0.25">
      <c r="A234" s="30" t="s">
        <v>437</v>
      </c>
      <c r="B234" t="s">
        <v>405</v>
      </c>
      <c r="C234" t="s">
        <v>456</v>
      </c>
      <c r="D234" s="30" t="s">
        <v>1169</v>
      </c>
      <c r="E234" s="45" t="s">
        <v>1169</v>
      </c>
    </row>
    <row r="235" spans="1:5" x14ac:dyDescent="0.25">
      <c r="A235" s="30" t="s">
        <v>437</v>
      </c>
      <c r="B235" t="s">
        <v>406</v>
      </c>
      <c r="C235" t="s">
        <v>457</v>
      </c>
      <c r="D235" s="30" t="s">
        <v>1184</v>
      </c>
      <c r="E235" s="45" t="s">
        <v>1184</v>
      </c>
    </row>
    <row r="236" spans="1:5" x14ac:dyDescent="0.25">
      <c r="A236" s="30" t="s">
        <v>437</v>
      </c>
      <c r="B236" t="s">
        <v>1396</v>
      </c>
      <c r="C236" t="s">
        <v>1397</v>
      </c>
      <c r="D236" s="30" t="s">
        <v>1382</v>
      </c>
      <c r="E236" s="45" t="s">
        <v>1382</v>
      </c>
    </row>
    <row r="237" spans="1:5" x14ac:dyDescent="0.25">
      <c r="A237" s="30" t="s">
        <v>437</v>
      </c>
      <c r="B237" t="s">
        <v>1161</v>
      </c>
      <c r="C237" t="s">
        <v>1162</v>
      </c>
      <c r="D237" s="30" t="s">
        <v>1211</v>
      </c>
      <c r="E237" s="45" t="s">
        <v>1211</v>
      </c>
    </row>
    <row r="238" spans="1:5" x14ac:dyDescent="0.25">
      <c r="A238" s="30" t="s">
        <v>437</v>
      </c>
      <c r="B238" t="s">
        <v>781</v>
      </c>
      <c r="C238" t="s">
        <v>782</v>
      </c>
      <c r="D238" s="30" t="s">
        <v>1379</v>
      </c>
      <c r="E238" s="45" t="s">
        <v>1379</v>
      </c>
    </row>
    <row r="239" spans="1:5" x14ac:dyDescent="0.25">
      <c r="A239" s="30" t="s">
        <v>437</v>
      </c>
      <c r="B239" t="s">
        <v>1163</v>
      </c>
      <c r="C239" t="s">
        <v>1164</v>
      </c>
      <c r="D239" s="30" t="s">
        <v>1247</v>
      </c>
      <c r="E239" s="45" t="s">
        <v>1247</v>
      </c>
    </row>
    <row r="240" spans="1:5" x14ac:dyDescent="0.25">
      <c r="A240" s="30" t="s">
        <v>437</v>
      </c>
      <c r="B240" t="s">
        <v>407</v>
      </c>
      <c r="C240" t="s">
        <v>458</v>
      </c>
      <c r="D240" s="30" t="s">
        <v>1250</v>
      </c>
      <c r="E240" s="45" t="s">
        <v>1250</v>
      </c>
    </row>
    <row r="241" spans="1:5" x14ac:dyDescent="0.25">
      <c r="A241" s="30" t="s">
        <v>437</v>
      </c>
      <c r="B241" t="s">
        <v>1364</v>
      </c>
      <c r="C241" t="s">
        <v>1402</v>
      </c>
      <c r="D241" s="30" t="s">
        <v>1403</v>
      </c>
      <c r="E241" s="45" t="s">
        <v>1403</v>
      </c>
    </row>
    <row r="242" spans="1:5" x14ac:dyDescent="0.25">
      <c r="A242" s="30" t="s">
        <v>437</v>
      </c>
      <c r="B242" t="s">
        <v>1673</v>
      </c>
      <c r="C242" t="s">
        <v>1674</v>
      </c>
      <c r="D242" s="30" t="s">
        <v>1675</v>
      </c>
      <c r="E242" s="45" t="s">
        <v>1675</v>
      </c>
    </row>
    <row r="243" spans="1:5" x14ac:dyDescent="0.25">
      <c r="A243" s="30" t="s">
        <v>437</v>
      </c>
      <c r="B243" t="s">
        <v>1676</v>
      </c>
      <c r="C243" t="s">
        <v>1677</v>
      </c>
      <c r="D243" s="30" t="s">
        <v>1678</v>
      </c>
      <c r="E243" s="45" t="s">
        <v>1678</v>
      </c>
    </row>
    <row r="244" spans="1:5" x14ac:dyDescent="0.25">
      <c r="A244" s="30" t="s">
        <v>437</v>
      </c>
      <c r="B244" t="s">
        <v>1878</v>
      </c>
      <c r="C244" t="s">
        <v>1879</v>
      </c>
      <c r="D244" s="30" t="s">
        <v>1880</v>
      </c>
      <c r="E244" s="45" t="s">
        <v>1880</v>
      </c>
    </row>
    <row r="245" spans="1:5" x14ac:dyDescent="0.25">
      <c r="A245" s="30" t="s">
        <v>437</v>
      </c>
      <c r="B245" t="s">
        <v>1679</v>
      </c>
      <c r="C245" t="s">
        <v>1680</v>
      </c>
      <c r="D245" s="30" t="s">
        <v>1881</v>
      </c>
      <c r="E245" s="45" t="s">
        <v>1881</v>
      </c>
    </row>
    <row r="246" spans="1:5" x14ac:dyDescent="0.25">
      <c r="A246" s="30" t="s">
        <v>437</v>
      </c>
      <c r="B246" t="s">
        <v>1404</v>
      </c>
      <c r="C246" t="s">
        <v>1405</v>
      </c>
      <c r="D246" s="30" t="s">
        <v>1406</v>
      </c>
      <c r="E246" s="45" t="s">
        <v>1406</v>
      </c>
    </row>
    <row r="247" spans="1:5" x14ac:dyDescent="0.25">
      <c r="A247" s="30" t="s">
        <v>437</v>
      </c>
      <c r="B247" t="s">
        <v>1471</v>
      </c>
      <c r="C247" t="s">
        <v>1681</v>
      </c>
      <c r="D247" s="30" t="s">
        <v>568</v>
      </c>
      <c r="E247" s="45" t="s">
        <v>568</v>
      </c>
    </row>
    <row r="248" spans="1:5" x14ac:dyDescent="0.25">
      <c r="A248" s="30" t="s">
        <v>437</v>
      </c>
      <c r="B248" t="s">
        <v>1367</v>
      </c>
      <c r="C248" t="s">
        <v>1407</v>
      </c>
      <c r="D248" s="30" t="s">
        <v>1408</v>
      </c>
      <c r="E248" s="45" t="s">
        <v>1408</v>
      </c>
    </row>
    <row r="249" spans="1:5" x14ac:dyDescent="0.25">
      <c r="A249" s="30" t="s">
        <v>437</v>
      </c>
      <c r="B249" t="s">
        <v>1409</v>
      </c>
      <c r="C249" t="s">
        <v>1410</v>
      </c>
      <c r="D249" s="30" t="s">
        <v>1411</v>
      </c>
      <c r="E249" s="45" t="s">
        <v>1411</v>
      </c>
    </row>
    <row r="250" spans="1:5" x14ac:dyDescent="0.25">
      <c r="A250" s="30" t="s">
        <v>437</v>
      </c>
      <c r="B250" t="s">
        <v>1368</v>
      </c>
      <c r="C250" t="s">
        <v>1412</v>
      </c>
      <c r="D250" s="30" t="s">
        <v>1413</v>
      </c>
      <c r="E250" s="45" t="s">
        <v>1413</v>
      </c>
    </row>
    <row r="251" spans="1:5" x14ac:dyDescent="0.25">
      <c r="A251" s="30" t="s">
        <v>437</v>
      </c>
      <c r="B251" t="s">
        <v>1363</v>
      </c>
      <c r="C251" t="s">
        <v>1414</v>
      </c>
      <c r="D251" s="30" t="s">
        <v>1415</v>
      </c>
      <c r="E251" s="45" t="s">
        <v>1415</v>
      </c>
    </row>
    <row r="252" spans="1:5" x14ac:dyDescent="0.25">
      <c r="B252" t="s">
        <v>1828</v>
      </c>
      <c r="C252" t="s">
        <v>1828</v>
      </c>
      <c r="D252" s="30" t="s">
        <v>1899</v>
      </c>
      <c r="E252" s="45" t="s">
        <v>1899</v>
      </c>
    </row>
    <row r="253" spans="1:5" x14ac:dyDescent="0.25">
      <c r="A253" s="30" t="s">
        <v>437</v>
      </c>
      <c r="B253" t="s">
        <v>1165</v>
      </c>
      <c r="C253" t="s">
        <v>1166</v>
      </c>
      <c r="D253" s="30" t="s">
        <v>1682</v>
      </c>
      <c r="E253" s="45" t="s">
        <v>1682</v>
      </c>
    </row>
    <row r="254" spans="1:5" x14ac:dyDescent="0.25">
      <c r="A254" s="30" t="s">
        <v>437</v>
      </c>
      <c r="B254" t="s">
        <v>1683</v>
      </c>
      <c r="C254" t="s">
        <v>1684</v>
      </c>
      <c r="D254" s="30" t="s">
        <v>1685</v>
      </c>
      <c r="E254" s="45" t="s">
        <v>1685</v>
      </c>
    </row>
    <row r="255" spans="1:5" x14ac:dyDescent="0.25">
      <c r="A255" s="30" t="s">
        <v>437</v>
      </c>
      <c r="B255" t="s">
        <v>1686</v>
      </c>
      <c r="C255" t="s">
        <v>1687</v>
      </c>
      <c r="D255" s="30" t="s">
        <v>1688</v>
      </c>
      <c r="E255" s="45" t="s">
        <v>1688</v>
      </c>
    </row>
    <row r="256" spans="1:5" x14ac:dyDescent="0.25">
      <c r="A256" s="30" t="s">
        <v>437</v>
      </c>
      <c r="B256" t="s">
        <v>1689</v>
      </c>
      <c r="C256" t="s">
        <v>1690</v>
      </c>
      <c r="D256" s="30" t="s">
        <v>1691</v>
      </c>
      <c r="E256" s="45" t="s">
        <v>1691</v>
      </c>
    </row>
    <row r="257" spans="1:5" x14ac:dyDescent="0.25">
      <c r="A257" s="30" t="s">
        <v>437</v>
      </c>
      <c r="B257" t="s">
        <v>1692</v>
      </c>
      <c r="C257" t="s">
        <v>1693</v>
      </c>
      <c r="D257" s="30" t="s">
        <v>1694</v>
      </c>
      <c r="E257" s="45" t="s">
        <v>1694</v>
      </c>
    </row>
    <row r="258" spans="1:5" x14ac:dyDescent="0.25">
      <c r="A258" s="30" t="s">
        <v>437</v>
      </c>
      <c r="B258" t="s">
        <v>1695</v>
      </c>
      <c r="C258" t="s">
        <v>1696</v>
      </c>
      <c r="D258" s="30" t="s">
        <v>1697</v>
      </c>
      <c r="E258" s="45" t="s">
        <v>1697</v>
      </c>
    </row>
    <row r="259" spans="1:5" x14ac:dyDescent="0.25">
      <c r="A259" s="30" t="s">
        <v>437</v>
      </c>
      <c r="B259" t="s">
        <v>1698</v>
      </c>
      <c r="C259" t="s">
        <v>1699</v>
      </c>
      <c r="D259" s="30" t="s">
        <v>1700</v>
      </c>
      <c r="E259" s="45" t="s">
        <v>1700</v>
      </c>
    </row>
    <row r="260" spans="1:5" x14ac:dyDescent="0.25">
      <c r="A260" s="30" t="s">
        <v>437</v>
      </c>
      <c r="B260" t="s">
        <v>1167</v>
      </c>
      <c r="C260" t="s">
        <v>1168</v>
      </c>
      <c r="D260" s="30" t="s">
        <v>1701</v>
      </c>
      <c r="E260" s="45" t="s">
        <v>1701</v>
      </c>
    </row>
    <row r="261" spans="1:5" x14ac:dyDescent="0.25">
      <c r="A261" s="30" t="s">
        <v>437</v>
      </c>
      <c r="B261" t="s">
        <v>408</v>
      </c>
      <c r="C261" t="s">
        <v>459</v>
      </c>
      <c r="D261" s="30" t="s">
        <v>1882</v>
      </c>
      <c r="E261" s="45" t="s">
        <v>1882</v>
      </c>
    </row>
    <row r="262" spans="1:5" x14ac:dyDescent="0.25">
      <c r="A262" s="30" t="s">
        <v>437</v>
      </c>
      <c r="B262" t="s">
        <v>410</v>
      </c>
      <c r="C262" t="s">
        <v>460</v>
      </c>
      <c r="D262" s="30" t="s">
        <v>1883</v>
      </c>
      <c r="E262" s="45" t="s">
        <v>1883</v>
      </c>
    </row>
    <row r="263" spans="1:5" x14ac:dyDescent="0.25">
      <c r="A263" s="30" t="s">
        <v>437</v>
      </c>
      <c r="B263" t="s">
        <v>412</v>
      </c>
      <c r="C263" t="s">
        <v>461</v>
      </c>
      <c r="D263" s="30" t="s">
        <v>1884</v>
      </c>
      <c r="E263" s="45" t="s">
        <v>1884</v>
      </c>
    </row>
    <row r="264" spans="1:5" x14ac:dyDescent="0.25">
      <c r="A264" s="30" t="s">
        <v>437</v>
      </c>
      <c r="B264" t="s">
        <v>414</v>
      </c>
      <c r="C264" t="s">
        <v>462</v>
      </c>
      <c r="D264" s="30" t="s">
        <v>1885</v>
      </c>
      <c r="E264" s="45" t="s">
        <v>1885</v>
      </c>
    </row>
    <row r="265" spans="1:5" x14ac:dyDescent="0.25">
      <c r="A265" s="30" t="s">
        <v>437</v>
      </c>
      <c r="B265" t="s">
        <v>787</v>
      </c>
      <c r="C265" t="s">
        <v>788</v>
      </c>
      <c r="D265" s="30" t="s">
        <v>789</v>
      </c>
      <c r="E265" s="45" t="s">
        <v>789</v>
      </c>
    </row>
    <row r="266" spans="1:5" x14ac:dyDescent="0.25">
      <c r="A266" s="30" t="s">
        <v>437</v>
      </c>
      <c r="B266" t="s">
        <v>584</v>
      </c>
      <c r="C266" t="s">
        <v>585</v>
      </c>
      <c r="D266" s="30" t="s">
        <v>1702</v>
      </c>
      <c r="E266" s="45" t="s">
        <v>1702</v>
      </c>
    </row>
    <row r="267" spans="1:5" x14ac:dyDescent="0.25">
      <c r="A267" s="30" t="s">
        <v>437</v>
      </c>
      <c r="B267" t="s">
        <v>1170</v>
      </c>
      <c r="C267" t="s">
        <v>1171</v>
      </c>
      <c r="D267" s="30" t="s">
        <v>1394</v>
      </c>
      <c r="E267" s="45" t="s">
        <v>1394</v>
      </c>
    </row>
    <row r="268" spans="1:5" x14ac:dyDescent="0.25">
      <c r="A268" s="30" t="s">
        <v>1670</v>
      </c>
      <c r="B268" t="s">
        <v>1703</v>
      </c>
      <c r="C268" t="s">
        <v>1704</v>
      </c>
      <c r="D268" s="30" t="s">
        <v>1705</v>
      </c>
      <c r="E268" s="45" t="s">
        <v>1705</v>
      </c>
    </row>
    <row r="269" spans="1:5" x14ac:dyDescent="0.25">
      <c r="A269" s="30" t="s">
        <v>437</v>
      </c>
      <c r="B269" t="s">
        <v>1172</v>
      </c>
      <c r="C269" t="s">
        <v>1173</v>
      </c>
      <c r="D269" s="30" t="s">
        <v>1706</v>
      </c>
      <c r="E269" s="45" t="s">
        <v>1706</v>
      </c>
    </row>
    <row r="270" spans="1:5" x14ac:dyDescent="0.25">
      <c r="A270" s="30" t="s">
        <v>437</v>
      </c>
      <c r="B270" t="s">
        <v>1174</v>
      </c>
      <c r="C270" t="s">
        <v>1175</v>
      </c>
      <c r="D270" s="30" t="s">
        <v>1707</v>
      </c>
      <c r="E270" s="45" t="s">
        <v>1707</v>
      </c>
    </row>
    <row r="271" spans="1:5" x14ac:dyDescent="0.25">
      <c r="A271" s="30" t="s">
        <v>437</v>
      </c>
      <c r="B271" t="s">
        <v>1176</v>
      </c>
      <c r="C271" t="s">
        <v>1177</v>
      </c>
      <c r="D271" s="30" t="s">
        <v>1708</v>
      </c>
      <c r="E271" s="45" t="s">
        <v>1708</v>
      </c>
    </row>
    <row r="272" spans="1:5" x14ac:dyDescent="0.25">
      <c r="A272" s="30" t="s">
        <v>437</v>
      </c>
      <c r="B272" t="s">
        <v>791</v>
      </c>
      <c r="C272" t="s">
        <v>792</v>
      </c>
      <c r="D272" s="30" t="s">
        <v>1709</v>
      </c>
      <c r="E272" s="45" t="s">
        <v>1709</v>
      </c>
    </row>
    <row r="273" spans="1:5" x14ac:dyDescent="0.25">
      <c r="A273" s="30" t="s">
        <v>437</v>
      </c>
      <c r="B273" t="s">
        <v>794</v>
      </c>
      <c r="C273" t="s">
        <v>795</v>
      </c>
      <c r="D273" s="30" t="s">
        <v>1710</v>
      </c>
      <c r="E273" s="45" t="s">
        <v>1710</v>
      </c>
    </row>
    <row r="274" spans="1:5" x14ac:dyDescent="0.25">
      <c r="A274" s="30" t="s">
        <v>437</v>
      </c>
      <c r="B274" t="s">
        <v>797</v>
      </c>
      <c r="C274" t="s">
        <v>798</v>
      </c>
      <c r="D274" s="30" t="s">
        <v>1711</v>
      </c>
      <c r="E274" s="45" t="s">
        <v>1711</v>
      </c>
    </row>
    <row r="275" spans="1:5" x14ac:dyDescent="0.25">
      <c r="A275" s="30" t="s">
        <v>437</v>
      </c>
      <c r="B275" t="s">
        <v>416</v>
      </c>
      <c r="C275" t="s">
        <v>463</v>
      </c>
      <c r="D275" s="30" t="s">
        <v>1712</v>
      </c>
      <c r="E275" s="45" t="s">
        <v>1712</v>
      </c>
    </row>
    <row r="276" spans="1:5" x14ac:dyDescent="0.25">
      <c r="A276" s="30" t="s">
        <v>437</v>
      </c>
      <c r="B276" t="s">
        <v>1418</v>
      </c>
      <c r="C276" t="s">
        <v>1419</v>
      </c>
      <c r="D276" s="30" t="s">
        <v>1713</v>
      </c>
      <c r="E276" s="45" t="s">
        <v>1713</v>
      </c>
    </row>
    <row r="277" spans="1:5" x14ac:dyDescent="0.25">
      <c r="A277" s="30" t="s">
        <v>437</v>
      </c>
      <c r="B277" t="s">
        <v>417</v>
      </c>
      <c r="C277" t="s">
        <v>464</v>
      </c>
      <c r="D277" s="30" t="s">
        <v>1714</v>
      </c>
      <c r="E277" s="45" t="s">
        <v>1714</v>
      </c>
    </row>
    <row r="278" spans="1:5" x14ac:dyDescent="0.25">
      <c r="A278" s="30" t="s">
        <v>437</v>
      </c>
      <c r="B278" t="s">
        <v>418</v>
      </c>
      <c r="C278" t="s">
        <v>465</v>
      </c>
      <c r="D278" s="30" t="s">
        <v>1715</v>
      </c>
      <c r="E278" s="45" t="s">
        <v>1715</v>
      </c>
    </row>
    <row r="279" spans="1:5" x14ac:dyDescent="0.25">
      <c r="A279" s="30" t="s">
        <v>437</v>
      </c>
      <c r="B279" t="s">
        <v>1423</v>
      </c>
      <c r="C279" t="s">
        <v>1424</v>
      </c>
      <c r="D279" s="30" t="s">
        <v>1716</v>
      </c>
      <c r="E279" s="45" t="s">
        <v>1716</v>
      </c>
    </row>
    <row r="280" spans="1:5" x14ac:dyDescent="0.25">
      <c r="A280" s="30" t="s">
        <v>437</v>
      </c>
      <c r="B280" t="s">
        <v>1178</v>
      </c>
      <c r="C280" t="s">
        <v>1179</v>
      </c>
      <c r="D280" s="30" t="s">
        <v>1717</v>
      </c>
      <c r="E280" s="45" t="s">
        <v>1717</v>
      </c>
    </row>
    <row r="281" spans="1:5" x14ac:dyDescent="0.25">
      <c r="A281" s="30" t="s">
        <v>437</v>
      </c>
      <c r="B281" t="s">
        <v>803</v>
      </c>
      <c r="C281" t="s">
        <v>804</v>
      </c>
      <c r="D281" s="30" t="s">
        <v>1718</v>
      </c>
      <c r="E281" s="45" t="s">
        <v>1718</v>
      </c>
    </row>
    <row r="282" spans="1:5" x14ac:dyDescent="0.25">
      <c r="A282" s="30" t="s">
        <v>437</v>
      </c>
      <c r="B282" t="s">
        <v>1180</v>
      </c>
      <c r="C282" t="s">
        <v>1181</v>
      </c>
      <c r="D282" s="30" t="s">
        <v>1719</v>
      </c>
      <c r="E282" s="45" t="s">
        <v>1719</v>
      </c>
    </row>
    <row r="283" spans="1:5" x14ac:dyDescent="0.25">
      <c r="A283" s="30" t="s">
        <v>437</v>
      </c>
      <c r="B283" t="s">
        <v>419</v>
      </c>
      <c r="C283" t="s">
        <v>466</v>
      </c>
      <c r="D283" s="30" t="s">
        <v>1720</v>
      </c>
      <c r="E283" s="45" t="s">
        <v>1720</v>
      </c>
    </row>
    <row r="284" spans="1:5" x14ac:dyDescent="0.25">
      <c r="A284" s="30" t="s">
        <v>437</v>
      </c>
      <c r="B284" t="s">
        <v>594</v>
      </c>
      <c r="C284" t="s">
        <v>595</v>
      </c>
      <c r="D284" s="30" t="s">
        <v>596</v>
      </c>
      <c r="E284" s="45" t="s">
        <v>596</v>
      </c>
    </row>
    <row r="285" spans="1:5" x14ac:dyDescent="0.25">
      <c r="A285" s="30" t="s">
        <v>437</v>
      </c>
      <c r="B285" t="s">
        <v>420</v>
      </c>
      <c r="C285" t="s">
        <v>467</v>
      </c>
      <c r="D285" s="30" t="s">
        <v>1182</v>
      </c>
      <c r="E285" s="45" t="s">
        <v>1182</v>
      </c>
    </row>
    <row r="286" spans="1:5" x14ac:dyDescent="0.25">
      <c r="A286" s="30" t="s">
        <v>437</v>
      </c>
      <c r="B286" t="s">
        <v>422</v>
      </c>
      <c r="C286" t="s">
        <v>468</v>
      </c>
      <c r="D286" s="30" t="s">
        <v>1183</v>
      </c>
      <c r="E286" s="45" t="s">
        <v>1183</v>
      </c>
    </row>
    <row r="287" spans="1:5" x14ac:dyDescent="0.25">
      <c r="A287" s="30" t="s">
        <v>437</v>
      </c>
      <c r="B287" t="s">
        <v>424</v>
      </c>
      <c r="C287" t="s">
        <v>469</v>
      </c>
      <c r="D287" s="30" t="s">
        <v>1886</v>
      </c>
      <c r="E287" s="45" t="s">
        <v>1886</v>
      </c>
    </row>
    <row r="288" spans="1:5" x14ac:dyDescent="0.25">
      <c r="A288" s="30" t="s">
        <v>437</v>
      </c>
      <c r="B288" t="s">
        <v>426</v>
      </c>
      <c r="C288" t="s">
        <v>470</v>
      </c>
      <c r="D288" s="30" t="s">
        <v>1887</v>
      </c>
      <c r="E288" s="45" t="s">
        <v>1887</v>
      </c>
    </row>
    <row r="289" spans="1:5" x14ac:dyDescent="0.25">
      <c r="A289" s="30" t="s">
        <v>437</v>
      </c>
      <c r="B289" t="s">
        <v>809</v>
      </c>
      <c r="C289" t="s">
        <v>810</v>
      </c>
      <c r="D289" s="30" t="s">
        <v>1721</v>
      </c>
      <c r="E289" s="45" t="s">
        <v>1721</v>
      </c>
    </row>
    <row r="290" spans="1:5" x14ac:dyDescent="0.25">
      <c r="A290" s="30" t="s">
        <v>437</v>
      </c>
      <c r="B290" t="s">
        <v>812</v>
      </c>
      <c r="C290" t="s">
        <v>813</v>
      </c>
      <c r="D290" s="30" t="s">
        <v>814</v>
      </c>
      <c r="E290" s="45" t="s">
        <v>814</v>
      </c>
    </row>
    <row r="291" spans="1:5" x14ac:dyDescent="0.25">
      <c r="A291" s="30" t="s">
        <v>437</v>
      </c>
      <c r="B291" t="s">
        <v>597</v>
      </c>
      <c r="C291" t="s">
        <v>598</v>
      </c>
      <c r="D291" s="30" t="s">
        <v>1722</v>
      </c>
      <c r="E291" s="45" t="s">
        <v>1722</v>
      </c>
    </row>
    <row r="292" spans="1:5" x14ac:dyDescent="0.25">
      <c r="A292" s="30" t="s">
        <v>437</v>
      </c>
      <c r="B292" t="s">
        <v>1723</v>
      </c>
      <c r="C292" t="s">
        <v>1724</v>
      </c>
      <c r="D292" s="30" t="s">
        <v>1395</v>
      </c>
      <c r="E292" s="45" t="s">
        <v>1395</v>
      </c>
    </row>
    <row r="293" spans="1:5" x14ac:dyDescent="0.25">
      <c r="A293" s="30" t="s">
        <v>437</v>
      </c>
      <c r="B293" t="s">
        <v>654</v>
      </c>
      <c r="C293" t="s">
        <v>816</v>
      </c>
      <c r="D293" s="30" t="s">
        <v>1185</v>
      </c>
      <c r="E293" s="45" t="s">
        <v>1185</v>
      </c>
    </row>
    <row r="294" spans="1:5" x14ac:dyDescent="0.25">
      <c r="B294" t="s">
        <v>818</v>
      </c>
      <c r="C294" t="s">
        <v>818</v>
      </c>
      <c r="D294" s="30" t="s">
        <v>1186</v>
      </c>
      <c r="E294" s="45" t="s">
        <v>1186</v>
      </c>
    </row>
    <row r="295" spans="1:5" x14ac:dyDescent="0.25">
      <c r="A295" s="30" t="s">
        <v>437</v>
      </c>
      <c r="B295" t="s">
        <v>158</v>
      </c>
      <c r="C295" t="s">
        <v>471</v>
      </c>
      <c r="D295" s="30" t="s">
        <v>472</v>
      </c>
      <c r="E295" s="45" t="s">
        <v>472</v>
      </c>
    </row>
    <row r="296" spans="1:5" x14ac:dyDescent="0.25">
      <c r="A296" s="30" t="s">
        <v>437</v>
      </c>
      <c r="B296" t="s">
        <v>820</v>
      </c>
      <c r="C296" t="s">
        <v>821</v>
      </c>
      <c r="D296" s="30" t="s">
        <v>1725</v>
      </c>
      <c r="E296" s="45" t="s">
        <v>1725</v>
      </c>
    </row>
    <row r="297" spans="1:5" x14ac:dyDescent="0.25">
      <c r="A297" s="30" t="s">
        <v>437</v>
      </c>
      <c r="B297" t="s">
        <v>428</v>
      </c>
      <c r="C297" t="s">
        <v>473</v>
      </c>
      <c r="D297" s="30" t="s">
        <v>1726</v>
      </c>
      <c r="E297" s="45" t="s">
        <v>1726</v>
      </c>
    </row>
    <row r="298" spans="1:5" x14ac:dyDescent="0.25">
      <c r="A298" s="30" t="s">
        <v>437</v>
      </c>
      <c r="B298" t="s">
        <v>1432</v>
      </c>
      <c r="C298" t="s">
        <v>1433</v>
      </c>
      <c r="D298" s="30" t="s">
        <v>1727</v>
      </c>
      <c r="E298" s="45" t="s">
        <v>1727</v>
      </c>
    </row>
    <row r="299" spans="1:5" x14ac:dyDescent="0.25">
      <c r="A299" s="30" t="s">
        <v>437</v>
      </c>
      <c r="B299" t="s">
        <v>429</v>
      </c>
      <c r="C299" t="s">
        <v>474</v>
      </c>
      <c r="D299" s="30" t="s">
        <v>1728</v>
      </c>
      <c r="E299" s="45" t="s">
        <v>1728</v>
      </c>
    </row>
    <row r="300" spans="1:5" x14ac:dyDescent="0.25">
      <c r="A300" s="30" t="s">
        <v>437</v>
      </c>
      <c r="B300" t="s">
        <v>430</v>
      </c>
      <c r="C300" t="s">
        <v>475</v>
      </c>
      <c r="D300" s="30" t="s">
        <v>1729</v>
      </c>
      <c r="E300" s="45" t="s">
        <v>1729</v>
      </c>
    </row>
    <row r="301" spans="1:5" x14ac:dyDescent="0.25">
      <c r="A301" s="30" t="s">
        <v>437</v>
      </c>
      <c r="B301" t="s">
        <v>603</v>
      </c>
      <c r="C301" t="s">
        <v>604</v>
      </c>
      <c r="D301" s="30" t="s">
        <v>605</v>
      </c>
      <c r="E301" s="45" t="s">
        <v>605</v>
      </c>
    </row>
    <row r="302" spans="1:5" x14ac:dyDescent="0.25">
      <c r="A302" s="30" t="s">
        <v>437</v>
      </c>
      <c r="B302" t="s">
        <v>1437</v>
      </c>
      <c r="C302" t="s">
        <v>1438</v>
      </c>
      <c r="D302" s="30" t="s">
        <v>1730</v>
      </c>
      <c r="E302" s="45" t="s">
        <v>1730</v>
      </c>
    </row>
    <row r="303" spans="1:5" x14ac:dyDescent="0.25">
      <c r="A303" s="30" t="s">
        <v>437</v>
      </c>
      <c r="B303" t="s">
        <v>1187</v>
      </c>
      <c r="C303" t="s">
        <v>1188</v>
      </c>
      <c r="D303" s="30" t="s">
        <v>1731</v>
      </c>
      <c r="E303" s="45" t="s">
        <v>1731</v>
      </c>
    </row>
    <row r="304" spans="1:5" x14ac:dyDescent="0.25">
      <c r="A304" s="30" t="s">
        <v>437</v>
      </c>
      <c r="B304" t="s">
        <v>826</v>
      </c>
      <c r="C304" t="s">
        <v>827</v>
      </c>
      <c r="D304" s="30" t="s">
        <v>1732</v>
      </c>
      <c r="E304" s="45" t="s">
        <v>1732</v>
      </c>
    </row>
    <row r="305" spans="1:5" x14ac:dyDescent="0.25">
      <c r="A305" s="30" t="s">
        <v>437</v>
      </c>
      <c r="B305" t="s">
        <v>1189</v>
      </c>
      <c r="C305" t="s">
        <v>1190</v>
      </c>
      <c r="D305" s="30" t="s">
        <v>1733</v>
      </c>
      <c r="E305" s="45" t="s">
        <v>1733</v>
      </c>
    </row>
    <row r="306" spans="1:5" x14ac:dyDescent="0.25">
      <c r="A306" s="30" t="s">
        <v>437</v>
      </c>
      <c r="B306" t="s">
        <v>431</v>
      </c>
      <c r="C306" t="s">
        <v>476</v>
      </c>
      <c r="D306" s="30" t="s">
        <v>1734</v>
      </c>
      <c r="E306" s="45" t="s">
        <v>1734</v>
      </c>
    </row>
    <row r="307" spans="1:5" x14ac:dyDescent="0.25">
      <c r="A307" s="30" t="s">
        <v>437</v>
      </c>
      <c r="B307" t="s">
        <v>1191</v>
      </c>
      <c r="C307" t="s">
        <v>1192</v>
      </c>
      <c r="D307" s="30" t="s">
        <v>1444</v>
      </c>
      <c r="E307" s="45" t="s">
        <v>1444</v>
      </c>
    </row>
    <row r="308" spans="1:5" x14ac:dyDescent="0.25">
      <c r="A308" s="30" t="s">
        <v>437</v>
      </c>
      <c r="B308" t="s">
        <v>1193</v>
      </c>
      <c r="C308" t="s">
        <v>1194</v>
      </c>
      <c r="D308" s="30" t="s">
        <v>1735</v>
      </c>
      <c r="E308" s="45" t="s">
        <v>1735</v>
      </c>
    </row>
    <row r="309" spans="1:5" x14ac:dyDescent="0.25">
      <c r="A309" s="30" t="s">
        <v>437</v>
      </c>
      <c r="B309" t="s">
        <v>1195</v>
      </c>
      <c r="C309" t="s">
        <v>1196</v>
      </c>
      <c r="D309" s="30" t="s">
        <v>1736</v>
      </c>
      <c r="E309" s="45" t="s">
        <v>1736</v>
      </c>
    </row>
    <row r="310" spans="1:5" x14ac:dyDescent="0.25">
      <c r="A310" s="30" t="s">
        <v>437</v>
      </c>
      <c r="B310" t="s">
        <v>1197</v>
      </c>
      <c r="C310" t="s">
        <v>1198</v>
      </c>
      <c r="D310" s="30" t="s">
        <v>1374</v>
      </c>
      <c r="E310" s="45" t="s">
        <v>1374</v>
      </c>
    </row>
    <row r="311" spans="1:5" x14ac:dyDescent="0.25">
      <c r="A311" s="30" t="s">
        <v>437</v>
      </c>
      <c r="B311" t="s">
        <v>1445</v>
      </c>
      <c r="C311" t="s">
        <v>1446</v>
      </c>
      <c r="D311" s="30" t="s">
        <v>1447</v>
      </c>
      <c r="E311" s="45" t="s">
        <v>1447</v>
      </c>
    </row>
    <row r="312" spans="1:5" x14ac:dyDescent="0.25">
      <c r="A312" s="30" t="s">
        <v>437</v>
      </c>
      <c r="B312" t="s">
        <v>1448</v>
      </c>
      <c r="C312" t="s">
        <v>1449</v>
      </c>
      <c r="D312" s="30" t="s">
        <v>1450</v>
      </c>
      <c r="E312" s="45" t="s">
        <v>1450</v>
      </c>
    </row>
    <row r="313" spans="1:5" x14ac:dyDescent="0.25">
      <c r="A313" s="30" t="s">
        <v>437</v>
      </c>
      <c r="B313" t="s">
        <v>1451</v>
      </c>
      <c r="C313" t="s">
        <v>1452</v>
      </c>
      <c r="D313" s="30" t="s">
        <v>1888</v>
      </c>
      <c r="E313" s="45" t="s">
        <v>1888</v>
      </c>
    </row>
    <row r="314" spans="1:5" x14ac:dyDescent="0.25">
      <c r="A314" s="30" t="s">
        <v>437</v>
      </c>
      <c r="B314" t="s">
        <v>1453</v>
      </c>
      <c r="C314" t="s">
        <v>1454</v>
      </c>
      <c r="D314" s="30" t="s">
        <v>1889</v>
      </c>
      <c r="E314" s="45" t="s">
        <v>1889</v>
      </c>
    </row>
    <row r="315" spans="1:5" x14ac:dyDescent="0.25">
      <c r="A315" s="30" t="s">
        <v>437</v>
      </c>
      <c r="B315" t="s">
        <v>1455</v>
      </c>
      <c r="C315" t="s">
        <v>1456</v>
      </c>
      <c r="D315" s="30" t="s">
        <v>1457</v>
      </c>
      <c r="E315" s="45" t="s">
        <v>1457</v>
      </c>
    </row>
    <row r="316" spans="1:5" x14ac:dyDescent="0.25">
      <c r="A316" s="30" t="s">
        <v>437</v>
      </c>
      <c r="B316" t="s">
        <v>1458</v>
      </c>
      <c r="C316" t="s">
        <v>1459</v>
      </c>
      <c r="D316" s="30" t="s">
        <v>1737</v>
      </c>
      <c r="E316" s="45" t="s">
        <v>1737</v>
      </c>
    </row>
    <row r="317" spans="1:5" x14ac:dyDescent="0.25">
      <c r="A317" s="30" t="s">
        <v>437</v>
      </c>
      <c r="B317" t="s">
        <v>1460</v>
      </c>
      <c r="C317" t="s">
        <v>1461</v>
      </c>
      <c r="D317" s="30" t="s">
        <v>1398</v>
      </c>
      <c r="E317" s="45" t="s">
        <v>1398</v>
      </c>
    </row>
    <row r="318" spans="1:5" x14ac:dyDescent="0.25">
      <c r="A318" s="30" t="s">
        <v>437</v>
      </c>
      <c r="B318" t="s">
        <v>1199</v>
      </c>
      <c r="C318" t="s">
        <v>1200</v>
      </c>
      <c r="D318" s="30" t="s">
        <v>1738</v>
      </c>
      <c r="E318" s="45" t="s">
        <v>1738</v>
      </c>
    </row>
    <row r="319" spans="1:5" x14ac:dyDescent="0.25">
      <c r="A319" s="30" t="s">
        <v>437</v>
      </c>
      <c r="B319" t="s">
        <v>1201</v>
      </c>
      <c r="C319" t="s">
        <v>1202</v>
      </c>
      <c r="D319" s="30" t="s">
        <v>1739</v>
      </c>
      <c r="E319" s="45" t="s">
        <v>1739</v>
      </c>
    </row>
    <row r="320" spans="1:5" x14ac:dyDescent="0.25">
      <c r="A320" s="30" t="s">
        <v>437</v>
      </c>
      <c r="B320" t="s">
        <v>1203</v>
      </c>
      <c r="C320" t="s">
        <v>1204</v>
      </c>
      <c r="D320" s="30" t="s">
        <v>1890</v>
      </c>
      <c r="E320" s="45" t="s">
        <v>1890</v>
      </c>
    </row>
    <row r="321" spans="1:5" x14ac:dyDescent="0.25">
      <c r="A321" s="30" t="s">
        <v>437</v>
      </c>
      <c r="B321" t="s">
        <v>1205</v>
      </c>
      <c r="C321" t="s">
        <v>1206</v>
      </c>
      <c r="D321" s="30" t="s">
        <v>1891</v>
      </c>
      <c r="E321" s="45" t="s">
        <v>1891</v>
      </c>
    </row>
    <row r="322" spans="1:5" x14ac:dyDescent="0.25">
      <c r="A322" s="30" t="s">
        <v>437</v>
      </c>
      <c r="B322" t="s">
        <v>1207</v>
      </c>
      <c r="C322" t="s">
        <v>1208</v>
      </c>
      <c r="D322" s="30" t="s">
        <v>772</v>
      </c>
      <c r="E322" s="45" t="s">
        <v>772</v>
      </c>
    </row>
    <row r="323" spans="1:5" x14ac:dyDescent="0.25">
      <c r="A323" s="30" t="s">
        <v>437</v>
      </c>
      <c r="B323" t="s">
        <v>1209</v>
      </c>
      <c r="C323" t="s">
        <v>1210</v>
      </c>
      <c r="D323" s="30" t="s">
        <v>1740</v>
      </c>
      <c r="E323" s="45" t="s">
        <v>1740</v>
      </c>
    </row>
    <row r="324" spans="1:5" x14ac:dyDescent="0.25">
      <c r="A324" s="30" t="s">
        <v>437</v>
      </c>
      <c r="B324" t="s">
        <v>1212</v>
      </c>
      <c r="C324" t="s">
        <v>1213</v>
      </c>
      <c r="D324" s="30" t="s">
        <v>1399</v>
      </c>
      <c r="E324" s="45" t="s">
        <v>1399</v>
      </c>
    </row>
    <row r="325" spans="1:5" x14ac:dyDescent="0.25">
      <c r="B325" t="s">
        <v>610</v>
      </c>
      <c r="C325" t="s">
        <v>610</v>
      </c>
      <c r="D325" s="30" t="s">
        <v>611</v>
      </c>
      <c r="E325" s="45" t="s">
        <v>611</v>
      </c>
    </row>
    <row r="326" spans="1:5" x14ac:dyDescent="0.25">
      <c r="A326" s="30" t="s">
        <v>437</v>
      </c>
      <c r="B326" t="s">
        <v>1214</v>
      </c>
      <c r="C326" t="s">
        <v>1215</v>
      </c>
      <c r="D326" s="30" t="s">
        <v>1430</v>
      </c>
      <c r="E326" s="45" t="s">
        <v>1430</v>
      </c>
    </row>
    <row r="327" spans="1:5" x14ac:dyDescent="0.25">
      <c r="A327" s="30" t="s">
        <v>437</v>
      </c>
      <c r="B327" t="s">
        <v>1216</v>
      </c>
      <c r="C327" t="s">
        <v>1217</v>
      </c>
      <c r="D327" s="30" t="s">
        <v>1431</v>
      </c>
      <c r="E327" s="45" t="s">
        <v>1431</v>
      </c>
    </row>
    <row r="328" spans="1:5" x14ac:dyDescent="0.25">
      <c r="A328" s="30" t="s">
        <v>437</v>
      </c>
      <c r="B328" t="s">
        <v>1741</v>
      </c>
      <c r="C328" t="s">
        <v>1742</v>
      </c>
      <c r="D328" s="30" t="s">
        <v>1441</v>
      </c>
      <c r="E328" s="45" t="s">
        <v>1441</v>
      </c>
    </row>
    <row r="329" spans="1:5" x14ac:dyDescent="0.25">
      <c r="A329" s="30" t="s">
        <v>437</v>
      </c>
      <c r="B329" t="s">
        <v>1218</v>
      </c>
      <c r="C329" t="s">
        <v>1219</v>
      </c>
      <c r="D329" s="30" t="s">
        <v>1435</v>
      </c>
      <c r="E329" s="45" t="s">
        <v>1435</v>
      </c>
    </row>
    <row r="330" spans="1:5" x14ac:dyDescent="0.25">
      <c r="A330" s="30" t="s">
        <v>437</v>
      </c>
      <c r="B330" t="s">
        <v>1220</v>
      </c>
      <c r="C330" t="s">
        <v>1221</v>
      </c>
      <c r="D330" s="30" t="s">
        <v>1436</v>
      </c>
      <c r="E330" s="45" t="s">
        <v>1436</v>
      </c>
    </row>
    <row r="331" spans="1:5" x14ac:dyDescent="0.25">
      <c r="A331" s="30" t="s">
        <v>437</v>
      </c>
      <c r="B331" t="s">
        <v>1892</v>
      </c>
      <c r="C331" t="s">
        <v>1893</v>
      </c>
      <c r="D331" s="30" t="s">
        <v>1894</v>
      </c>
      <c r="E331" s="45" t="s">
        <v>1894</v>
      </c>
    </row>
    <row r="332" spans="1:5" x14ac:dyDescent="0.25">
      <c r="A332" s="30" t="s">
        <v>437</v>
      </c>
      <c r="B332" t="s">
        <v>1462</v>
      </c>
      <c r="C332" t="s">
        <v>1463</v>
      </c>
      <c r="D332" s="30" t="s">
        <v>1439</v>
      </c>
      <c r="E332" s="45" t="s">
        <v>1439</v>
      </c>
    </row>
    <row r="333" spans="1:5" x14ac:dyDescent="0.25">
      <c r="A333" s="30" t="s">
        <v>437</v>
      </c>
      <c r="B333" t="s">
        <v>1895</v>
      </c>
      <c r="C333" t="s">
        <v>1896</v>
      </c>
      <c r="D333" s="30" t="s">
        <v>1440</v>
      </c>
      <c r="E333" s="45" t="s">
        <v>1440</v>
      </c>
    </row>
    <row r="334" spans="1:5" x14ac:dyDescent="0.25">
      <c r="A334" s="30" t="s">
        <v>437</v>
      </c>
      <c r="B334" t="s">
        <v>1222</v>
      </c>
      <c r="C334" t="s">
        <v>1223</v>
      </c>
      <c r="D334" s="30" t="s">
        <v>1434</v>
      </c>
      <c r="E334" s="45" t="s">
        <v>1434</v>
      </c>
    </row>
    <row r="335" spans="1:5" x14ac:dyDescent="0.25">
      <c r="A335" s="30" t="s">
        <v>437</v>
      </c>
      <c r="B335" t="s">
        <v>1224</v>
      </c>
      <c r="C335" t="s">
        <v>1225</v>
      </c>
      <c r="D335" s="30" t="s">
        <v>1442</v>
      </c>
      <c r="E335" s="45" t="s">
        <v>1442</v>
      </c>
    </row>
    <row r="336" spans="1:5" x14ac:dyDescent="0.25">
      <c r="A336" s="30" t="s">
        <v>437</v>
      </c>
      <c r="B336" t="s">
        <v>1226</v>
      </c>
      <c r="C336" t="s">
        <v>1227</v>
      </c>
      <c r="D336" s="30" t="s">
        <v>1443</v>
      </c>
      <c r="E336" s="45" t="s">
        <v>1443</v>
      </c>
    </row>
    <row r="337" spans="1:5" x14ac:dyDescent="0.25">
      <c r="A337" s="30" t="s">
        <v>1670</v>
      </c>
      <c r="B337" t="s">
        <v>1743</v>
      </c>
      <c r="C337" t="s">
        <v>1744</v>
      </c>
      <c r="D337" s="30" t="s">
        <v>1745</v>
      </c>
      <c r="E337" s="45" t="s">
        <v>1745</v>
      </c>
    </row>
    <row r="338" spans="1:5" x14ac:dyDescent="0.25">
      <c r="A338" s="30" t="s">
        <v>437</v>
      </c>
      <c r="B338" t="s">
        <v>1746</v>
      </c>
      <c r="C338" t="s">
        <v>1747</v>
      </c>
      <c r="D338" s="30" t="s">
        <v>1748</v>
      </c>
      <c r="E338" s="45" t="s">
        <v>1748</v>
      </c>
    </row>
    <row r="339" spans="1:5" x14ac:dyDescent="0.25">
      <c r="A339" s="30" t="s">
        <v>437</v>
      </c>
      <c r="B339" t="s">
        <v>1749</v>
      </c>
      <c r="C339" t="s">
        <v>1750</v>
      </c>
      <c r="D339" s="30" t="s">
        <v>1751</v>
      </c>
      <c r="E339" s="45" t="s">
        <v>1751</v>
      </c>
    </row>
    <row r="340" spans="1:5" x14ac:dyDescent="0.25">
      <c r="A340" s="30" t="s">
        <v>437</v>
      </c>
      <c r="B340" t="s">
        <v>1752</v>
      </c>
      <c r="C340" t="s">
        <v>1753</v>
      </c>
      <c r="D340" s="30" t="s">
        <v>1754</v>
      </c>
      <c r="E340" s="45" t="s">
        <v>1754</v>
      </c>
    </row>
    <row r="341" spans="1:5" x14ac:dyDescent="0.25">
      <c r="A341" s="30" t="s">
        <v>437</v>
      </c>
      <c r="B341" t="s">
        <v>1755</v>
      </c>
      <c r="C341" t="s">
        <v>1756</v>
      </c>
      <c r="D341" s="30" t="s">
        <v>1757</v>
      </c>
      <c r="E341" s="45" t="s">
        <v>1757</v>
      </c>
    </row>
    <row r="342" spans="1:5" x14ac:dyDescent="0.25">
      <c r="A342" s="30" t="s">
        <v>437</v>
      </c>
      <c r="B342" t="s">
        <v>1758</v>
      </c>
      <c r="C342" t="s">
        <v>1759</v>
      </c>
      <c r="D342" s="30" t="s">
        <v>1760</v>
      </c>
      <c r="E342" s="45" t="s">
        <v>1760</v>
      </c>
    </row>
    <row r="343" spans="1:5" x14ac:dyDescent="0.25">
      <c r="A343" s="30" t="s">
        <v>437</v>
      </c>
      <c r="B343" t="s">
        <v>1761</v>
      </c>
      <c r="C343" t="s">
        <v>1762</v>
      </c>
      <c r="D343" s="30" t="s">
        <v>1763</v>
      </c>
      <c r="E343" s="45" t="s">
        <v>1763</v>
      </c>
    </row>
    <row r="344" spans="1:5" x14ac:dyDescent="0.25">
      <c r="A344" s="30" t="s">
        <v>437</v>
      </c>
      <c r="B344" t="s">
        <v>1764</v>
      </c>
      <c r="C344" t="s">
        <v>1765</v>
      </c>
      <c r="D344" s="30" t="s">
        <v>1766</v>
      </c>
      <c r="E344" s="45" t="s">
        <v>1766</v>
      </c>
    </row>
    <row r="345" spans="1:5" x14ac:dyDescent="0.25">
      <c r="A345" s="30" t="s">
        <v>437</v>
      </c>
      <c r="B345" t="s">
        <v>1767</v>
      </c>
      <c r="C345" t="s">
        <v>1768</v>
      </c>
      <c r="D345" s="30" t="s">
        <v>1769</v>
      </c>
      <c r="E345" s="45" t="s">
        <v>1769</v>
      </c>
    </row>
    <row r="346" spans="1:5" x14ac:dyDescent="0.25">
      <c r="A346" s="30" t="s">
        <v>437</v>
      </c>
      <c r="B346" t="s">
        <v>1770</v>
      </c>
      <c r="C346" t="s">
        <v>1771</v>
      </c>
      <c r="D346" s="30" t="s">
        <v>1772</v>
      </c>
      <c r="E346" s="45" t="s">
        <v>1772</v>
      </c>
    </row>
    <row r="347" spans="1:5" x14ac:dyDescent="0.25">
      <c r="A347" s="30" t="s">
        <v>437</v>
      </c>
      <c r="B347" t="s">
        <v>1773</v>
      </c>
      <c r="C347" t="s">
        <v>1774</v>
      </c>
      <c r="D347" s="30" t="s">
        <v>1775</v>
      </c>
      <c r="E347" s="45" t="s">
        <v>1775</v>
      </c>
    </row>
    <row r="348" spans="1:5" x14ac:dyDescent="0.25">
      <c r="A348" s="30" t="s">
        <v>437</v>
      </c>
      <c r="B348" t="s">
        <v>1776</v>
      </c>
      <c r="C348" t="s">
        <v>1777</v>
      </c>
      <c r="D348" s="30" t="s">
        <v>1778</v>
      </c>
      <c r="E348" s="45" t="s">
        <v>1778</v>
      </c>
    </row>
    <row r="349" spans="1:5" x14ac:dyDescent="0.25">
      <c r="A349" s="30" t="s">
        <v>437</v>
      </c>
      <c r="B349" t="s">
        <v>1779</v>
      </c>
      <c r="C349" t="s">
        <v>1780</v>
      </c>
      <c r="D349" s="30" t="s">
        <v>1781</v>
      </c>
      <c r="E349" s="45" t="s">
        <v>1781</v>
      </c>
    </row>
    <row r="350" spans="1:5" x14ac:dyDescent="0.25">
      <c r="A350" s="30" t="s">
        <v>437</v>
      </c>
      <c r="B350" t="s">
        <v>1464</v>
      </c>
      <c r="C350" t="s">
        <v>1465</v>
      </c>
      <c r="D350" s="30" t="s">
        <v>1466</v>
      </c>
      <c r="E350" s="45" t="s">
        <v>1466</v>
      </c>
    </row>
    <row r="351" spans="1:5" x14ac:dyDescent="0.25">
      <c r="A351" s="30" t="s">
        <v>437</v>
      </c>
      <c r="B351" t="s">
        <v>1782</v>
      </c>
      <c r="C351" t="s">
        <v>1783</v>
      </c>
      <c r="D351" s="30" t="s">
        <v>1393</v>
      </c>
      <c r="E351" s="45" t="s">
        <v>1393</v>
      </c>
    </row>
    <row r="352" spans="1:5" x14ac:dyDescent="0.25">
      <c r="A352" s="30" t="s">
        <v>437</v>
      </c>
      <c r="B352" t="s">
        <v>1228</v>
      </c>
      <c r="C352" t="s">
        <v>1229</v>
      </c>
      <c r="D352" s="30" t="s">
        <v>1784</v>
      </c>
      <c r="E352" s="45" t="s">
        <v>1784</v>
      </c>
    </row>
    <row r="353" spans="1:5" x14ac:dyDescent="0.25">
      <c r="A353" s="30" t="s">
        <v>437</v>
      </c>
      <c r="B353" t="s">
        <v>1230</v>
      </c>
      <c r="C353" t="s">
        <v>1231</v>
      </c>
      <c r="D353" s="30" t="s">
        <v>1785</v>
      </c>
      <c r="E353" s="45" t="s">
        <v>1785</v>
      </c>
    </row>
    <row r="354" spans="1:5" x14ac:dyDescent="0.25">
      <c r="A354" s="30" t="s">
        <v>437</v>
      </c>
      <c r="B354" t="s">
        <v>1467</v>
      </c>
      <c r="C354" t="s">
        <v>1468</v>
      </c>
      <c r="D354" s="30" t="s">
        <v>1786</v>
      </c>
      <c r="E354" s="45" t="s">
        <v>1786</v>
      </c>
    </row>
    <row r="355" spans="1:5" x14ac:dyDescent="0.25">
      <c r="A355" s="30" t="s">
        <v>437</v>
      </c>
      <c r="B355" t="s">
        <v>1232</v>
      </c>
      <c r="C355" t="s">
        <v>1233</v>
      </c>
      <c r="D355" s="30" t="s">
        <v>1234</v>
      </c>
      <c r="E355" s="45" t="s">
        <v>1234</v>
      </c>
    </row>
    <row r="356" spans="1:5" x14ac:dyDescent="0.25">
      <c r="A356" s="30" t="s">
        <v>437</v>
      </c>
      <c r="B356" t="s">
        <v>1235</v>
      </c>
      <c r="C356" t="s">
        <v>1236</v>
      </c>
      <c r="D356" s="30" t="s">
        <v>1237</v>
      </c>
      <c r="E356" s="45" t="s">
        <v>1237</v>
      </c>
    </row>
    <row r="357" spans="1:5" x14ac:dyDescent="0.25">
      <c r="A357" s="30" t="s">
        <v>437</v>
      </c>
      <c r="B357" t="s">
        <v>1238</v>
      </c>
      <c r="C357" t="s">
        <v>1239</v>
      </c>
      <c r="D357" s="30" t="s">
        <v>1897</v>
      </c>
      <c r="E357" s="45" t="s">
        <v>1897</v>
      </c>
    </row>
    <row r="358" spans="1:5" x14ac:dyDescent="0.25">
      <c r="A358" s="30" t="s">
        <v>437</v>
      </c>
      <c r="B358" t="s">
        <v>1240</v>
      </c>
      <c r="C358" t="s">
        <v>1241</v>
      </c>
      <c r="D358" s="30" t="s">
        <v>1898</v>
      </c>
      <c r="E358" s="45" t="s">
        <v>1898</v>
      </c>
    </row>
    <row r="359" spans="1:5" x14ac:dyDescent="0.25">
      <c r="A359" s="30" t="s">
        <v>437</v>
      </c>
      <c r="B359" t="s">
        <v>1242</v>
      </c>
      <c r="C359" t="s">
        <v>1243</v>
      </c>
      <c r="D359" s="30" t="s">
        <v>1244</v>
      </c>
      <c r="E359" s="45" t="s">
        <v>1244</v>
      </c>
    </row>
    <row r="360" spans="1:5" x14ac:dyDescent="0.25">
      <c r="A360" s="30" t="s">
        <v>437</v>
      </c>
      <c r="B360" t="s">
        <v>1245</v>
      </c>
      <c r="C360" t="s">
        <v>1246</v>
      </c>
      <c r="D360" s="30" t="s">
        <v>1787</v>
      </c>
      <c r="E360" s="45" t="s">
        <v>1787</v>
      </c>
    </row>
    <row r="361" spans="1:5" x14ac:dyDescent="0.25">
      <c r="A361" s="30" t="s">
        <v>437</v>
      </c>
      <c r="B361" t="s">
        <v>1248</v>
      </c>
      <c r="C361" t="s">
        <v>1249</v>
      </c>
      <c r="D361" s="30" t="s">
        <v>1400</v>
      </c>
      <c r="E361" s="45" t="s">
        <v>1400</v>
      </c>
    </row>
    <row r="362" spans="1:5" x14ac:dyDescent="0.25">
      <c r="A362" s="30" t="s">
        <v>437</v>
      </c>
      <c r="B362" t="s">
        <v>432</v>
      </c>
      <c r="C362" t="s">
        <v>477</v>
      </c>
      <c r="D362" s="30" t="s">
        <v>1788</v>
      </c>
      <c r="E362" s="45" t="s">
        <v>1788</v>
      </c>
    </row>
    <row r="363" spans="1:5" x14ac:dyDescent="0.25">
      <c r="A363" s="30" t="s">
        <v>437</v>
      </c>
      <c r="B363" t="s">
        <v>433</v>
      </c>
      <c r="C363" t="s">
        <v>478</v>
      </c>
      <c r="D363" s="30" t="s">
        <v>1789</v>
      </c>
      <c r="E363" s="45" t="s">
        <v>1789</v>
      </c>
    </row>
    <row r="364" spans="1:5" x14ac:dyDescent="0.25">
      <c r="A364" s="30" t="s">
        <v>437</v>
      </c>
      <c r="B364" t="s">
        <v>434</v>
      </c>
      <c r="C364" t="s">
        <v>479</v>
      </c>
      <c r="D364" s="30" t="s">
        <v>1790</v>
      </c>
      <c r="E364" s="45" t="s">
        <v>1790</v>
      </c>
    </row>
    <row r="365" spans="1:5" x14ac:dyDescent="0.25">
      <c r="A365" s="30" t="s">
        <v>437</v>
      </c>
      <c r="B365" t="s">
        <v>435</v>
      </c>
      <c r="C365" t="s">
        <v>480</v>
      </c>
      <c r="D365" s="30" t="s">
        <v>1791</v>
      </c>
      <c r="E365" s="45" t="s">
        <v>1791</v>
      </c>
    </row>
    <row r="366" spans="1:5" x14ac:dyDescent="0.25">
      <c r="A366" s="30" t="s">
        <v>437</v>
      </c>
      <c r="B366" t="s">
        <v>436</v>
      </c>
      <c r="C366" t="s">
        <v>481</v>
      </c>
      <c r="D366" s="30" t="s">
        <v>1792</v>
      </c>
      <c r="E366" s="45" t="s">
        <v>1792</v>
      </c>
    </row>
    <row r="367" spans="1:5" x14ac:dyDescent="0.25">
      <c r="A367" s="30" t="s">
        <v>437</v>
      </c>
      <c r="B367" t="s">
        <v>933</v>
      </c>
      <c r="C367" t="s">
        <v>934</v>
      </c>
      <c r="D367" s="30" t="s">
        <v>935</v>
      </c>
      <c r="E367" s="45" t="s">
        <v>935</v>
      </c>
    </row>
    <row r="368" spans="1:5" x14ac:dyDescent="0.25">
      <c r="A368" s="30" t="s">
        <v>437</v>
      </c>
      <c r="B368" t="s">
        <v>612</v>
      </c>
      <c r="C368" t="s">
        <v>613</v>
      </c>
      <c r="D368" s="30" t="s">
        <v>1793</v>
      </c>
      <c r="E368" s="45" t="s">
        <v>1793</v>
      </c>
    </row>
    <row r="369" spans="1:5" x14ac:dyDescent="0.25">
      <c r="A369" s="30" t="s">
        <v>437</v>
      </c>
      <c r="B369" t="s">
        <v>1794</v>
      </c>
      <c r="C369" t="s">
        <v>1795</v>
      </c>
      <c r="D369" s="30" t="s">
        <v>1401</v>
      </c>
      <c r="E369" s="45" t="s">
        <v>1401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96"/>
  <sheetViews>
    <sheetView topLeftCell="K1" workbookViewId="0">
      <selection activeCell="R10" sqref="R10"/>
    </sheetView>
  </sheetViews>
  <sheetFormatPr defaultRowHeight="15" x14ac:dyDescent="0.25"/>
  <cols>
    <col min="1" max="1" width="10.42578125" customWidth="1"/>
    <col min="2" max="2" width="74.28515625" customWidth="1"/>
    <col min="7" max="7" width="10.7109375" bestFit="1" customWidth="1"/>
    <col min="11" max="11" width="10.140625" customWidth="1"/>
    <col min="12" max="12" width="10.140625" style="25" customWidth="1"/>
    <col min="14" max="14" width="12.85546875" customWidth="1"/>
    <col min="15" max="15" width="10.7109375" style="11" bestFit="1" customWidth="1"/>
    <col min="16" max="16" width="13.5703125" customWidth="1"/>
    <col min="17" max="17" width="12" customWidth="1"/>
    <col min="18" max="18" width="15.85546875" customWidth="1"/>
    <col min="21" max="21" width="20.5703125" customWidth="1"/>
    <col min="23" max="23" width="16.140625" customWidth="1"/>
    <col min="25" max="25" width="15.85546875" bestFit="1" customWidth="1"/>
  </cols>
  <sheetData>
    <row r="1" spans="1:26" ht="17.25" thickBot="1" x14ac:dyDescent="0.35">
      <c r="A1" s="36" t="s">
        <v>512</v>
      </c>
      <c r="B1" s="36" t="s">
        <v>491</v>
      </c>
      <c r="E1" t="s">
        <v>513</v>
      </c>
      <c r="F1" t="s">
        <v>952</v>
      </c>
      <c r="G1" t="s">
        <v>951</v>
      </c>
      <c r="H1" t="s">
        <v>953</v>
      </c>
      <c r="K1" t="s">
        <v>513</v>
      </c>
      <c r="L1" s="25" t="s">
        <v>1372</v>
      </c>
      <c r="M1" t="s">
        <v>1366</v>
      </c>
      <c r="N1" t="s">
        <v>548</v>
      </c>
      <c r="O1" s="11" t="s">
        <v>1469</v>
      </c>
      <c r="P1" s="11" t="s">
        <v>1470</v>
      </c>
      <c r="Q1" t="s">
        <v>155</v>
      </c>
      <c r="R1" t="s">
        <v>1004</v>
      </c>
      <c r="S1" t="s">
        <v>952</v>
      </c>
      <c r="T1" t="s">
        <v>1480</v>
      </c>
      <c r="U1" t="s">
        <v>1580</v>
      </c>
      <c r="W1" t="s">
        <v>1582</v>
      </c>
      <c r="X1" t="s">
        <v>512</v>
      </c>
      <c r="Z1" t="s">
        <v>2010</v>
      </c>
    </row>
    <row r="2" spans="1:26" ht="33.75" thickBot="1" x14ac:dyDescent="0.3">
      <c r="A2" s="37">
        <v>0</v>
      </c>
      <c r="B2" s="37" t="s">
        <v>492</v>
      </c>
      <c r="E2" s="25" t="s">
        <v>682</v>
      </c>
      <c r="F2" t="s">
        <v>48</v>
      </c>
      <c r="G2" s="26">
        <v>43851</v>
      </c>
      <c r="H2">
        <v>1</v>
      </c>
      <c r="K2" s="25" t="s">
        <v>48</v>
      </c>
      <c r="L2" s="25" t="s">
        <v>682</v>
      </c>
      <c r="N2" s="103">
        <v>25364000</v>
      </c>
      <c r="O2" s="11">
        <v>1</v>
      </c>
      <c r="P2" s="26">
        <v>43851</v>
      </c>
      <c r="Q2" s="26">
        <v>43855</v>
      </c>
      <c r="R2" s="26">
        <f ca="1">IF(OR(StartMethod=1,tblPopulation[[#This Row],[Country]]="Tests"),tblPopulation[[#This Row],[LogistStartSave]],INT(NOW())-LastNDays)</f>
        <v>43855</v>
      </c>
      <c r="S2" t="s">
        <v>48</v>
      </c>
      <c r="T2">
        <v>0</v>
      </c>
      <c r="U2" s="26">
        <v>43855</v>
      </c>
      <c r="W2" t="s">
        <v>1581</v>
      </c>
      <c r="X2">
        <v>1</v>
      </c>
      <c r="Z2">
        <v>1</v>
      </c>
    </row>
    <row r="3" spans="1:26" ht="17.25" thickBot="1" x14ac:dyDescent="0.3">
      <c r="A3" s="37">
        <v>1</v>
      </c>
      <c r="B3" s="37" t="s">
        <v>493</v>
      </c>
      <c r="E3" t="s">
        <v>153</v>
      </c>
      <c r="G3" s="26">
        <v>43851</v>
      </c>
      <c r="H3">
        <v>-1</v>
      </c>
      <c r="K3" s="25" t="s">
        <v>48</v>
      </c>
      <c r="L3" s="25" t="s">
        <v>153</v>
      </c>
      <c r="M3" t="s">
        <v>153</v>
      </c>
      <c r="N3" s="103">
        <v>8080000</v>
      </c>
      <c r="O3" s="11">
        <v>0</v>
      </c>
      <c r="P3" s="26">
        <v>43851</v>
      </c>
      <c r="Q3" s="55">
        <v>43855</v>
      </c>
      <c r="R3" s="26">
        <f ca="1">IF(OR(StartMethod=1,tblPopulation[[#This Row],[Country]]="Tests"),tblPopulation[[#This Row],[LogistStartSave]],INT(NOW())-LastNDays)</f>
        <v>43855</v>
      </c>
      <c r="S3" t="s">
        <v>47</v>
      </c>
      <c r="T3">
        <v>1</v>
      </c>
      <c r="U3" s="26">
        <v>43855</v>
      </c>
      <c r="W3" t="s">
        <v>1583</v>
      </c>
      <c r="X3">
        <v>22</v>
      </c>
      <c r="Y3" s="140">
        <f ca="1">INT(NOW())-LastNDays+1</f>
        <v>43902</v>
      </c>
      <c r="Z3">
        <v>2</v>
      </c>
    </row>
    <row r="4" spans="1:26" ht="17.25" thickBot="1" x14ac:dyDescent="0.3">
      <c r="A4" s="37">
        <v>2</v>
      </c>
      <c r="B4" s="37" t="s">
        <v>494</v>
      </c>
      <c r="E4" t="s">
        <v>58</v>
      </c>
      <c r="F4" t="s">
        <v>58</v>
      </c>
      <c r="G4" s="26">
        <v>43851</v>
      </c>
      <c r="H4" s="25">
        <v>0</v>
      </c>
      <c r="K4" s="25" t="s">
        <v>58</v>
      </c>
      <c r="L4" s="25" t="s">
        <v>58</v>
      </c>
      <c r="N4" s="103">
        <v>60485000</v>
      </c>
      <c r="O4" s="11">
        <v>0</v>
      </c>
      <c r="P4" s="26">
        <v>43851</v>
      </c>
      <c r="Q4" s="26">
        <v>43860</v>
      </c>
      <c r="R4" s="26">
        <f ca="1">IF(OR(StartMethod=1,tblPopulation[[#This Row],[Country]]="Tests"),tblPopulation[[#This Row],[LogistStartSave]],INT(NOW())-LastNDays)</f>
        <v>43860</v>
      </c>
      <c r="S4" t="s">
        <v>58</v>
      </c>
      <c r="T4" s="25">
        <v>2</v>
      </c>
      <c r="U4" s="26">
        <v>43860</v>
      </c>
      <c r="W4" t="s">
        <v>1647</v>
      </c>
      <c r="X4">
        <v>0</v>
      </c>
      <c r="Z4" s="25">
        <v>3</v>
      </c>
    </row>
    <row r="5" spans="1:26" ht="17.25" thickBot="1" x14ac:dyDescent="0.3">
      <c r="A5" s="37">
        <v>3</v>
      </c>
      <c r="B5" s="37" t="s">
        <v>495</v>
      </c>
      <c r="E5" t="s">
        <v>37</v>
      </c>
      <c r="F5" t="s">
        <v>37</v>
      </c>
      <c r="G5" s="26">
        <v>43871</v>
      </c>
      <c r="H5" s="25">
        <v>1</v>
      </c>
      <c r="K5" s="25" t="s">
        <v>209</v>
      </c>
      <c r="L5" s="25" t="s">
        <v>37</v>
      </c>
      <c r="N5" s="103">
        <v>329227746</v>
      </c>
      <c r="O5" s="11">
        <v>0</v>
      </c>
      <c r="P5" s="26">
        <v>43851</v>
      </c>
      <c r="Q5" s="26">
        <v>43852</v>
      </c>
      <c r="R5" s="26">
        <f ca="1">IF(OR(StartMethod=1,tblPopulation[[#This Row],[Country]]="Tests"),tblPopulation[[#This Row],[LogistStartSave]],INT(NOW())-LastNDays)</f>
        <v>43852</v>
      </c>
      <c r="S5" t="s">
        <v>37</v>
      </c>
      <c r="T5" s="25">
        <v>3</v>
      </c>
      <c r="U5" s="26">
        <v>43852</v>
      </c>
      <c r="W5" t="s">
        <v>1828</v>
      </c>
      <c r="Z5" s="25">
        <v>4</v>
      </c>
    </row>
    <row r="6" spans="1:26" ht="17.25" thickBot="1" x14ac:dyDescent="0.3">
      <c r="A6" s="37">
        <v>4</v>
      </c>
      <c r="B6" s="37" t="s">
        <v>496</v>
      </c>
      <c r="E6" t="s">
        <v>176</v>
      </c>
      <c r="F6" t="s">
        <v>176</v>
      </c>
      <c r="G6" s="26">
        <v>43851</v>
      </c>
      <c r="H6" s="25">
        <v>1</v>
      </c>
      <c r="K6" s="25" t="s">
        <v>176</v>
      </c>
      <c r="L6" s="25" t="s">
        <v>176</v>
      </c>
      <c r="N6" s="103">
        <v>1439323776</v>
      </c>
      <c r="O6" s="11">
        <v>1</v>
      </c>
      <c r="P6" s="26">
        <v>43851</v>
      </c>
      <c r="Q6" s="26">
        <v>43852</v>
      </c>
      <c r="R6" s="26">
        <f ca="1">IF(OR(StartMethod=1,tblPopulation[[#This Row],[Country]]="Tests"),tblPopulation[[#This Row],[LogistStartSave]],INT(NOW())-LastNDays)</f>
        <v>43852</v>
      </c>
      <c r="S6" t="s">
        <v>176</v>
      </c>
      <c r="T6" s="25">
        <v>4</v>
      </c>
      <c r="U6" s="26">
        <v>43852</v>
      </c>
      <c r="W6" t="s">
        <v>2009</v>
      </c>
      <c r="X6">
        <v>80</v>
      </c>
      <c r="Z6" s="25">
        <v>5</v>
      </c>
    </row>
    <row r="7" spans="1:26" ht="17.25" thickBot="1" x14ac:dyDescent="0.3">
      <c r="A7" s="37">
        <v>5</v>
      </c>
      <c r="B7" s="37" t="s">
        <v>497</v>
      </c>
      <c r="E7" s="25" t="s">
        <v>958</v>
      </c>
      <c r="F7" t="s">
        <v>194</v>
      </c>
      <c r="G7" s="26">
        <v>43851</v>
      </c>
      <c r="H7" s="25">
        <v>0</v>
      </c>
      <c r="K7" s="25" t="s">
        <v>194</v>
      </c>
      <c r="L7" s="25" t="s">
        <v>958</v>
      </c>
      <c r="N7" s="103">
        <v>51400000</v>
      </c>
      <c r="O7" s="11">
        <v>0</v>
      </c>
      <c r="P7" s="26">
        <v>43851</v>
      </c>
      <c r="Q7" s="26">
        <v>43852</v>
      </c>
      <c r="R7" s="26">
        <f ca="1">IF(OR(StartMethod=1,tblPopulation[[#This Row],[Country]]="Tests"),tblPopulation[[#This Row],[LogistStartSave]],INT(NOW())-LastNDays)</f>
        <v>43880</v>
      </c>
      <c r="S7" t="s">
        <v>194</v>
      </c>
      <c r="T7" s="25">
        <v>5</v>
      </c>
      <c r="U7" s="26">
        <v>43880</v>
      </c>
      <c r="Z7" s="25">
        <v>6</v>
      </c>
    </row>
    <row r="8" spans="1:26" ht="17.25" thickBot="1" x14ac:dyDescent="0.3">
      <c r="A8" s="37">
        <v>6</v>
      </c>
      <c r="B8" s="37" t="s">
        <v>498</v>
      </c>
      <c r="E8" s="25" t="s">
        <v>937</v>
      </c>
      <c r="F8" t="s">
        <v>725</v>
      </c>
      <c r="G8" s="26">
        <v>43860</v>
      </c>
      <c r="H8" s="25">
        <v>1</v>
      </c>
      <c r="K8" s="25" t="s">
        <v>725</v>
      </c>
      <c r="L8" s="25" t="s">
        <v>937</v>
      </c>
      <c r="N8" s="103">
        <v>66440000</v>
      </c>
      <c r="O8" s="11">
        <v>1</v>
      </c>
      <c r="P8" s="26">
        <v>43860</v>
      </c>
      <c r="Q8" s="26">
        <v>43860</v>
      </c>
      <c r="R8" s="26">
        <f ca="1">IF(OR(StartMethod=1,tblPopulation[[#This Row],[Country]]="Tests"),tblPopulation[[#This Row],[LogistStartSave]],INT(NOW())-LastNDays)</f>
        <v>43860</v>
      </c>
      <c r="S8" t="s">
        <v>725</v>
      </c>
      <c r="T8" s="25">
        <v>6</v>
      </c>
      <c r="U8" s="26">
        <v>43860</v>
      </c>
      <c r="Z8" s="25">
        <v>7</v>
      </c>
    </row>
    <row r="9" spans="1:26" ht="17.25" thickBot="1" x14ac:dyDescent="0.3">
      <c r="A9" s="37">
        <v>7</v>
      </c>
      <c r="B9" s="37" t="s">
        <v>499</v>
      </c>
      <c r="E9" s="25" t="s">
        <v>40</v>
      </c>
      <c r="F9" s="25" t="s">
        <v>40</v>
      </c>
      <c r="G9" s="26">
        <v>43852</v>
      </c>
      <c r="H9" s="25">
        <v>0</v>
      </c>
      <c r="K9" s="25" t="s">
        <v>40</v>
      </c>
      <c r="L9" s="25" t="s">
        <v>40</v>
      </c>
      <c r="N9" s="103">
        <v>5850000</v>
      </c>
      <c r="O9" s="11">
        <v>0</v>
      </c>
      <c r="P9" s="26">
        <v>43852</v>
      </c>
      <c r="Q9" s="26">
        <v>43853</v>
      </c>
      <c r="R9" s="26">
        <v>43871</v>
      </c>
      <c r="S9" t="s">
        <v>40</v>
      </c>
      <c r="T9" s="25">
        <v>7</v>
      </c>
      <c r="U9" s="26">
        <v>43853</v>
      </c>
      <c r="Z9" s="25">
        <v>8</v>
      </c>
    </row>
    <row r="10" spans="1:26" ht="17.25" thickBot="1" x14ac:dyDescent="0.3">
      <c r="A10" s="37">
        <v>8</v>
      </c>
      <c r="B10" s="37" t="s">
        <v>500</v>
      </c>
      <c r="E10" t="s">
        <v>681</v>
      </c>
      <c r="G10" s="26">
        <v>43831</v>
      </c>
      <c r="H10" s="25">
        <v>1</v>
      </c>
      <c r="K10" t="s">
        <v>681</v>
      </c>
      <c r="L10" s="25" t="s">
        <v>681</v>
      </c>
      <c r="N10" s="103"/>
      <c r="P10" s="26">
        <v>43831</v>
      </c>
      <c r="Q10" s="26"/>
      <c r="R10" s="26">
        <f ca="1">IF(OR(StartMethod=1,tblPopulation[[#This Row],[Country]]="Tests"),tblPopulation[[#This Row],[LogistStartSave]],INT(NOW())-LastNDays)</f>
        <v>43895</v>
      </c>
      <c r="T10" s="25">
        <v>8</v>
      </c>
      <c r="U10" s="26">
        <v>43895</v>
      </c>
      <c r="Z10" s="25">
        <v>9</v>
      </c>
    </row>
    <row r="11" spans="1:26" ht="17.25" thickBot="1" x14ac:dyDescent="0.3">
      <c r="A11" s="37">
        <v>9</v>
      </c>
      <c r="B11" s="37" t="s">
        <v>501</v>
      </c>
      <c r="K11" t="s">
        <v>1365</v>
      </c>
      <c r="L11" s="25" t="s">
        <v>1365</v>
      </c>
      <c r="N11" s="103"/>
      <c r="O11" s="11">
        <v>1</v>
      </c>
      <c r="P11" s="26">
        <v>43852</v>
      </c>
      <c r="Q11" s="26">
        <v>43852</v>
      </c>
      <c r="R11" s="26">
        <f ca="1">IF(OR(StartMethod=1,tblPopulation[[#This Row],[Country]]="Tests"),tblPopulation[[#This Row],[LogistStartSave]],INT(NOW())-LastNDays)</f>
        <v>43852</v>
      </c>
      <c r="T11" s="25">
        <v>9</v>
      </c>
      <c r="U11" s="26">
        <v>43852</v>
      </c>
      <c r="Z11" s="25">
        <v>10</v>
      </c>
    </row>
    <row r="12" spans="1:26" ht="17.25" thickBot="1" x14ac:dyDescent="0.3">
      <c r="A12" s="37">
        <v>10</v>
      </c>
      <c r="B12" s="37" t="s">
        <v>502</v>
      </c>
      <c r="K12" t="s">
        <v>176</v>
      </c>
      <c r="L12" s="25" t="s">
        <v>176</v>
      </c>
      <c r="M12" t="s">
        <v>16</v>
      </c>
      <c r="N12" s="103">
        <v>58500000</v>
      </c>
      <c r="O12" s="11">
        <v>0</v>
      </c>
      <c r="P12" s="26">
        <v>43852</v>
      </c>
      <c r="Q12" s="26">
        <v>43852</v>
      </c>
      <c r="R12" s="26">
        <f ca="1">IF(OR(StartMethod=1,tblPopulation[[#This Row],[Country]]="Tests"),tblPopulation[[#This Row],[LogistStartSave]],INT(NOW())-LastNDays)</f>
        <v>43852</v>
      </c>
      <c r="T12" s="25">
        <v>10</v>
      </c>
      <c r="U12" s="26">
        <v>43852</v>
      </c>
      <c r="Z12" s="25">
        <v>11</v>
      </c>
    </row>
    <row r="13" spans="1:26" ht="17.25" thickBot="1" x14ac:dyDescent="0.3">
      <c r="A13" s="37">
        <v>11</v>
      </c>
      <c r="B13" s="37" t="s">
        <v>503</v>
      </c>
      <c r="K13" t="s">
        <v>93</v>
      </c>
      <c r="L13" s="25" t="s">
        <v>1959</v>
      </c>
      <c r="N13" s="103">
        <v>5230000</v>
      </c>
      <c r="O13" s="11">
        <v>0</v>
      </c>
      <c r="P13" s="26">
        <v>43852</v>
      </c>
      <c r="Q13" s="26">
        <v>43890</v>
      </c>
      <c r="R13" s="26">
        <f ca="1">IF(OR(StartMethod=1,tblPopulation[[#This Row],[Country]]="Tests"),tblPopulation[[#This Row],[LogistStartSave]],INT(NOW())-LastNDays)</f>
        <v>43890</v>
      </c>
      <c r="S13" s="26"/>
      <c r="T13" s="25">
        <v>11</v>
      </c>
      <c r="U13" s="26">
        <v>43890</v>
      </c>
      <c r="Z13" s="25">
        <v>12</v>
      </c>
    </row>
    <row r="14" spans="1:26" ht="17.25" thickBot="1" x14ac:dyDescent="0.3">
      <c r="A14" s="37">
        <v>13</v>
      </c>
      <c r="B14" s="37" t="s">
        <v>504</v>
      </c>
      <c r="Z14" s="25">
        <v>13</v>
      </c>
    </row>
    <row r="15" spans="1:26" ht="33.75" thickBot="1" x14ac:dyDescent="0.3">
      <c r="A15" s="37">
        <v>14</v>
      </c>
      <c r="B15" s="37" t="s">
        <v>505</v>
      </c>
      <c r="Z15" s="25">
        <v>14</v>
      </c>
    </row>
    <row r="16" spans="1:26" ht="33.75" thickBot="1" x14ac:dyDescent="0.3">
      <c r="A16" s="37">
        <v>15</v>
      </c>
      <c r="B16" s="37" t="s">
        <v>506</v>
      </c>
      <c r="Z16" s="25">
        <v>15</v>
      </c>
    </row>
    <row r="17" spans="1:26" ht="33.75" thickBot="1" x14ac:dyDescent="0.3">
      <c r="A17" s="37">
        <v>16</v>
      </c>
      <c r="B17" s="37" t="s">
        <v>507</v>
      </c>
      <c r="Z17" s="25">
        <v>16</v>
      </c>
    </row>
    <row r="18" spans="1:26" ht="17.25" thickBot="1" x14ac:dyDescent="0.3">
      <c r="A18" s="37">
        <v>17</v>
      </c>
      <c r="B18" s="37" t="s">
        <v>508</v>
      </c>
      <c r="Z18" s="25">
        <v>17</v>
      </c>
    </row>
    <row r="19" spans="1:26" ht="17.25" thickBot="1" x14ac:dyDescent="0.3">
      <c r="A19" s="37">
        <v>18</v>
      </c>
      <c r="B19" s="37" t="s">
        <v>509</v>
      </c>
      <c r="Z19" s="25">
        <v>18</v>
      </c>
    </row>
    <row r="20" spans="1:26" ht="17.25" thickBot="1" x14ac:dyDescent="0.3">
      <c r="A20" s="37">
        <v>19</v>
      </c>
      <c r="B20" s="37" t="s">
        <v>510</v>
      </c>
      <c r="Z20" s="25">
        <v>19</v>
      </c>
    </row>
    <row r="21" spans="1:26" ht="16.5" x14ac:dyDescent="0.25">
      <c r="A21" s="37">
        <v>20</v>
      </c>
      <c r="B21" s="37" t="s">
        <v>511</v>
      </c>
      <c r="Z21" s="25">
        <v>20</v>
      </c>
    </row>
    <row r="22" spans="1:26" x14ac:dyDescent="0.25">
      <c r="Z22" s="25">
        <v>21</v>
      </c>
    </row>
    <row r="23" spans="1:26" x14ac:dyDescent="0.25">
      <c r="Z23" s="25">
        <v>22</v>
      </c>
    </row>
    <row r="24" spans="1:26" x14ac:dyDescent="0.25">
      <c r="Z24" s="25">
        <v>23</v>
      </c>
    </row>
    <row r="25" spans="1:26" x14ac:dyDescent="0.25">
      <c r="Z25" s="25">
        <v>24</v>
      </c>
    </row>
    <row r="26" spans="1:26" x14ac:dyDescent="0.25">
      <c r="Z26" s="25">
        <v>25</v>
      </c>
    </row>
    <row r="27" spans="1:26" x14ac:dyDescent="0.25">
      <c r="Z27" s="25">
        <v>26</v>
      </c>
    </row>
    <row r="28" spans="1:26" x14ac:dyDescent="0.25">
      <c r="Z28" s="25">
        <v>27</v>
      </c>
    </row>
    <row r="29" spans="1:26" x14ac:dyDescent="0.25">
      <c r="Z29" s="25">
        <v>28</v>
      </c>
    </row>
    <row r="30" spans="1:26" x14ac:dyDescent="0.25">
      <c r="Z30" s="25">
        <v>29</v>
      </c>
    </row>
    <row r="31" spans="1:26" x14ac:dyDescent="0.25">
      <c r="Z31" s="25">
        <v>30</v>
      </c>
    </row>
    <row r="32" spans="1:26" x14ac:dyDescent="0.25">
      <c r="Z32" s="25">
        <v>31</v>
      </c>
    </row>
    <row r="33" spans="26:26" x14ac:dyDescent="0.25">
      <c r="Z33" s="25">
        <v>32</v>
      </c>
    </row>
    <row r="34" spans="26:26" x14ac:dyDescent="0.25">
      <c r="Z34" s="25">
        <v>33</v>
      </c>
    </row>
    <row r="35" spans="26:26" x14ac:dyDescent="0.25">
      <c r="Z35" s="25">
        <v>34</v>
      </c>
    </row>
    <row r="36" spans="26:26" x14ac:dyDescent="0.25">
      <c r="Z36" s="25">
        <v>35</v>
      </c>
    </row>
    <row r="37" spans="26:26" x14ac:dyDescent="0.25">
      <c r="Z37" s="25">
        <v>36</v>
      </c>
    </row>
    <row r="38" spans="26:26" x14ac:dyDescent="0.25">
      <c r="Z38" s="25">
        <v>37</v>
      </c>
    </row>
    <row r="39" spans="26:26" x14ac:dyDescent="0.25">
      <c r="Z39" s="25">
        <v>38</v>
      </c>
    </row>
    <row r="40" spans="26:26" x14ac:dyDescent="0.25">
      <c r="Z40" s="25">
        <v>39</v>
      </c>
    </row>
    <row r="41" spans="26:26" x14ac:dyDescent="0.25">
      <c r="Z41" s="25">
        <v>40</v>
      </c>
    </row>
    <row r="42" spans="26:26" x14ac:dyDescent="0.25">
      <c r="Z42" s="25">
        <v>41</v>
      </c>
    </row>
    <row r="43" spans="26:26" x14ac:dyDescent="0.25">
      <c r="Z43" s="25">
        <v>42</v>
      </c>
    </row>
    <row r="44" spans="26:26" x14ac:dyDescent="0.25">
      <c r="Z44" s="25">
        <v>43</v>
      </c>
    </row>
    <row r="45" spans="26:26" x14ac:dyDescent="0.25">
      <c r="Z45" s="25">
        <v>44</v>
      </c>
    </row>
    <row r="46" spans="26:26" x14ac:dyDescent="0.25">
      <c r="Z46" s="25">
        <v>45</v>
      </c>
    </row>
    <row r="47" spans="26:26" x14ac:dyDescent="0.25">
      <c r="Z47" s="25">
        <v>46</v>
      </c>
    </row>
    <row r="48" spans="26:26" x14ac:dyDescent="0.25">
      <c r="Z48" s="25">
        <v>47</v>
      </c>
    </row>
    <row r="49" spans="26:26" x14ac:dyDescent="0.25">
      <c r="Z49" s="25">
        <v>48</v>
      </c>
    </row>
    <row r="50" spans="26:26" x14ac:dyDescent="0.25">
      <c r="Z50" s="25">
        <f>Z49+1</f>
        <v>49</v>
      </c>
    </row>
    <row r="51" spans="26:26" x14ac:dyDescent="0.25">
      <c r="Z51" s="25">
        <f t="shared" ref="Z51:Z79" si="0">Z50+1</f>
        <v>50</v>
      </c>
    </row>
    <row r="52" spans="26:26" x14ac:dyDescent="0.25">
      <c r="Z52" s="25">
        <f t="shared" si="0"/>
        <v>51</v>
      </c>
    </row>
    <row r="53" spans="26:26" x14ac:dyDescent="0.25">
      <c r="Z53" s="25">
        <f t="shared" si="0"/>
        <v>52</v>
      </c>
    </row>
    <row r="54" spans="26:26" x14ac:dyDescent="0.25">
      <c r="Z54" s="25">
        <f t="shared" si="0"/>
        <v>53</v>
      </c>
    </row>
    <row r="55" spans="26:26" x14ac:dyDescent="0.25">
      <c r="Z55" s="25">
        <f t="shared" si="0"/>
        <v>54</v>
      </c>
    </row>
    <row r="56" spans="26:26" x14ac:dyDescent="0.25">
      <c r="Z56" s="25">
        <f t="shared" si="0"/>
        <v>55</v>
      </c>
    </row>
    <row r="57" spans="26:26" x14ac:dyDescent="0.25">
      <c r="Z57" s="25">
        <f t="shared" si="0"/>
        <v>56</v>
      </c>
    </row>
    <row r="58" spans="26:26" x14ac:dyDescent="0.25">
      <c r="Z58" s="25">
        <f t="shared" si="0"/>
        <v>57</v>
      </c>
    </row>
    <row r="59" spans="26:26" x14ac:dyDescent="0.25">
      <c r="Z59" s="25">
        <f t="shared" si="0"/>
        <v>58</v>
      </c>
    </row>
    <row r="60" spans="26:26" x14ac:dyDescent="0.25">
      <c r="Z60" s="25">
        <f t="shared" si="0"/>
        <v>59</v>
      </c>
    </row>
    <row r="61" spans="26:26" x14ac:dyDescent="0.25">
      <c r="Z61" s="25">
        <f t="shared" si="0"/>
        <v>60</v>
      </c>
    </row>
    <row r="62" spans="26:26" x14ac:dyDescent="0.25">
      <c r="Z62" s="25">
        <f t="shared" si="0"/>
        <v>61</v>
      </c>
    </row>
    <row r="63" spans="26:26" x14ac:dyDescent="0.25">
      <c r="Z63" s="25">
        <f t="shared" si="0"/>
        <v>62</v>
      </c>
    </row>
    <row r="64" spans="26:26" x14ac:dyDescent="0.25">
      <c r="Z64" s="25">
        <f t="shared" si="0"/>
        <v>63</v>
      </c>
    </row>
    <row r="65" spans="26:26" x14ac:dyDescent="0.25">
      <c r="Z65" s="25">
        <f t="shared" si="0"/>
        <v>64</v>
      </c>
    </row>
    <row r="66" spans="26:26" x14ac:dyDescent="0.25">
      <c r="Z66" s="25">
        <f t="shared" si="0"/>
        <v>65</v>
      </c>
    </row>
    <row r="67" spans="26:26" x14ac:dyDescent="0.25">
      <c r="Z67" s="25">
        <f t="shared" si="0"/>
        <v>66</v>
      </c>
    </row>
    <row r="68" spans="26:26" x14ac:dyDescent="0.25">
      <c r="Z68" s="25">
        <f t="shared" si="0"/>
        <v>67</v>
      </c>
    </row>
    <row r="69" spans="26:26" x14ac:dyDescent="0.25">
      <c r="Z69" s="25">
        <f t="shared" si="0"/>
        <v>68</v>
      </c>
    </row>
    <row r="70" spans="26:26" x14ac:dyDescent="0.25">
      <c r="Z70" s="25">
        <f t="shared" si="0"/>
        <v>69</v>
      </c>
    </row>
    <row r="71" spans="26:26" x14ac:dyDescent="0.25">
      <c r="Z71" s="25">
        <f t="shared" si="0"/>
        <v>70</v>
      </c>
    </row>
    <row r="72" spans="26:26" x14ac:dyDescent="0.25">
      <c r="Z72" s="25">
        <f>Z71+7</f>
        <v>77</v>
      </c>
    </row>
    <row r="73" spans="26:26" x14ac:dyDescent="0.25">
      <c r="Z73" s="25">
        <f t="shared" si="0"/>
        <v>78</v>
      </c>
    </row>
    <row r="74" spans="26:26" x14ac:dyDescent="0.25">
      <c r="Z74" s="25">
        <f t="shared" si="0"/>
        <v>79</v>
      </c>
    </row>
    <row r="75" spans="26:26" x14ac:dyDescent="0.25">
      <c r="Z75" s="25">
        <f t="shared" si="0"/>
        <v>80</v>
      </c>
    </row>
    <row r="76" spans="26:26" x14ac:dyDescent="0.25">
      <c r="Z76" s="25">
        <f t="shared" si="0"/>
        <v>81</v>
      </c>
    </row>
    <row r="77" spans="26:26" x14ac:dyDescent="0.25">
      <c r="Z77" s="25">
        <f t="shared" si="0"/>
        <v>82</v>
      </c>
    </row>
    <row r="78" spans="26:26" x14ac:dyDescent="0.25">
      <c r="Z78" s="25">
        <f t="shared" si="0"/>
        <v>83</v>
      </c>
    </row>
    <row r="79" spans="26:26" x14ac:dyDescent="0.25">
      <c r="Z79" s="25">
        <f t="shared" si="0"/>
        <v>84</v>
      </c>
    </row>
    <row r="80" spans="26:26" x14ac:dyDescent="0.25">
      <c r="Z80" s="25">
        <v>49</v>
      </c>
    </row>
    <row r="81" spans="26:26" x14ac:dyDescent="0.25">
      <c r="Z81" s="25">
        <v>50</v>
      </c>
    </row>
    <row r="82" spans="26:26" x14ac:dyDescent="0.25">
      <c r="Z82" s="25">
        <v>51</v>
      </c>
    </row>
    <row r="83" spans="26:26" x14ac:dyDescent="0.25">
      <c r="Z83" s="25">
        <v>52</v>
      </c>
    </row>
    <row r="84" spans="26:26" x14ac:dyDescent="0.25">
      <c r="Z84" s="25">
        <v>53</v>
      </c>
    </row>
    <row r="85" spans="26:26" x14ac:dyDescent="0.25">
      <c r="Z85" s="25">
        <v>54</v>
      </c>
    </row>
    <row r="86" spans="26:26" x14ac:dyDescent="0.25">
      <c r="Z86" s="25">
        <v>55</v>
      </c>
    </row>
    <row r="87" spans="26:26" x14ac:dyDescent="0.25">
      <c r="Z87" s="25">
        <v>56</v>
      </c>
    </row>
    <row r="88" spans="26:26" x14ac:dyDescent="0.25">
      <c r="Z88" s="25">
        <v>57</v>
      </c>
    </row>
    <row r="89" spans="26:26" x14ac:dyDescent="0.25">
      <c r="Z89" s="25">
        <v>58</v>
      </c>
    </row>
    <row r="90" spans="26:26" x14ac:dyDescent="0.25">
      <c r="Z90" s="25">
        <v>59</v>
      </c>
    </row>
    <row r="91" spans="26:26" x14ac:dyDescent="0.25">
      <c r="Z91" s="25">
        <v>60</v>
      </c>
    </row>
    <row r="92" spans="26:26" x14ac:dyDescent="0.25">
      <c r="Z92" s="25">
        <v>61</v>
      </c>
    </row>
    <row r="93" spans="26:26" x14ac:dyDescent="0.25">
      <c r="Z93" s="25">
        <v>62</v>
      </c>
    </row>
    <row r="94" spans="26:26" x14ac:dyDescent="0.25">
      <c r="Z94" s="25">
        <v>63</v>
      </c>
    </row>
    <row r="95" spans="26:26" x14ac:dyDescent="0.25">
      <c r="Z95" s="25">
        <v>64</v>
      </c>
    </row>
    <row r="96" spans="26:26" x14ac:dyDescent="0.25">
      <c r="Z96" s="25">
        <v>65</v>
      </c>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9"/>
  <sheetViews>
    <sheetView workbookViewId="0">
      <selection activeCell="B2" sqref="B2"/>
    </sheetView>
  </sheetViews>
  <sheetFormatPr defaultRowHeight="15" x14ac:dyDescent="0.25"/>
  <sheetData>
    <row r="1" spans="1:3" ht="60" x14ac:dyDescent="0.25">
      <c r="A1" s="143" t="s">
        <v>1829</v>
      </c>
      <c r="B1" s="143" t="s">
        <v>1830</v>
      </c>
      <c r="C1" s="143" t="s">
        <v>1831</v>
      </c>
    </row>
    <row r="2" spans="1:3" x14ac:dyDescent="0.25">
      <c r="A2" s="25">
        <v>7</v>
      </c>
      <c r="B2" s="25">
        <f>IF(A2=0,GetTrueBlank,A2)</f>
        <v>7</v>
      </c>
      <c r="C2" s="25" t="b">
        <f>ISBLANK(B2)</f>
        <v>0</v>
      </c>
    </row>
    <row r="3" spans="1:3" x14ac:dyDescent="0.25">
      <c r="A3" s="25">
        <v>1</v>
      </c>
      <c r="B3" s="25">
        <f>IF(A3=0,GetTrueBlank,A3)</f>
        <v>1</v>
      </c>
      <c r="C3" s="25" t="b">
        <f t="shared" ref="C3:C9" si="0">ISBLANK(B3)</f>
        <v>0</v>
      </c>
    </row>
    <row r="4" spans="1:3" x14ac:dyDescent="0.25">
      <c r="A4" s="25">
        <v>2</v>
      </c>
      <c r="B4" s="25">
        <f>IF(A4=0,GetTrueBlank,A4)</f>
        <v>2</v>
      </c>
      <c r="C4" s="25" t="b">
        <f t="shared" si="0"/>
        <v>0</v>
      </c>
    </row>
    <row r="5" spans="1:3" x14ac:dyDescent="0.25">
      <c r="A5" s="25">
        <v>4</v>
      </c>
      <c r="B5" s="25">
        <f>IF(A5=0,GetTrueBlank,A5)</f>
        <v>4</v>
      </c>
      <c r="C5" s="25" t="b">
        <f t="shared" si="0"/>
        <v>0</v>
      </c>
    </row>
    <row r="6" spans="1:3" x14ac:dyDescent="0.25">
      <c r="A6" s="25">
        <v>0</v>
      </c>
      <c r="B6" s="25" t="str">
        <f>IF(A6=0,"",A6)</f>
        <v/>
      </c>
      <c r="C6" s="25" t="b">
        <f t="shared" si="0"/>
        <v>0</v>
      </c>
    </row>
    <row r="7" spans="1:3" x14ac:dyDescent="0.25">
      <c r="A7" s="25">
        <v>4</v>
      </c>
      <c r="B7" s="25">
        <f>IF(A7=0,GetTrueBlank,A7)</f>
        <v>4</v>
      </c>
      <c r="C7" s="25" t="b">
        <f t="shared" si="0"/>
        <v>0</v>
      </c>
    </row>
    <row r="8" spans="1:3" x14ac:dyDescent="0.25">
      <c r="A8" s="25">
        <v>0</v>
      </c>
      <c r="B8" s="25"/>
      <c r="C8" s="25" t="b">
        <f t="shared" si="0"/>
        <v>1</v>
      </c>
    </row>
    <row r="9" spans="1:3" x14ac:dyDescent="0.25">
      <c r="A9" s="25">
        <v>1</v>
      </c>
      <c r="B9" s="25">
        <f>IF(A9=0,GetTrueBlank,A9)</f>
        <v>1</v>
      </c>
      <c r="C9" s="25" t="b">
        <f t="shared" si="0"/>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7:G129"/>
  <sheetViews>
    <sheetView topLeftCell="A103" workbookViewId="0">
      <selection activeCell="J128" sqref="J128"/>
    </sheetView>
  </sheetViews>
  <sheetFormatPr defaultRowHeight="15" x14ac:dyDescent="0.25"/>
  <cols>
    <col min="2" max="2" width="20.7109375" bestFit="1" customWidth="1"/>
    <col min="3" max="3" width="74.5703125" bestFit="1" customWidth="1"/>
    <col min="5" max="5" width="9.140625" style="14"/>
  </cols>
  <sheetData>
    <row r="7" spans="1:7" x14ac:dyDescent="0.25">
      <c r="A7" s="29" t="s">
        <v>217</v>
      </c>
      <c r="B7" s="29" t="s">
        <v>218</v>
      </c>
      <c r="C7" s="29" t="s">
        <v>219</v>
      </c>
      <c r="D7" s="29" t="s">
        <v>220</v>
      </c>
    </row>
    <row r="8" spans="1:7" ht="409.5" x14ac:dyDescent="0.25">
      <c r="C8" s="14" t="s">
        <v>1911</v>
      </c>
      <c r="D8" s="14" t="s">
        <v>1983</v>
      </c>
      <c r="E8" s="14" t="s">
        <v>1978</v>
      </c>
      <c r="F8" t="s">
        <v>222</v>
      </c>
      <c r="G8" s="30" t="s">
        <v>525</v>
      </c>
    </row>
    <row r="9" spans="1:7" ht="45" x14ac:dyDescent="0.25">
      <c r="E9" s="14" t="s">
        <v>1978</v>
      </c>
      <c r="F9" t="s">
        <v>1910</v>
      </c>
      <c r="G9" s="30" t="s">
        <v>526</v>
      </c>
    </row>
    <row r="10" spans="1:7" ht="45" x14ac:dyDescent="0.25">
      <c r="E10" s="14" t="s">
        <v>1978</v>
      </c>
      <c r="F10" t="s">
        <v>1624</v>
      </c>
      <c r="G10" s="30" t="s">
        <v>1625</v>
      </c>
    </row>
    <row r="11" spans="1:7" ht="45" x14ac:dyDescent="0.25">
      <c r="E11" s="14" t="s">
        <v>1978</v>
      </c>
      <c r="F11" t="s">
        <v>1976</v>
      </c>
      <c r="G11" s="30" t="s">
        <v>1626</v>
      </c>
    </row>
    <row r="12" spans="1:7" ht="45" x14ac:dyDescent="0.25">
      <c r="E12" s="14" t="s">
        <v>1978</v>
      </c>
      <c r="F12" t="s">
        <v>93</v>
      </c>
      <c r="G12" s="30" t="s">
        <v>1979</v>
      </c>
    </row>
    <row r="13" spans="1:7" ht="45" x14ac:dyDescent="0.25">
      <c r="E13" s="14" t="s">
        <v>1978</v>
      </c>
      <c r="F13" t="s">
        <v>1963</v>
      </c>
      <c r="G13" s="30" t="s">
        <v>1980</v>
      </c>
    </row>
    <row r="14" spans="1:7" ht="165" x14ac:dyDescent="0.25">
      <c r="E14" s="14" t="s">
        <v>1978</v>
      </c>
      <c r="F14" s="14" t="s">
        <v>1981</v>
      </c>
      <c r="G14" s="30" t="s">
        <v>1982</v>
      </c>
    </row>
    <row r="16" spans="1:7" ht="45" x14ac:dyDescent="0.25">
      <c r="C16" s="14" t="s">
        <v>1911</v>
      </c>
      <c r="D16" t="s">
        <v>1987</v>
      </c>
      <c r="E16" s="14" t="s">
        <v>1984</v>
      </c>
      <c r="F16" t="s">
        <v>222</v>
      </c>
      <c r="G16" s="30" t="s">
        <v>525</v>
      </c>
    </row>
    <row r="17" spans="3:7" ht="45" x14ac:dyDescent="0.25">
      <c r="E17" s="14" t="s">
        <v>1984</v>
      </c>
      <c r="F17" t="s">
        <v>1910</v>
      </c>
      <c r="G17" s="30" t="s">
        <v>1985</v>
      </c>
    </row>
    <row r="18" spans="3:7" ht="45" x14ac:dyDescent="0.25">
      <c r="E18" s="14" t="s">
        <v>1984</v>
      </c>
      <c r="F18" t="s">
        <v>1639</v>
      </c>
      <c r="G18" s="30" t="s">
        <v>1986</v>
      </c>
    </row>
    <row r="20" spans="3:7" ht="45" x14ac:dyDescent="0.25">
      <c r="C20" t="s">
        <v>229</v>
      </c>
      <c r="D20" t="s">
        <v>230</v>
      </c>
      <c r="E20" s="14" t="s">
        <v>237</v>
      </c>
      <c r="F20" t="s">
        <v>222</v>
      </c>
      <c r="G20" s="30" t="s">
        <v>525</v>
      </c>
    </row>
    <row r="21" spans="3:7" ht="45" x14ac:dyDescent="0.25">
      <c r="E21" s="14" t="s">
        <v>237</v>
      </c>
      <c r="F21" t="s">
        <v>228</v>
      </c>
      <c r="G21" s="30" t="s">
        <v>544</v>
      </c>
    </row>
    <row r="23" spans="3:7" ht="45" x14ac:dyDescent="0.25">
      <c r="C23" s="14" t="s">
        <v>1988</v>
      </c>
      <c r="D23" t="s">
        <v>1989</v>
      </c>
      <c r="E23" s="14" t="s">
        <v>1598</v>
      </c>
      <c r="F23" t="s">
        <v>225</v>
      </c>
      <c r="G23" s="30" t="s">
        <v>534</v>
      </c>
    </row>
    <row r="24" spans="3:7" ht="30" x14ac:dyDescent="0.25">
      <c r="E24" s="14" t="s">
        <v>1598</v>
      </c>
      <c r="F24" t="s">
        <v>1929</v>
      </c>
      <c r="G24" s="30" t="s">
        <v>1593</v>
      </c>
    </row>
    <row r="26" spans="3:7" ht="45" x14ac:dyDescent="0.25">
      <c r="C26" s="14" t="s">
        <v>1911</v>
      </c>
      <c r="D26" t="s">
        <v>1990</v>
      </c>
      <c r="E26" s="14" t="s">
        <v>236</v>
      </c>
      <c r="F26" t="s">
        <v>222</v>
      </c>
      <c r="G26" s="30" t="s">
        <v>525</v>
      </c>
    </row>
    <row r="27" spans="3:7" ht="30" x14ac:dyDescent="0.25">
      <c r="E27" s="14" t="s">
        <v>236</v>
      </c>
      <c r="F27" t="s">
        <v>1910</v>
      </c>
      <c r="G27" s="30" t="s">
        <v>526</v>
      </c>
    </row>
    <row r="28" spans="3:7" ht="30" x14ac:dyDescent="0.25">
      <c r="E28" s="14" t="s">
        <v>236</v>
      </c>
      <c r="F28" t="s">
        <v>1624</v>
      </c>
      <c r="G28" s="30" t="s">
        <v>1625</v>
      </c>
    </row>
    <row r="29" spans="3:7" ht="30" x14ac:dyDescent="0.25">
      <c r="E29" s="14" t="s">
        <v>236</v>
      </c>
      <c r="F29" t="s">
        <v>1976</v>
      </c>
      <c r="G29" s="30" t="s">
        <v>1626</v>
      </c>
    </row>
    <row r="30" spans="3:7" ht="30" x14ac:dyDescent="0.25">
      <c r="E30" s="14" t="s">
        <v>236</v>
      </c>
      <c r="F30" t="s">
        <v>1627</v>
      </c>
      <c r="G30" s="30" t="s">
        <v>1628</v>
      </c>
    </row>
    <row r="31" spans="3:7" ht="30" x14ac:dyDescent="0.25">
      <c r="E31" s="14" t="s">
        <v>236</v>
      </c>
      <c r="F31" t="s">
        <v>1953</v>
      </c>
      <c r="G31" s="30" t="s">
        <v>1629</v>
      </c>
    </row>
    <row r="33" spans="3:7" ht="315" x14ac:dyDescent="0.25">
      <c r="C33" s="14" t="s">
        <v>1916</v>
      </c>
      <c r="D33" s="14" t="s">
        <v>1991</v>
      </c>
      <c r="E33" s="14" t="s">
        <v>1584</v>
      </c>
      <c r="F33" t="s">
        <v>1585</v>
      </c>
      <c r="G33" s="30" t="s">
        <v>1586</v>
      </c>
    </row>
    <row r="34" spans="3:7" x14ac:dyDescent="0.25">
      <c r="E34" s="14" t="s">
        <v>1584</v>
      </c>
      <c r="F34" t="s">
        <v>1968</v>
      </c>
      <c r="G34" s="30" t="s">
        <v>1587</v>
      </c>
    </row>
    <row r="35" spans="3:7" ht="180" x14ac:dyDescent="0.25">
      <c r="E35" s="14" t="s">
        <v>1584</v>
      </c>
      <c r="F35" s="14" t="s">
        <v>1967</v>
      </c>
      <c r="G35" s="30" t="s">
        <v>1588</v>
      </c>
    </row>
    <row r="37" spans="3:7" ht="45" x14ac:dyDescent="0.25">
      <c r="C37" t="s">
        <v>1591</v>
      </c>
      <c r="D37" t="s">
        <v>1590</v>
      </c>
      <c r="E37" s="14" t="s">
        <v>1589</v>
      </c>
      <c r="F37" t="s">
        <v>1590</v>
      </c>
    </row>
    <row r="39" spans="3:7" ht="45" x14ac:dyDescent="0.25">
      <c r="C39" s="14" t="s">
        <v>1988</v>
      </c>
      <c r="D39" t="s">
        <v>1989</v>
      </c>
      <c r="E39" s="14" t="s">
        <v>1592</v>
      </c>
      <c r="F39" t="s">
        <v>225</v>
      </c>
      <c r="G39" s="30" t="s">
        <v>534</v>
      </c>
    </row>
    <row r="40" spans="3:7" ht="45" x14ac:dyDescent="0.25">
      <c r="E40" s="14" t="s">
        <v>1592</v>
      </c>
      <c r="F40" t="s">
        <v>1929</v>
      </c>
      <c r="G40" s="30" t="s">
        <v>1593</v>
      </c>
    </row>
    <row r="42" spans="3:7" ht="45" x14ac:dyDescent="0.25">
      <c r="C42" s="14" t="s">
        <v>1946</v>
      </c>
      <c r="D42" t="s">
        <v>1992</v>
      </c>
      <c r="E42" s="14" t="s">
        <v>1594</v>
      </c>
      <c r="F42" t="s">
        <v>1595</v>
      </c>
      <c r="G42" s="30" t="s">
        <v>1596</v>
      </c>
    </row>
    <row r="43" spans="3:7" ht="45" x14ac:dyDescent="0.25">
      <c r="E43" s="14" t="s">
        <v>1594</v>
      </c>
      <c r="F43" t="s">
        <v>1945</v>
      </c>
      <c r="G43" s="30" t="s">
        <v>1597</v>
      </c>
    </row>
    <row r="45" spans="3:7" ht="45" x14ac:dyDescent="0.25">
      <c r="C45" s="14" t="s">
        <v>1941</v>
      </c>
      <c r="D45" t="s">
        <v>543</v>
      </c>
      <c r="E45" s="14" t="s">
        <v>1599</v>
      </c>
      <c r="F45" t="s">
        <v>539</v>
      </c>
      <c r="G45" s="30" t="s">
        <v>540</v>
      </c>
    </row>
    <row r="46" spans="3:7" ht="30" x14ac:dyDescent="0.25">
      <c r="E46" s="14" t="s">
        <v>1599</v>
      </c>
      <c r="F46" t="s">
        <v>541</v>
      </c>
      <c r="G46" s="30" t="s">
        <v>542</v>
      </c>
    </row>
    <row r="48" spans="3:7" ht="30" x14ac:dyDescent="0.25">
      <c r="C48" t="s">
        <v>1995</v>
      </c>
      <c r="D48" t="s">
        <v>1613</v>
      </c>
      <c r="E48" s="14" t="s">
        <v>1600</v>
      </c>
      <c r="F48" t="s">
        <v>1601</v>
      </c>
      <c r="G48" s="30" t="s">
        <v>1602</v>
      </c>
    </row>
    <row r="49" spans="3:7" ht="30" x14ac:dyDescent="0.25">
      <c r="E49" s="14" t="s">
        <v>1600</v>
      </c>
      <c r="F49" t="s">
        <v>153</v>
      </c>
      <c r="G49" s="30" t="s">
        <v>1603</v>
      </c>
    </row>
    <row r="50" spans="3:7" ht="30" x14ac:dyDescent="0.25">
      <c r="E50" s="14" t="s">
        <v>1600</v>
      </c>
      <c r="F50" t="s">
        <v>58</v>
      </c>
      <c r="G50" s="30" t="s">
        <v>1604</v>
      </c>
    </row>
    <row r="51" spans="3:7" ht="30" x14ac:dyDescent="0.25">
      <c r="E51" s="14" t="s">
        <v>1600</v>
      </c>
      <c r="F51" t="s">
        <v>958</v>
      </c>
      <c r="G51" s="30" t="s">
        <v>1605</v>
      </c>
    </row>
    <row r="52" spans="3:7" ht="30" x14ac:dyDescent="0.25">
      <c r="E52" s="14" t="s">
        <v>1600</v>
      </c>
      <c r="F52" t="s">
        <v>1606</v>
      </c>
      <c r="G52" s="30" t="s">
        <v>1607</v>
      </c>
    </row>
    <row r="53" spans="3:7" ht="30" x14ac:dyDescent="0.25">
      <c r="E53" s="14" t="s">
        <v>1600</v>
      </c>
      <c r="F53" t="s">
        <v>1608</v>
      </c>
      <c r="G53" s="30" t="s">
        <v>1609</v>
      </c>
    </row>
    <row r="54" spans="3:7" ht="30" x14ac:dyDescent="0.25">
      <c r="E54" s="14" t="s">
        <v>1600</v>
      </c>
      <c r="F54" t="s">
        <v>532</v>
      </c>
      <c r="G54" s="30" t="s">
        <v>1610</v>
      </c>
    </row>
    <row r="55" spans="3:7" ht="30" x14ac:dyDescent="0.25">
      <c r="E55" s="14" t="s">
        <v>1600</v>
      </c>
      <c r="F55" t="s">
        <v>37</v>
      </c>
      <c r="G55" s="30" t="s">
        <v>1611</v>
      </c>
    </row>
    <row r="56" spans="3:7" ht="30" x14ac:dyDescent="0.25">
      <c r="E56" s="14" t="s">
        <v>1600</v>
      </c>
      <c r="F56" t="s">
        <v>1252</v>
      </c>
      <c r="G56" s="30" t="s">
        <v>1993</v>
      </c>
    </row>
    <row r="57" spans="3:7" ht="30" x14ac:dyDescent="0.25">
      <c r="E57" s="14" t="s">
        <v>1600</v>
      </c>
      <c r="F57" t="s">
        <v>1612</v>
      </c>
      <c r="G57" s="30" t="s">
        <v>1994</v>
      </c>
    </row>
    <row r="59" spans="3:7" ht="45" x14ac:dyDescent="0.25">
      <c r="C59" t="s">
        <v>1591</v>
      </c>
      <c r="D59" t="s">
        <v>1996</v>
      </c>
      <c r="E59" s="14" t="s">
        <v>1614</v>
      </c>
      <c r="F59" t="s">
        <v>1615</v>
      </c>
    </row>
    <row r="60" spans="3:7" ht="45" x14ac:dyDescent="0.25">
      <c r="E60" s="14" t="s">
        <v>1614</v>
      </c>
      <c r="F60" t="s">
        <v>1615</v>
      </c>
    </row>
    <row r="61" spans="3:7" ht="45" x14ac:dyDescent="0.25">
      <c r="E61" s="14" t="s">
        <v>1614</v>
      </c>
      <c r="F61" t="s">
        <v>1590</v>
      </c>
    </row>
    <row r="63" spans="3:7" ht="30" x14ac:dyDescent="0.25">
      <c r="C63" t="s">
        <v>1997</v>
      </c>
      <c r="D63" t="s">
        <v>1998</v>
      </c>
      <c r="E63" s="14" t="s">
        <v>1616</v>
      </c>
      <c r="F63" t="s">
        <v>222</v>
      </c>
      <c r="G63" s="30" t="s">
        <v>525</v>
      </c>
    </row>
    <row r="64" spans="3:7" ht="30" x14ac:dyDescent="0.25">
      <c r="E64" s="14" t="s">
        <v>1616</v>
      </c>
      <c r="F64" t="s">
        <v>1910</v>
      </c>
      <c r="G64" s="30" t="s">
        <v>526</v>
      </c>
    </row>
    <row r="65" spans="3:7" ht="30" x14ac:dyDescent="0.25">
      <c r="E65" s="14" t="s">
        <v>1616</v>
      </c>
      <c r="F65" t="s">
        <v>225</v>
      </c>
      <c r="G65" s="30" t="s">
        <v>527</v>
      </c>
    </row>
    <row r="66" spans="3:7" ht="30" x14ac:dyDescent="0.25">
      <c r="E66" s="14" t="s">
        <v>1616</v>
      </c>
      <c r="F66" t="s">
        <v>1929</v>
      </c>
      <c r="G66" s="30" t="s">
        <v>528</v>
      </c>
    </row>
    <row r="67" spans="3:7" ht="30" x14ac:dyDescent="0.25">
      <c r="E67" s="14" t="s">
        <v>1616</v>
      </c>
      <c r="F67" t="s">
        <v>1617</v>
      </c>
      <c r="G67" s="30" t="s">
        <v>1618</v>
      </c>
    </row>
    <row r="68" spans="3:7" ht="30" x14ac:dyDescent="0.25">
      <c r="E68" s="14" t="s">
        <v>1616</v>
      </c>
      <c r="F68" t="s">
        <v>1945</v>
      </c>
      <c r="G68" s="30" t="s">
        <v>1619</v>
      </c>
    </row>
    <row r="69" spans="3:7" ht="30" x14ac:dyDescent="0.25">
      <c r="E69" s="14" t="s">
        <v>1616</v>
      </c>
      <c r="F69" t="s">
        <v>1601</v>
      </c>
      <c r="G69" s="30" t="s">
        <v>1620</v>
      </c>
    </row>
    <row r="70" spans="3:7" ht="30" x14ac:dyDescent="0.25">
      <c r="E70" s="14" t="s">
        <v>1616</v>
      </c>
      <c r="F70" t="s">
        <v>1976</v>
      </c>
      <c r="G70" s="30" t="s">
        <v>1621</v>
      </c>
    </row>
    <row r="71" spans="3:7" ht="30" x14ac:dyDescent="0.25">
      <c r="E71" s="14" t="s">
        <v>1616</v>
      </c>
      <c r="F71" t="s">
        <v>1606</v>
      </c>
      <c r="G71" s="30" t="s">
        <v>1622</v>
      </c>
    </row>
    <row r="72" spans="3:7" ht="30" x14ac:dyDescent="0.25">
      <c r="E72" s="14" t="s">
        <v>1616</v>
      </c>
      <c r="F72" t="s">
        <v>1864</v>
      </c>
      <c r="G72" s="30" t="s">
        <v>1623</v>
      </c>
    </row>
    <row r="74" spans="3:7" ht="45" x14ac:dyDescent="0.25">
      <c r="C74" s="14" t="s">
        <v>1949</v>
      </c>
      <c r="D74" t="s">
        <v>1999</v>
      </c>
      <c r="E74" s="14" t="s">
        <v>1630</v>
      </c>
      <c r="F74" t="s">
        <v>1631</v>
      </c>
      <c r="G74" s="30" t="s">
        <v>1632</v>
      </c>
    </row>
    <row r="75" spans="3:7" ht="30" x14ac:dyDescent="0.25">
      <c r="E75" s="14" t="s">
        <v>1630</v>
      </c>
      <c r="F75" t="s">
        <v>1864</v>
      </c>
      <c r="G75" s="30" t="s">
        <v>1633</v>
      </c>
    </row>
    <row r="77" spans="3:7" ht="45" x14ac:dyDescent="0.25">
      <c r="C77" s="14" t="s">
        <v>1946</v>
      </c>
      <c r="D77" t="s">
        <v>1992</v>
      </c>
      <c r="E77" s="14" t="s">
        <v>1634</v>
      </c>
      <c r="F77" t="s">
        <v>1595</v>
      </c>
      <c r="G77" s="30" t="s">
        <v>1596</v>
      </c>
    </row>
    <row r="78" spans="3:7" ht="30" x14ac:dyDescent="0.25">
      <c r="E78" s="14" t="s">
        <v>1634</v>
      </c>
      <c r="F78" t="s">
        <v>1945</v>
      </c>
      <c r="G78" s="30" t="s">
        <v>1597</v>
      </c>
    </row>
    <row r="80" spans="3:7" ht="30" x14ac:dyDescent="0.25">
      <c r="C80" t="s">
        <v>1976</v>
      </c>
      <c r="D80" t="s">
        <v>2001</v>
      </c>
      <c r="E80" s="14" t="s">
        <v>1635</v>
      </c>
      <c r="F80" t="s">
        <v>222</v>
      </c>
      <c r="G80" s="30" t="s">
        <v>525</v>
      </c>
    </row>
    <row r="81" spans="3:7" ht="30" x14ac:dyDescent="0.25">
      <c r="E81" s="14" t="s">
        <v>1635</v>
      </c>
      <c r="F81" t="s">
        <v>1910</v>
      </c>
      <c r="G81" s="30" t="s">
        <v>526</v>
      </c>
    </row>
    <row r="82" spans="3:7" ht="30" x14ac:dyDescent="0.25">
      <c r="E82" s="14" t="s">
        <v>1635</v>
      </c>
      <c r="F82" t="s">
        <v>223</v>
      </c>
      <c r="G82" s="30" t="s">
        <v>1636</v>
      </c>
    </row>
    <row r="83" spans="3:7" ht="30" x14ac:dyDescent="0.25">
      <c r="E83" s="14" t="s">
        <v>1635</v>
      </c>
      <c r="F83" t="s">
        <v>1935</v>
      </c>
      <c r="G83" s="30" t="s">
        <v>1637</v>
      </c>
    </row>
    <row r="84" spans="3:7" ht="30" x14ac:dyDescent="0.25">
      <c r="E84" s="14" t="s">
        <v>1635</v>
      </c>
      <c r="F84" t="s">
        <v>1638</v>
      </c>
      <c r="G84" s="30" t="s">
        <v>2000</v>
      </c>
    </row>
    <row r="86" spans="3:7" ht="30" x14ac:dyDescent="0.25">
      <c r="C86" t="s">
        <v>1910</v>
      </c>
      <c r="D86" t="s">
        <v>2003</v>
      </c>
      <c r="E86" s="14" t="s">
        <v>524</v>
      </c>
      <c r="F86" t="s">
        <v>222</v>
      </c>
      <c r="G86" s="30" t="s">
        <v>525</v>
      </c>
    </row>
    <row r="87" spans="3:7" ht="30" x14ac:dyDescent="0.25">
      <c r="E87" s="14" t="s">
        <v>524</v>
      </c>
      <c r="F87" t="s">
        <v>1910</v>
      </c>
      <c r="G87" s="30" t="s">
        <v>526</v>
      </c>
    </row>
    <row r="88" spans="3:7" ht="30" x14ac:dyDescent="0.25">
      <c r="E88" s="14" t="s">
        <v>524</v>
      </c>
      <c r="F88" t="s">
        <v>225</v>
      </c>
      <c r="G88" s="30" t="s">
        <v>527</v>
      </c>
    </row>
    <row r="89" spans="3:7" ht="30" x14ac:dyDescent="0.25">
      <c r="E89" s="14" t="s">
        <v>524</v>
      </c>
      <c r="F89" t="s">
        <v>1929</v>
      </c>
      <c r="G89" s="30" t="s">
        <v>528</v>
      </c>
    </row>
    <row r="90" spans="3:7" ht="30" x14ac:dyDescent="0.25">
      <c r="E90" s="14" t="s">
        <v>524</v>
      </c>
      <c r="F90" t="s">
        <v>223</v>
      </c>
      <c r="G90" s="30" t="s">
        <v>529</v>
      </c>
    </row>
    <row r="91" spans="3:7" ht="30" x14ac:dyDescent="0.25">
      <c r="E91" s="14" t="s">
        <v>524</v>
      </c>
      <c r="F91" t="s">
        <v>1935</v>
      </c>
      <c r="G91" s="30" t="s">
        <v>530</v>
      </c>
    </row>
    <row r="92" spans="3:7" ht="30" x14ac:dyDescent="0.25">
      <c r="E92" s="14" t="s">
        <v>524</v>
      </c>
      <c r="F92" t="s">
        <v>1940</v>
      </c>
      <c r="G92" s="30" t="s">
        <v>531</v>
      </c>
    </row>
    <row r="93" spans="3:7" ht="30" x14ac:dyDescent="0.25">
      <c r="E93" s="14" t="s">
        <v>524</v>
      </c>
      <c r="F93" t="s">
        <v>532</v>
      </c>
      <c r="G93" s="30" t="s">
        <v>533</v>
      </c>
    </row>
    <row r="94" spans="3:7" ht="30" x14ac:dyDescent="0.25">
      <c r="E94" s="14" t="s">
        <v>524</v>
      </c>
      <c r="F94" t="s">
        <v>1638</v>
      </c>
      <c r="G94" s="30" t="s">
        <v>2002</v>
      </c>
    </row>
    <row r="96" spans="3:7" ht="45" x14ac:dyDescent="0.25">
      <c r="C96" s="14" t="s">
        <v>1911</v>
      </c>
      <c r="D96" t="s">
        <v>1987</v>
      </c>
      <c r="E96" s="14" t="s">
        <v>235</v>
      </c>
      <c r="F96" t="s">
        <v>222</v>
      </c>
      <c r="G96" s="30" t="s">
        <v>525</v>
      </c>
    </row>
    <row r="97" spans="3:7" ht="45" x14ac:dyDescent="0.25">
      <c r="E97" s="14" t="s">
        <v>235</v>
      </c>
      <c r="F97" t="s">
        <v>1910</v>
      </c>
      <c r="G97" s="30" t="s">
        <v>1985</v>
      </c>
    </row>
    <row r="98" spans="3:7" ht="45" x14ac:dyDescent="0.25">
      <c r="E98" s="14" t="s">
        <v>235</v>
      </c>
      <c r="F98" t="s">
        <v>1639</v>
      </c>
      <c r="G98" s="30" t="s">
        <v>1986</v>
      </c>
    </row>
    <row r="100" spans="3:7" ht="45" x14ac:dyDescent="0.25">
      <c r="C100" s="14" t="s">
        <v>1988</v>
      </c>
      <c r="D100" t="s">
        <v>227</v>
      </c>
      <c r="E100" s="14" t="s">
        <v>231</v>
      </c>
      <c r="F100" t="s">
        <v>225</v>
      </c>
      <c r="G100" s="30" t="s">
        <v>534</v>
      </c>
    </row>
    <row r="101" spans="3:7" ht="45" x14ac:dyDescent="0.25">
      <c r="E101" s="14" t="s">
        <v>231</v>
      </c>
      <c r="F101" t="s">
        <v>226</v>
      </c>
      <c r="G101" s="30" t="s">
        <v>535</v>
      </c>
    </row>
    <row r="103" spans="3:7" ht="45" x14ac:dyDescent="0.25">
      <c r="C103" s="14" t="s">
        <v>1988</v>
      </c>
      <c r="D103" t="s">
        <v>1989</v>
      </c>
      <c r="E103" s="14" t="s">
        <v>232</v>
      </c>
      <c r="F103" t="s">
        <v>225</v>
      </c>
      <c r="G103" s="30" t="s">
        <v>534</v>
      </c>
    </row>
    <row r="104" spans="3:7" ht="30" x14ac:dyDescent="0.25">
      <c r="E104" s="14" t="s">
        <v>232</v>
      </c>
      <c r="F104" t="s">
        <v>1929</v>
      </c>
      <c r="G104" s="30" t="s">
        <v>1593</v>
      </c>
    </row>
    <row r="106" spans="3:7" ht="45" x14ac:dyDescent="0.25">
      <c r="C106" s="14" t="s">
        <v>1936</v>
      </c>
      <c r="D106" t="s">
        <v>221</v>
      </c>
      <c r="E106" s="14" t="s">
        <v>233</v>
      </c>
      <c r="F106" t="s">
        <v>223</v>
      </c>
      <c r="G106" s="30" t="s">
        <v>536</v>
      </c>
    </row>
    <row r="107" spans="3:7" ht="30" x14ac:dyDescent="0.25">
      <c r="E107" s="14" t="s">
        <v>233</v>
      </c>
      <c r="F107" t="s">
        <v>224</v>
      </c>
      <c r="G107" s="30" t="s">
        <v>537</v>
      </c>
    </row>
    <row r="109" spans="3:7" ht="45" x14ac:dyDescent="0.25">
      <c r="C109" s="14" t="s">
        <v>1936</v>
      </c>
      <c r="D109" t="s">
        <v>2005</v>
      </c>
      <c r="E109" s="14" t="s">
        <v>234</v>
      </c>
      <c r="F109" t="s">
        <v>223</v>
      </c>
      <c r="G109" s="30" t="s">
        <v>536</v>
      </c>
    </row>
    <row r="110" spans="3:7" ht="30" x14ac:dyDescent="0.25">
      <c r="E110" s="14" t="s">
        <v>234</v>
      </c>
      <c r="F110" t="s">
        <v>1935</v>
      </c>
      <c r="G110" s="30" t="s">
        <v>2004</v>
      </c>
    </row>
    <row r="112" spans="3:7" ht="45" x14ac:dyDescent="0.25">
      <c r="C112" s="14" t="s">
        <v>1941</v>
      </c>
      <c r="D112" t="s">
        <v>543</v>
      </c>
      <c r="E112" s="14" t="s">
        <v>538</v>
      </c>
      <c r="F112" t="s">
        <v>539</v>
      </c>
      <c r="G112" s="30" t="s">
        <v>540</v>
      </c>
    </row>
    <row r="113" spans="3:7" ht="30" x14ac:dyDescent="0.25">
      <c r="E113" s="14" t="s">
        <v>538</v>
      </c>
      <c r="F113" t="s">
        <v>541</v>
      </c>
      <c r="G113" s="30" t="s">
        <v>542</v>
      </c>
    </row>
    <row r="115" spans="3:7" ht="45" x14ac:dyDescent="0.25">
      <c r="C115" s="14" t="s">
        <v>1977</v>
      </c>
      <c r="D115" t="s">
        <v>2006</v>
      </c>
      <c r="E115" s="14" t="s">
        <v>1640</v>
      </c>
      <c r="F115" t="s">
        <v>1624</v>
      </c>
      <c r="G115" s="30" t="s">
        <v>1641</v>
      </c>
    </row>
    <row r="116" spans="3:7" ht="30" x14ac:dyDescent="0.25">
      <c r="E116" s="14" t="s">
        <v>1640</v>
      </c>
      <c r="F116" t="s">
        <v>1976</v>
      </c>
      <c r="G116" s="30" t="s">
        <v>1642</v>
      </c>
    </row>
    <row r="117" spans="3:7" ht="30" x14ac:dyDescent="0.25">
      <c r="E117" s="14" t="s">
        <v>1640</v>
      </c>
      <c r="F117" t="s">
        <v>1639</v>
      </c>
      <c r="G117" s="30" t="s">
        <v>1986</v>
      </c>
    </row>
    <row r="119" spans="3:7" ht="45" x14ac:dyDescent="0.25">
      <c r="C119" s="14" t="s">
        <v>1911</v>
      </c>
      <c r="D119" t="s">
        <v>2008</v>
      </c>
      <c r="E119" s="14" t="s">
        <v>1643</v>
      </c>
      <c r="F119" t="s">
        <v>222</v>
      </c>
      <c r="G119" s="30" t="s">
        <v>525</v>
      </c>
    </row>
    <row r="120" spans="3:7" ht="30" x14ac:dyDescent="0.25">
      <c r="E120" s="14" t="s">
        <v>1643</v>
      </c>
      <c r="F120" t="s">
        <v>1910</v>
      </c>
      <c r="G120" s="30" t="s">
        <v>526</v>
      </c>
    </row>
    <row r="121" spans="3:7" ht="30" x14ac:dyDescent="0.25">
      <c r="E121" s="14" t="s">
        <v>1643</v>
      </c>
      <c r="F121" t="s">
        <v>225</v>
      </c>
      <c r="G121" s="30" t="s">
        <v>527</v>
      </c>
    </row>
    <row r="122" spans="3:7" ht="30" x14ac:dyDescent="0.25">
      <c r="E122" s="14" t="s">
        <v>1643</v>
      </c>
      <c r="F122" t="s">
        <v>1929</v>
      </c>
      <c r="G122" s="30" t="s">
        <v>528</v>
      </c>
    </row>
    <row r="123" spans="3:7" ht="30" x14ac:dyDescent="0.25">
      <c r="E123" s="14" t="s">
        <v>1643</v>
      </c>
      <c r="F123" t="s">
        <v>223</v>
      </c>
      <c r="G123" s="30" t="s">
        <v>529</v>
      </c>
    </row>
    <row r="124" spans="3:7" ht="30" x14ac:dyDescent="0.25">
      <c r="E124" s="14" t="s">
        <v>1643</v>
      </c>
      <c r="F124" t="s">
        <v>1935</v>
      </c>
      <c r="G124" s="30" t="s">
        <v>530</v>
      </c>
    </row>
    <row r="125" spans="3:7" ht="30" x14ac:dyDescent="0.25">
      <c r="E125" s="14" t="s">
        <v>1643</v>
      </c>
      <c r="F125" t="s">
        <v>532</v>
      </c>
      <c r="G125" s="30" t="s">
        <v>1610</v>
      </c>
    </row>
    <row r="126" spans="3:7" ht="30" x14ac:dyDescent="0.25">
      <c r="E126" s="14" t="s">
        <v>1643</v>
      </c>
      <c r="F126" t="s">
        <v>1940</v>
      </c>
      <c r="G126" s="30" t="s">
        <v>1644</v>
      </c>
    </row>
    <row r="127" spans="3:7" ht="30" x14ac:dyDescent="0.25">
      <c r="E127" s="14" t="s">
        <v>1643</v>
      </c>
      <c r="F127" t="s">
        <v>1601</v>
      </c>
      <c r="G127" s="30" t="s">
        <v>1645</v>
      </c>
    </row>
    <row r="128" spans="3:7" ht="30" x14ac:dyDescent="0.25">
      <c r="E128" s="14" t="s">
        <v>1643</v>
      </c>
      <c r="F128" t="s">
        <v>1976</v>
      </c>
      <c r="G128" s="30" t="s">
        <v>1646</v>
      </c>
    </row>
    <row r="129" spans="5:7" ht="30" x14ac:dyDescent="0.25">
      <c r="E129" s="14" t="s">
        <v>1643</v>
      </c>
      <c r="F129" t="s">
        <v>1638</v>
      </c>
      <c r="G129" s="30" t="s">
        <v>2007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8" r:id="rId3" name="CreateChartIndex">
              <controlPr defaultSize="0" print="0" autoFill="0" autoPict="0" macro="[1]!CreateChartIndex">
                <anchor moveWithCells="1" sizeWithCells="1">
                  <from>
                    <xdr:col>0</xdr:col>
                    <xdr:colOff>247650</xdr:colOff>
                    <xdr:row>1</xdr:row>
                    <xdr:rowOff>57150</xdr:rowOff>
                  </from>
                  <to>
                    <xdr:col>2</xdr:col>
                    <xdr:colOff>38100</xdr:colOff>
                    <xdr:row>3</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5"/>
  <sheetViews>
    <sheetView workbookViewId="0">
      <selection activeCell="Q2" sqref="Q2"/>
    </sheetView>
  </sheetViews>
  <sheetFormatPr defaultRowHeight="15" x14ac:dyDescent="0.25"/>
  <cols>
    <col min="1" max="1" width="41.5703125" bestFit="1" customWidth="1"/>
    <col min="2" max="2" width="13.42578125" bestFit="1" customWidth="1"/>
    <col min="14" max="14" width="12" bestFit="1" customWidth="1"/>
  </cols>
  <sheetData>
    <row r="1" spans="1:17" x14ac:dyDescent="0.25">
      <c r="A1" s="25" t="s">
        <v>238</v>
      </c>
      <c r="B1" s="25" t="s">
        <v>239</v>
      </c>
      <c r="C1" s="25" t="s">
        <v>240</v>
      </c>
      <c r="D1" s="25" t="s">
        <v>241</v>
      </c>
      <c r="E1" s="25" t="s">
        <v>242</v>
      </c>
      <c r="F1" s="25" t="s">
        <v>243</v>
      </c>
      <c r="G1" s="25"/>
      <c r="H1" s="25"/>
      <c r="I1" s="25"/>
      <c r="J1" s="25"/>
      <c r="K1" s="25"/>
      <c r="L1" s="25"/>
      <c r="O1" t="s">
        <v>1536</v>
      </c>
      <c r="P1" t="s">
        <v>1537</v>
      </c>
    </row>
    <row r="2" spans="1:17" x14ac:dyDescent="0.25">
      <c r="A2" s="25" t="s">
        <v>244</v>
      </c>
      <c r="B2" s="25" t="s">
        <v>245</v>
      </c>
      <c r="C2" s="25" t="s">
        <v>246</v>
      </c>
      <c r="D2" s="25" t="s">
        <v>247</v>
      </c>
      <c r="E2" s="25" t="s">
        <v>248</v>
      </c>
      <c r="F2" s="25" t="s">
        <v>249</v>
      </c>
      <c r="G2" s="25"/>
      <c r="H2" s="25"/>
      <c r="I2" s="25"/>
      <c r="J2" s="25"/>
      <c r="K2" s="25"/>
      <c r="L2" s="25"/>
      <c r="M2" t="s">
        <v>1534</v>
      </c>
      <c r="N2" t="s">
        <v>1535</v>
      </c>
      <c r="O2" s="106">
        <f>21427100000000</f>
        <v>21427100000000</v>
      </c>
      <c r="P2" s="106">
        <v>4500000000000</v>
      </c>
      <c r="Q2" s="109">
        <f>P2/O2</f>
        <v>0.21001442099024134</v>
      </c>
    </row>
    <row r="3" spans="1:17" x14ac:dyDescent="0.25">
      <c r="A3" s="25" t="s">
        <v>250</v>
      </c>
      <c r="B3" s="25" t="s">
        <v>251</v>
      </c>
      <c r="C3" s="25" t="s">
        <v>246</v>
      </c>
      <c r="D3" s="25" t="s">
        <v>252</v>
      </c>
      <c r="E3" s="25" t="s">
        <v>253</v>
      </c>
      <c r="F3" s="25" t="s">
        <v>254</v>
      </c>
      <c r="G3" s="25" t="s">
        <v>255</v>
      </c>
      <c r="H3" s="25"/>
      <c r="I3" s="25"/>
      <c r="J3" s="25"/>
      <c r="K3" s="25"/>
      <c r="L3" s="25"/>
    </row>
    <row r="4" spans="1:17" x14ac:dyDescent="0.25">
      <c r="A4" s="25" t="s">
        <v>256</v>
      </c>
      <c r="B4" s="25" t="s">
        <v>257</v>
      </c>
      <c r="C4" s="25" t="s">
        <v>258</v>
      </c>
      <c r="D4" s="25" t="s">
        <v>259</v>
      </c>
      <c r="E4" s="25" t="s">
        <v>260</v>
      </c>
      <c r="F4" s="25" t="s">
        <v>257</v>
      </c>
      <c r="G4" s="25"/>
      <c r="H4" s="25"/>
      <c r="I4" s="25"/>
      <c r="J4" s="25"/>
      <c r="K4" s="25"/>
      <c r="L4" s="25"/>
    </row>
    <row r="5" spans="1:17" x14ac:dyDescent="0.25">
      <c r="A5" s="25" t="s">
        <v>261</v>
      </c>
      <c r="B5" s="25" t="s">
        <v>262</v>
      </c>
      <c r="C5" s="25" t="s">
        <v>263</v>
      </c>
      <c r="D5" s="25" t="s">
        <v>264</v>
      </c>
      <c r="E5" s="25" t="s">
        <v>265</v>
      </c>
      <c r="F5" s="25" t="s">
        <v>266</v>
      </c>
      <c r="G5" s="25" t="str">
        <f>SUBSTITUTE(B5,"%","")</f>
        <v>94.2 </v>
      </c>
      <c r="H5" s="25">
        <f>VALUE(LEFT(B5,4))</f>
        <v>94.2</v>
      </c>
      <c r="I5" s="25"/>
      <c r="J5" s="25"/>
      <c r="K5" s="25"/>
      <c r="L5" s="25"/>
    </row>
    <row r="6" spans="1:17" x14ac:dyDescent="0.25">
      <c r="A6" s="25" t="s">
        <v>267</v>
      </c>
      <c r="B6" s="25" t="s">
        <v>268</v>
      </c>
      <c r="C6" s="25" t="s">
        <v>269</v>
      </c>
      <c r="D6" s="25" t="s">
        <v>270</v>
      </c>
      <c r="E6" s="25" t="s">
        <v>271</v>
      </c>
      <c r="F6" s="25" t="s">
        <v>272</v>
      </c>
      <c r="G6" s="25"/>
      <c r="H6" s="25">
        <f t="shared" ref="H6:H11" si="0">VALUE(LEFT(B6,4))</f>
        <v>98.5</v>
      </c>
      <c r="I6" s="25"/>
      <c r="J6" s="25"/>
      <c r="K6" s="25"/>
      <c r="L6" s="25"/>
    </row>
    <row r="7" spans="1:17" x14ac:dyDescent="0.25">
      <c r="A7" s="25" t="s">
        <v>273</v>
      </c>
      <c r="B7" s="25" t="s">
        <v>274</v>
      </c>
      <c r="C7" s="25" t="s">
        <v>275</v>
      </c>
      <c r="D7" s="25" t="s">
        <v>276</v>
      </c>
      <c r="E7" s="25" t="s">
        <v>277</v>
      </c>
      <c r="F7" s="25" t="s">
        <v>278</v>
      </c>
      <c r="G7" s="25"/>
      <c r="H7" s="25">
        <f t="shared" si="0"/>
        <v>95.5</v>
      </c>
      <c r="I7" s="25"/>
      <c r="J7" s="25"/>
      <c r="K7" s="25"/>
      <c r="L7" s="25"/>
    </row>
    <row r="8" spans="1:17" x14ac:dyDescent="0.25">
      <c r="A8" s="25" t="s">
        <v>279</v>
      </c>
      <c r="B8" s="25" t="s">
        <v>280</v>
      </c>
      <c r="C8" s="25" t="s">
        <v>281</v>
      </c>
      <c r="D8" s="25" t="s">
        <v>282</v>
      </c>
      <c r="E8" s="25" t="s">
        <v>283</v>
      </c>
      <c r="F8" s="25" t="s">
        <v>284</v>
      </c>
      <c r="G8" s="25"/>
      <c r="H8" s="25">
        <f t="shared" si="0"/>
        <v>96.1</v>
      </c>
      <c r="I8" s="25"/>
      <c r="J8" s="25"/>
      <c r="K8" s="25"/>
      <c r="L8" s="25"/>
    </row>
    <row r="9" spans="1:17" x14ac:dyDescent="0.25">
      <c r="A9" s="25" t="s">
        <v>285</v>
      </c>
      <c r="B9" s="25" t="s">
        <v>286</v>
      </c>
      <c r="C9" s="25" t="s">
        <v>287</v>
      </c>
      <c r="D9" s="25" t="s">
        <v>288</v>
      </c>
      <c r="E9" s="25" t="s">
        <v>289</v>
      </c>
      <c r="F9" s="25" t="s">
        <v>290</v>
      </c>
      <c r="G9" s="25"/>
      <c r="H9" s="25">
        <f t="shared" si="0"/>
        <v>99.1</v>
      </c>
      <c r="I9" s="25"/>
      <c r="J9" s="25"/>
      <c r="K9" s="25"/>
      <c r="L9" s="25"/>
    </row>
    <row r="10" spans="1:17" x14ac:dyDescent="0.25">
      <c r="A10" s="25" t="s">
        <v>291</v>
      </c>
      <c r="B10" s="25" t="s">
        <v>292</v>
      </c>
      <c r="C10" s="25" t="s">
        <v>293</v>
      </c>
      <c r="D10" s="25" t="s">
        <v>294</v>
      </c>
      <c r="E10" s="25" t="s">
        <v>295</v>
      </c>
      <c r="F10" s="25" t="s">
        <v>296</v>
      </c>
      <c r="G10" s="25"/>
      <c r="H10" s="25">
        <f t="shared" si="0"/>
        <v>92.8</v>
      </c>
      <c r="I10" s="25"/>
      <c r="J10" s="25"/>
      <c r="K10" s="25"/>
      <c r="L10" s="25"/>
    </row>
    <row r="11" spans="1:17" x14ac:dyDescent="0.25">
      <c r="A11" s="25" t="s">
        <v>297</v>
      </c>
      <c r="B11" s="25" t="s">
        <v>298</v>
      </c>
      <c r="C11" s="25" t="s">
        <v>299</v>
      </c>
      <c r="D11" s="25" t="s">
        <v>300</v>
      </c>
      <c r="E11" s="25" t="s">
        <v>301</v>
      </c>
      <c r="F11" s="25" t="s">
        <v>302</v>
      </c>
      <c r="G11" s="25"/>
      <c r="H11" s="25">
        <f t="shared" si="0"/>
        <v>93.8</v>
      </c>
      <c r="I11" s="25">
        <f>AVERAGE(H5:H11)</f>
        <v>95.714285714285694</v>
      </c>
      <c r="J11" s="25"/>
      <c r="K11" s="25"/>
      <c r="L11" s="25"/>
    </row>
    <row r="12" spans="1:17" x14ac:dyDescent="0.25">
      <c r="A12" s="25" t="s">
        <v>303</v>
      </c>
      <c r="B12" s="25" t="s">
        <v>304</v>
      </c>
      <c r="C12" s="25" t="s">
        <v>305</v>
      </c>
      <c r="D12" s="25" t="s">
        <v>306</v>
      </c>
      <c r="E12" s="25" t="s">
        <v>307</v>
      </c>
      <c r="F12" s="25" t="s">
        <v>308</v>
      </c>
      <c r="G12" s="25"/>
      <c r="H12" s="25">
        <f>VALUE(LEFT(B12,4))</f>
        <v>89.2</v>
      </c>
      <c r="I12" s="25"/>
      <c r="J12" s="25"/>
      <c r="K12" s="25"/>
      <c r="L12" s="25"/>
    </row>
    <row r="13" spans="1:17" x14ac:dyDescent="0.25">
      <c r="A13" s="25" t="s">
        <v>309</v>
      </c>
      <c r="B13" s="25" t="s">
        <v>310</v>
      </c>
      <c r="C13" s="25" t="s">
        <v>311</v>
      </c>
      <c r="D13" s="25" t="s">
        <v>312</v>
      </c>
      <c r="E13" s="25" t="s">
        <v>313</v>
      </c>
      <c r="F13" s="25" t="s">
        <v>314</v>
      </c>
      <c r="G13" s="25"/>
      <c r="H13" s="25">
        <f>VALUE(LEFT(B13,4))</f>
        <v>88.3</v>
      </c>
      <c r="I13" s="25"/>
      <c r="J13" s="25"/>
      <c r="K13" s="25"/>
      <c r="L13" s="25"/>
    </row>
    <row r="14" spans="1:17" x14ac:dyDescent="0.25">
      <c r="A14" s="25"/>
      <c r="B14" s="25"/>
      <c r="C14" s="25"/>
      <c r="D14" s="25"/>
      <c r="E14" s="25"/>
      <c r="F14" s="25"/>
      <c r="G14" s="25"/>
      <c r="H14" s="25"/>
      <c r="I14" s="25"/>
      <c r="J14" s="25"/>
      <c r="K14" s="25"/>
      <c r="L14" s="25"/>
    </row>
    <row r="15" spans="1:17" x14ac:dyDescent="0.25">
      <c r="A15" s="25"/>
      <c r="B15" s="25"/>
      <c r="C15" s="25"/>
      <c r="D15" s="25"/>
      <c r="E15" s="25"/>
      <c r="F15" s="25"/>
      <c r="G15" s="25"/>
      <c r="H15" s="25"/>
      <c r="I15" s="25"/>
      <c r="J15" s="25"/>
      <c r="K15" s="25"/>
      <c r="L15" s="25"/>
    </row>
    <row r="16" spans="1:17" x14ac:dyDescent="0.25">
      <c r="A16" s="25" t="s">
        <v>315</v>
      </c>
      <c r="B16" s="25" t="s">
        <v>316</v>
      </c>
      <c r="C16" s="25" t="s">
        <v>317</v>
      </c>
      <c r="D16" s="25" t="s">
        <v>318</v>
      </c>
      <c r="E16" s="25" t="s">
        <v>319</v>
      </c>
      <c r="F16" s="25" t="s">
        <v>320</v>
      </c>
      <c r="G16" s="25"/>
      <c r="H16" s="25"/>
      <c r="I16" s="25"/>
      <c r="J16" s="25"/>
      <c r="K16" s="25"/>
      <c r="L16" s="25"/>
    </row>
    <row r="17" spans="1:12" x14ac:dyDescent="0.25">
      <c r="A17" s="25" t="s">
        <v>321</v>
      </c>
      <c r="B17" s="25" t="s">
        <v>322</v>
      </c>
      <c r="C17" s="25" t="s">
        <v>323</v>
      </c>
      <c r="D17" s="25" t="s">
        <v>324</v>
      </c>
      <c r="E17" s="25" t="s">
        <v>325</v>
      </c>
      <c r="F17" s="25" t="s">
        <v>326</v>
      </c>
      <c r="G17" s="25"/>
      <c r="H17" s="25"/>
      <c r="I17" s="25"/>
      <c r="J17" s="25"/>
      <c r="K17" s="25"/>
      <c r="L17" s="25"/>
    </row>
    <row r="18" spans="1:12" x14ac:dyDescent="0.25">
      <c r="A18" s="25" t="s">
        <v>327</v>
      </c>
      <c r="B18" s="25" t="s">
        <v>310</v>
      </c>
      <c r="C18" s="25" t="s">
        <v>328</v>
      </c>
      <c r="D18" s="25" t="s">
        <v>329</v>
      </c>
      <c r="E18" s="25" t="s">
        <v>330</v>
      </c>
      <c r="F18" s="25" t="s">
        <v>331</v>
      </c>
      <c r="G18" s="25"/>
      <c r="H18" s="25"/>
      <c r="I18" s="25"/>
      <c r="J18" s="25"/>
      <c r="K18" s="25"/>
      <c r="L18" s="25"/>
    </row>
    <row r="19" spans="1:12" x14ac:dyDescent="0.25">
      <c r="A19" s="25" t="s">
        <v>332</v>
      </c>
      <c r="B19" s="25" t="s">
        <v>333</v>
      </c>
      <c r="C19" s="25" t="s">
        <v>334</v>
      </c>
      <c r="D19" s="25" t="s">
        <v>335</v>
      </c>
      <c r="E19" s="25" t="s">
        <v>336</v>
      </c>
      <c r="F19" s="25" t="s">
        <v>337</v>
      </c>
      <c r="G19" s="25"/>
      <c r="H19" s="25"/>
      <c r="I19" s="25"/>
      <c r="J19" s="25"/>
      <c r="K19" s="25"/>
      <c r="L19" s="25"/>
    </row>
    <row r="20" spans="1:12" x14ac:dyDescent="0.25">
      <c r="A20" s="25" t="s">
        <v>338</v>
      </c>
      <c r="B20" s="25" t="s">
        <v>339</v>
      </c>
      <c r="C20" s="25" t="s">
        <v>340</v>
      </c>
      <c r="D20" s="25" t="s">
        <v>341</v>
      </c>
      <c r="E20" s="25" t="s">
        <v>342</v>
      </c>
      <c r="F20" s="25" t="s">
        <v>343</v>
      </c>
      <c r="G20" s="25"/>
      <c r="H20" s="25"/>
      <c r="I20" s="25"/>
      <c r="J20" s="25"/>
      <c r="K20" s="25"/>
      <c r="L20" s="25"/>
    </row>
    <row r="21" spans="1:12" x14ac:dyDescent="0.25">
      <c r="A21" s="25" t="s">
        <v>344</v>
      </c>
      <c r="B21" s="25" t="s">
        <v>345</v>
      </c>
      <c r="C21" s="25" t="s">
        <v>346</v>
      </c>
      <c r="D21" s="25" t="s">
        <v>347</v>
      </c>
      <c r="E21" s="25" t="s">
        <v>348</v>
      </c>
      <c r="F21" s="25" t="s">
        <v>349</v>
      </c>
      <c r="G21" s="25"/>
      <c r="H21" s="25"/>
      <c r="I21" s="25"/>
      <c r="J21" s="25"/>
      <c r="K21" s="25"/>
      <c r="L21" s="25"/>
    </row>
    <row r="22" spans="1:12" x14ac:dyDescent="0.25">
      <c r="A22" s="25" t="s">
        <v>350</v>
      </c>
      <c r="B22" s="25" t="s">
        <v>351</v>
      </c>
      <c r="C22" s="25" t="s">
        <v>352</v>
      </c>
      <c r="D22" s="25" t="s">
        <v>353</v>
      </c>
      <c r="E22" s="25" t="s">
        <v>354</v>
      </c>
      <c r="F22" s="25" t="s">
        <v>355</v>
      </c>
      <c r="G22" s="25"/>
      <c r="H22" s="25"/>
      <c r="I22" s="25"/>
      <c r="J22" s="25" t="s">
        <v>356</v>
      </c>
      <c r="K22" s="25">
        <v>13500</v>
      </c>
      <c r="L22" s="25"/>
    </row>
    <row r="23" spans="1:12" x14ac:dyDescent="0.25">
      <c r="A23" s="25" t="s">
        <v>357</v>
      </c>
      <c r="B23" s="25" t="s">
        <v>358</v>
      </c>
      <c r="C23" s="25" t="s">
        <v>359</v>
      </c>
      <c r="D23" s="25" t="s">
        <v>360</v>
      </c>
      <c r="E23" s="25" t="s">
        <v>361</v>
      </c>
      <c r="F23" s="25" t="s">
        <v>362</v>
      </c>
      <c r="G23" s="25"/>
      <c r="H23" s="25"/>
      <c r="I23" s="25"/>
      <c r="J23" s="31">
        <v>0.1</v>
      </c>
      <c r="K23" s="25">
        <f>K22/10</f>
        <v>1350</v>
      </c>
      <c r="L23" s="25"/>
    </row>
    <row r="24" spans="1:12" x14ac:dyDescent="0.25">
      <c r="A24" s="25" t="s">
        <v>363</v>
      </c>
      <c r="B24" s="25" t="s">
        <v>364</v>
      </c>
      <c r="C24" s="25" t="s">
        <v>365</v>
      </c>
      <c r="D24" s="25" t="s">
        <v>366</v>
      </c>
      <c r="E24" s="25" t="s">
        <v>367</v>
      </c>
      <c r="F24" s="32">
        <v>2880708</v>
      </c>
      <c r="G24" s="25"/>
      <c r="H24" s="25"/>
      <c r="I24" s="25"/>
      <c r="J24" s="25"/>
      <c r="K24" s="25"/>
      <c r="L24" s="25"/>
    </row>
    <row r="25" spans="1:12" x14ac:dyDescent="0.25">
      <c r="A25" s="25"/>
      <c r="B25" s="25"/>
      <c r="C25" s="25"/>
      <c r="D25" s="25"/>
      <c r="E25" s="25"/>
      <c r="F25" s="25"/>
      <c r="G25" s="25"/>
      <c r="H25" s="25"/>
      <c r="I25" s="25"/>
      <c r="J25" s="25"/>
      <c r="K25" s="25"/>
      <c r="L25" s="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Charts</vt:lpstr>
      </vt:variant>
      <vt:variant>
        <vt:i4>25</vt:i4>
      </vt:variant>
      <vt:variant>
        <vt:lpstr>Named Ranges</vt:lpstr>
      </vt:variant>
      <vt:variant>
        <vt:i4>155</vt:i4>
      </vt:variant>
    </vt:vector>
  </HeadingPairs>
  <TitlesOfParts>
    <vt:vector size="187" baseType="lpstr">
      <vt:lpstr>myData</vt:lpstr>
      <vt:lpstr>time_series_19-covid-Confirmed</vt:lpstr>
      <vt:lpstr>Names</vt:lpstr>
      <vt:lpstr>solvMsgs</vt:lpstr>
      <vt:lpstr>TrueBlank</vt:lpstr>
      <vt:lpstr>Chart Index</vt:lpstr>
      <vt:lpstr>BedOccupancy</vt:lpstr>
      <vt:lpstr>chtFutureNSW</vt:lpstr>
      <vt:lpstr>chtFutureNSW100</vt:lpstr>
      <vt:lpstr>chtFutureNSWGen</vt:lpstr>
      <vt:lpstr>chtFutureNSWEarlyLS</vt:lpstr>
      <vt:lpstr>chtFutureItalyLS</vt:lpstr>
      <vt:lpstr>chtTests</vt:lpstr>
      <vt:lpstr>chtAsymptoteNSW (2)</vt:lpstr>
      <vt:lpstr>chtFutureItalyEarly (2)</vt:lpstr>
      <vt:lpstr>chtFutureSKoreaLS</vt:lpstr>
      <vt:lpstr>chtFutureChinaLS</vt:lpstr>
      <vt:lpstr>chtAllcases</vt:lpstr>
      <vt:lpstr>chtAsymptoteNSW</vt:lpstr>
      <vt:lpstr>chtFutureAllSK2</vt:lpstr>
      <vt:lpstr>chtFutureUK</vt:lpstr>
      <vt:lpstr>chtFutureSKorea</vt:lpstr>
      <vt:lpstr>chtFutureNSWUS</vt:lpstr>
      <vt:lpstr>chtFutureAll</vt:lpstr>
      <vt:lpstr>chtFutureNSWEarly</vt:lpstr>
      <vt:lpstr>chtFutureItalyEarly</vt:lpstr>
      <vt:lpstr>chtFutureItaly</vt:lpstr>
      <vt:lpstr>chtFutureUSEarly</vt:lpstr>
      <vt:lpstr>chtFutureUS</vt:lpstr>
      <vt:lpstr>chtFutureChina</vt:lpstr>
      <vt:lpstr>chtFutureAU</vt:lpstr>
      <vt:lpstr>chtFutureAllAU</vt:lpstr>
      <vt:lpstr>myData!Asymptote</vt:lpstr>
      <vt:lpstr>myData!Au100dt</vt:lpstr>
      <vt:lpstr>myData!AuLabel</vt:lpstr>
      <vt:lpstr>myData!AuMaxCasespc</vt:lpstr>
      <vt:lpstr>myData!AuPop</vt:lpstr>
      <vt:lpstr>myData!AuSeries</vt:lpstr>
      <vt:lpstr>myData!AuStart</vt:lpstr>
      <vt:lpstr>myData!beta</vt:lpstr>
      <vt:lpstr>myData!betaAu</vt:lpstr>
      <vt:lpstr>myData!betaChina</vt:lpstr>
      <vt:lpstr>myData!betaGeneric</vt:lpstr>
      <vt:lpstr>myData!betaItaly</vt:lpstr>
      <vt:lpstr>myData!betaNSW</vt:lpstr>
      <vt:lpstr>myData!betaPodelta</vt:lpstr>
      <vt:lpstr>myData!betaPodeltaAu</vt:lpstr>
      <vt:lpstr>myData!betaPodeltaChina</vt:lpstr>
      <vt:lpstr>myData!betaPodeltaGeneric</vt:lpstr>
      <vt:lpstr>myData!betaPodeltaItaly</vt:lpstr>
      <vt:lpstr>myData!betaPodeltaNSW</vt:lpstr>
      <vt:lpstr>myData!betaPodeltaSingapore</vt:lpstr>
      <vt:lpstr>myData!betaPodeltaSKorea</vt:lpstr>
      <vt:lpstr>myData!betaPodeltaTests</vt:lpstr>
      <vt:lpstr>myData!betaPodeltaUK</vt:lpstr>
      <vt:lpstr>myData!betaPodeltaUS</vt:lpstr>
      <vt:lpstr>myData!betaSingapore</vt:lpstr>
      <vt:lpstr>myData!betaSKorea</vt:lpstr>
      <vt:lpstr>myData!betaTests</vt:lpstr>
      <vt:lpstr>myData!betaUK</vt:lpstr>
      <vt:lpstr>myData!betaUS</vt:lpstr>
      <vt:lpstr>myData!China100dt</vt:lpstr>
      <vt:lpstr>myData!ChinaLabel</vt:lpstr>
      <vt:lpstr>myData!ChinaPop</vt:lpstr>
      <vt:lpstr>myData!ChinaSeries</vt:lpstr>
      <vt:lpstr>myData!ChinaStart</vt:lpstr>
      <vt:lpstr>Countries</vt:lpstr>
      <vt:lpstr>DayFrom100</vt:lpstr>
      <vt:lpstr>solvMsgs!DaysBack</vt:lpstr>
      <vt:lpstr>myData!delta</vt:lpstr>
      <vt:lpstr>myData!deltaAu</vt:lpstr>
      <vt:lpstr>myData!deltaChina</vt:lpstr>
      <vt:lpstr>myData!deltaconstraint</vt:lpstr>
      <vt:lpstr>myData!deltaGeneric</vt:lpstr>
      <vt:lpstr>myData!deltaItaly</vt:lpstr>
      <vt:lpstr>myData!deltaNSW</vt:lpstr>
      <vt:lpstr>myData!deltaSingapore</vt:lpstr>
      <vt:lpstr>myData!deltaSKorea</vt:lpstr>
      <vt:lpstr>myData!deltaTests</vt:lpstr>
      <vt:lpstr>myData!deltaUK</vt:lpstr>
      <vt:lpstr>myData!deltaUS</vt:lpstr>
      <vt:lpstr>myData!GenCountry</vt:lpstr>
      <vt:lpstr>myData!Generic100dt</vt:lpstr>
      <vt:lpstr>myData!GenericLabel</vt:lpstr>
      <vt:lpstr>myData!GenericPop</vt:lpstr>
      <vt:lpstr>myData!GenericSeries</vt:lpstr>
      <vt:lpstr>myData!GenericStart</vt:lpstr>
      <vt:lpstr>myData!GenMatch</vt:lpstr>
      <vt:lpstr>myData!GenName</vt:lpstr>
      <vt:lpstr>myData!GenPop</vt:lpstr>
      <vt:lpstr>myData!GenStart</vt:lpstr>
      <vt:lpstr>myData!GenState</vt:lpstr>
      <vt:lpstr>myData!HisTableCol1All</vt:lpstr>
      <vt:lpstr>myData!Italy100dt</vt:lpstr>
      <vt:lpstr>myData!ItalyLabel</vt:lpstr>
      <vt:lpstr>myData!ItalyPop</vt:lpstr>
      <vt:lpstr>myData!ItalySeries</vt:lpstr>
      <vt:lpstr>myData!ItalyStart</vt:lpstr>
      <vt:lpstr>solvMsgs!LastNDays</vt:lpstr>
      <vt:lpstr>myData!LogestBNSW</vt:lpstr>
      <vt:lpstr>myData!LogEstMNSW</vt:lpstr>
      <vt:lpstr>myData!LogFormula</vt:lpstr>
      <vt:lpstr>myData!MaxAusCases</vt:lpstr>
      <vt:lpstr>myData!MaxNSWCases</vt:lpstr>
      <vt:lpstr>solvMsgs!MinCases</vt:lpstr>
      <vt:lpstr>myData!msqAu</vt:lpstr>
      <vt:lpstr>myData!msqChina</vt:lpstr>
      <vt:lpstr>myData!msqGeneric</vt:lpstr>
      <vt:lpstr>myData!msqItaly</vt:lpstr>
      <vt:lpstr>myData!msqNSW</vt:lpstr>
      <vt:lpstr>myData!msqSingapore</vt:lpstr>
      <vt:lpstr>myData!msqSKorea</vt:lpstr>
      <vt:lpstr>myData!msqTests</vt:lpstr>
      <vt:lpstr>myData!msqUK</vt:lpstr>
      <vt:lpstr>myData!msqUS</vt:lpstr>
      <vt:lpstr>myData!mySolverPar</vt:lpstr>
      <vt:lpstr>myData!NSW100dt</vt:lpstr>
      <vt:lpstr>myData!NSWLabel</vt:lpstr>
      <vt:lpstr>myData!NSWLogestB</vt:lpstr>
      <vt:lpstr>myData!NSWLogestLabel</vt:lpstr>
      <vt:lpstr>myData!NSWLogestM</vt:lpstr>
      <vt:lpstr>myData!NSWLogestmsq</vt:lpstr>
      <vt:lpstr>myData!NSWLogestR2</vt:lpstr>
      <vt:lpstr>myData!NSWMaxCasespc</vt:lpstr>
      <vt:lpstr>myData!NSWpop</vt:lpstr>
      <vt:lpstr>myData!NSWSeries</vt:lpstr>
      <vt:lpstr>myData!nswstart</vt:lpstr>
      <vt:lpstr>myData!PerPerson</vt:lpstr>
      <vt:lpstr>PerPersonLabel</vt:lpstr>
      <vt:lpstr>myData!Po</vt:lpstr>
      <vt:lpstr>myData!PoAu</vt:lpstr>
      <vt:lpstr>myData!PoChina</vt:lpstr>
      <vt:lpstr>myData!PoGeneric</vt:lpstr>
      <vt:lpstr>myData!PoItaly</vt:lpstr>
      <vt:lpstr>myData!PoNSW</vt:lpstr>
      <vt:lpstr>myData!PopScaling</vt:lpstr>
      <vt:lpstr>myData!PoSingapore</vt:lpstr>
      <vt:lpstr>myData!PoSKorea</vt:lpstr>
      <vt:lpstr>myData!PoTests</vt:lpstr>
      <vt:lpstr>myData!PoUK</vt:lpstr>
      <vt:lpstr>myData!PoUS</vt:lpstr>
      <vt:lpstr>myData!RunTableTL</vt:lpstr>
      <vt:lpstr>myData!RunTableTR</vt:lpstr>
      <vt:lpstr>myData!RunTimeAu</vt:lpstr>
      <vt:lpstr>myData!Singapore100dt</vt:lpstr>
      <vt:lpstr>myData!SingaporeLabel</vt:lpstr>
      <vt:lpstr>myData!SingaporePop</vt:lpstr>
      <vt:lpstr>myData!SingaporeSeries</vt:lpstr>
      <vt:lpstr>myData!SingaporeStart</vt:lpstr>
      <vt:lpstr>myData!SKorea100dt</vt:lpstr>
      <vt:lpstr>myData!SKoreaLabel</vt:lpstr>
      <vt:lpstr>myData!SKoreaPop</vt:lpstr>
      <vt:lpstr>myData!SKoreaSeries</vt:lpstr>
      <vt:lpstr>myData!SKoreaStart</vt:lpstr>
      <vt:lpstr>SolverMsg</vt:lpstr>
      <vt:lpstr>myData!StartDt2Au</vt:lpstr>
      <vt:lpstr>myData!StartDt2China</vt:lpstr>
      <vt:lpstr>myData!StartDt2Generic</vt:lpstr>
      <vt:lpstr>myData!StartDt2Italy</vt:lpstr>
      <vt:lpstr>myData!StartDt2NSW</vt:lpstr>
      <vt:lpstr>myData!StartDt2Singapore</vt:lpstr>
      <vt:lpstr>myData!StartDt2SKorea</vt:lpstr>
      <vt:lpstr>myData!StartDt2Tests</vt:lpstr>
      <vt:lpstr>myData!StartDt2UK</vt:lpstr>
      <vt:lpstr>myData!StartDt2US</vt:lpstr>
      <vt:lpstr>solvMsgs!StartMethod</vt:lpstr>
      <vt:lpstr>myData!tableGeneric</vt:lpstr>
      <vt:lpstr>myData!TestsLabel</vt:lpstr>
      <vt:lpstr>myData!TestsLogestB</vt:lpstr>
      <vt:lpstr>myData!TestsLogestLabel</vt:lpstr>
      <vt:lpstr>myData!TestsLogestM</vt:lpstr>
      <vt:lpstr>myData!TestsLogestMsq</vt:lpstr>
      <vt:lpstr>myData!TestsPop</vt:lpstr>
      <vt:lpstr>myData!TestsStart</vt:lpstr>
      <vt:lpstr>myData!TitleAll</vt:lpstr>
      <vt:lpstr>myData!TitleAllSK</vt:lpstr>
      <vt:lpstr>myData!TitleCases</vt:lpstr>
      <vt:lpstr>myData!UK100dt</vt:lpstr>
      <vt:lpstr>myData!UKLabel</vt:lpstr>
      <vt:lpstr>myData!UKPop</vt:lpstr>
      <vt:lpstr>myData!UKSeries</vt:lpstr>
      <vt:lpstr>myData!UKStart</vt:lpstr>
      <vt:lpstr>myData!US100dt</vt:lpstr>
      <vt:lpstr>myData!USLabel</vt:lpstr>
      <vt:lpstr>myData!USpop</vt:lpstr>
      <vt:lpstr>myData!USSeries</vt:lpstr>
      <vt:lpstr>myData!USStart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dc:creator>
  <cp:lastModifiedBy>Kevin1</cp:lastModifiedBy>
  <dcterms:created xsi:type="dcterms:W3CDTF">2020-03-11T04:25:09Z</dcterms:created>
  <dcterms:modified xsi:type="dcterms:W3CDTF">2020-04-02T04:50:48Z</dcterms:modified>
</cp:coreProperties>
</file>