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illymbp/stock-exchange-berkeley/investing spreadsheets/"/>
    </mc:Choice>
  </mc:AlternateContent>
  <bookViews>
    <workbookView xWindow="5540" yWindow="460" windowWidth="28060" windowHeight="20540" activeTab="1"/>
  </bookViews>
  <sheets>
    <sheet name="Main" sheetId="1" r:id="rId1"/>
    <sheet name="Model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9" i="2" l="1"/>
  <c r="AP28" i="2"/>
  <c r="AP27" i="2"/>
  <c r="O6" i="2"/>
  <c r="P6" i="2"/>
  <c r="M6" i="2"/>
  <c r="Q6" i="2"/>
  <c r="N6" i="2"/>
  <c r="R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O7" i="2"/>
  <c r="P7" i="2"/>
  <c r="M7" i="2"/>
  <c r="Q7" i="2"/>
  <c r="N7" i="2"/>
  <c r="R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M8" i="2"/>
  <c r="AM12" i="2"/>
  <c r="O13" i="2"/>
  <c r="P13" i="2"/>
  <c r="M13" i="2"/>
  <c r="Q13" i="2"/>
  <c r="N13" i="2"/>
  <c r="R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O14" i="2"/>
  <c r="P14" i="2"/>
  <c r="M14" i="2"/>
  <c r="Q14" i="2"/>
  <c r="N14" i="2"/>
  <c r="R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O15" i="2"/>
  <c r="P15" i="2"/>
  <c r="M15" i="2"/>
  <c r="Q15" i="2"/>
  <c r="N15" i="2"/>
  <c r="R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M16" i="2"/>
  <c r="AM17" i="2"/>
  <c r="O18" i="2"/>
  <c r="P18" i="2"/>
  <c r="M18" i="2"/>
  <c r="Q18" i="2"/>
  <c r="N18" i="2"/>
  <c r="R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M19" i="2"/>
  <c r="AM20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L46" i="2"/>
  <c r="L44" i="2"/>
  <c r="X44" i="2"/>
  <c r="Y6" i="2"/>
  <c r="Y7" i="2"/>
  <c r="Y8" i="2"/>
  <c r="Y12" i="2"/>
  <c r="Y13" i="2"/>
  <c r="Y14" i="2"/>
  <c r="Y15" i="2"/>
  <c r="Y16" i="2"/>
  <c r="Y17" i="2"/>
  <c r="Y18" i="2"/>
  <c r="Y19" i="2"/>
  <c r="M8" i="2"/>
  <c r="M12" i="2"/>
  <c r="M16" i="2"/>
  <c r="M17" i="2"/>
  <c r="M19" i="2"/>
  <c r="M20" i="2"/>
  <c r="N8" i="2"/>
  <c r="N12" i="2"/>
  <c r="N16" i="2"/>
  <c r="N17" i="2"/>
  <c r="N19" i="2"/>
  <c r="N20" i="2"/>
  <c r="Y20" i="2"/>
  <c r="Y21" i="2"/>
  <c r="Y44" i="2"/>
  <c r="Z8" i="2"/>
  <c r="Z12" i="2"/>
  <c r="Z16" i="2"/>
  <c r="Z17" i="2"/>
  <c r="Z19" i="2"/>
  <c r="O8" i="2"/>
  <c r="O12" i="2"/>
  <c r="O16" i="2"/>
  <c r="O17" i="2"/>
  <c r="O19" i="2"/>
  <c r="O20" i="2"/>
  <c r="P8" i="2"/>
  <c r="P12" i="2"/>
  <c r="P16" i="2"/>
  <c r="P17" i="2"/>
  <c r="P19" i="2"/>
  <c r="P20" i="2"/>
  <c r="Q8" i="2"/>
  <c r="Q12" i="2"/>
  <c r="Q16" i="2"/>
  <c r="Q17" i="2"/>
  <c r="Q19" i="2"/>
  <c r="Q20" i="2"/>
  <c r="R8" i="2"/>
  <c r="R12" i="2"/>
  <c r="R16" i="2"/>
  <c r="R17" i="2"/>
  <c r="R19" i="2"/>
  <c r="R20" i="2"/>
  <c r="Z20" i="2"/>
  <c r="Z21" i="2"/>
  <c r="Z44" i="2"/>
  <c r="AA8" i="2"/>
  <c r="AA12" i="2"/>
  <c r="AA16" i="2"/>
  <c r="AA17" i="2"/>
  <c r="AA19" i="2"/>
  <c r="AA20" i="2"/>
  <c r="AA21" i="2"/>
  <c r="AA44" i="2"/>
  <c r="AB8" i="2"/>
  <c r="AB12" i="2"/>
  <c r="AB16" i="2"/>
  <c r="AB17" i="2"/>
  <c r="AB19" i="2"/>
  <c r="AB20" i="2"/>
  <c r="AB21" i="2"/>
  <c r="AB44" i="2"/>
  <c r="AC8" i="2"/>
  <c r="AC12" i="2"/>
  <c r="AC16" i="2"/>
  <c r="AC17" i="2"/>
  <c r="AC19" i="2"/>
  <c r="AC20" i="2"/>
  <c r="AC21" i="2"/>
  <c r="AC44" i="2"/>
  <c r="AD8" i="2"/>
  <c r="AD12" i="2"/>
  <c r="AD16" i="2"/>
  <c r="AD17" i="2"/>
  <c r="AD19" i="2"/>
  <c r="AD20" i="2"/>
  <c r="AD21" i="2"/>
  <c r="AD44" i="2"/>
  <c r="AE8" i="2"/>
  <c r="AE12" i="2"/>
  <c r="AE16" i="2"/>
  <c r="AE17" i="2"/>
  <c r="AE19" i="2"/>
  <c r="AE20" i="2"/>
  <c r="AE21" i="2"/>
  <c r="AE44" i="2"/>
  <c r="AF8" i="2"/>
  <c r="AF12" i="2"/>
  <c r="AF16" i="2"/>
  <c r="AF17" i="2"/>
  <c r="AF19" i="2"/>
  <c r="AF20" i="2"/>
  <c r="AF21" i="2"/>
  <c r="AF44" i="2"/>
  <c r="AG8" i="2"/>
  <c r="AG12" i="2"/>
  <c r="AG16" i="2"/>
  <c r="AG17" i="2"/>
  <c r="AG19" i="2"/>
  <c r="AG20" i="2"/>
  <c r="AG21" i="2"/>
  <c r="AG44" i="2"/>
  <c r="AH8" i="2"/>
  <c r="AH12" i="2"/>
  <c r="AH16" i="2"/>
  <c r="AH17" i="2"/>
  <c r="AH19" i="2"/>
  <c r="AH20" i="2"/>
  <c r="AH21" i="2"/>
  <c r="AH44" i="2"/>
  <c r="AI8" i="2"/>
  <c r="AI12" i="2"/>
  <c r="AI16" i="2"/>
  <c r="AI17" i="2"/>
  <c r="AI19" i="2"/>
  <c r="AI20" i="2"/>
  <c r="AI21" i="2"/>
  <c r="AI44" i="2"/>
  <c r="AJ8" i="2"/>
  <c r="AJ12" i="2"/>
  <c r="AJ16" i="2"/>
  <c r="AJ17" i="2"/>
  <c r="AJ19" i="2"/>
  <c r="AJ20" i="2"/>
  <c r="AJ21" i="2"/>
  <c r="AJ44" i="2"/>
  <c r="AK8" i="2"/>
  <c r="AK12" i="2"/>
  <c r="AK16" i="2"/>
  <c r="AK17" i="2"/>
  <c r="AK19" i="2"/>
  <c r="AK20" i="2"/>
  <c r="AK21" i="2"/>
  <c r="AK44" i="2"/>
  <c r="AL8" i="2"/>
  <c r="AL12" i="2"/>
  <c r="AL16" i="2"/>
  <c r="AL17" i="2"/>
  <c r="AL19" i="2"/>
  <c r="AL20" i="2"/>
  <c r="AL21" i="2"/>
  <c r="AL44" i="2"/>
  <c r="AM44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X13" i="2"/>
  <c r="X14" i="2"/>
  <c r="X15" i="2"/>
  <c r="X16" i="2"/>
  <c r="Y28" i="2"/>
  <c r="AM25" i="2"/>
  <c r="AL25" i="2"/>
  <c r="AK25" i="2"/>
  <c r="AJ25" i="2"/>
  <c r="AI25" i="2"/>
  <c r="AH25" i="2"/>
  <c r="AG25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M23" i="2"/>
  <c r="N23" i="2"/>
  <c r="O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M22" i="2"/>
  <c r="AL22" i="2"/>
  <c r="AK22" i="2"/>
  <c r="AJ22" i="2"/>
  <c r="AI22" i="2"/>
  <c r="AH22" i="2"/>
  <c r="AG22" i="2"/>
  <c r="W13" i="2"/>
  <c r="W14" i="2"/>
  <c r="W15" i="2"/>
  <c r="W16" i="2"/>
  <c r="V16" i="2"/>
  <c r="W28" i="2"/>
  <c r="U16" i="2"/>
  <c r="V28" i="2"/>
  <c r="T16" i="2"/>
  <c r="U28" i="2"/>
  <c r="X28" i="2"/>
  <c r="R28" i="2"/>
  <c r="Q28" i="2"/>
  <c r="L8" i="2"/>
  <c r="L11" i="2"/>
  <c r="L12" i="2"/>
  <c r="L16" i="2"/>
  <c r="L17" i="2"/>
  <c r="P28" i="2"/>
  <c r="K8" i="2"/>
  <c r="K11" i="2"/>
  <c r="K12" i="2"/>
  <c r="K16" i="2"/>
  <c r="K17" i="2"/>
  <c r="O28" i="2"/>
  <c r="J8" i="2"/>
  <c r="J11" i="2"/>
  <c r="J12" i="2"/>
  <c r="J16" i="2"/>
  <c r="J17" i="2"/>
  <c r="N28" i="2"/>
  <c r="I8" i="2"/>
  <c r="I11" i="2"/>
  <c r="I12" i="2"/>
  <c r="I16" i="2"/>
  <c r="I17" i="2"/>
  <c r="M28" i="2"/>
  <c r="G8" i="2"/>
  <c r="G11" i="2"/>
  <c r="G12" i="2"/>
  <c r="G16" i="2"/>
  <c r="G17" i="2"/>
  <c r="K28" i="2"/>
  <c r="F8" i="2"/>
  <c r="F11" i="2"/>
  <c r="F12" i="2"/>
  <c r="F16" i="2"/>
  <c r="F17" i="2"/>
  <c r="J28" i="2"/>
  <c r="E8" i="2"/>
  <c r="E11" i="2"/>
  <c r="E12" i="2"/>
  <c r="E16" i="2"/>
  <c r="E17" i="2"/>
  <c r="I28" i="2"/>
  <c r="H8" i="2"/>
  <c r="H11" i="2"/>
  <c r="H12" i="2"/>
  <c r="H16" i="2"/>
  <c r="H17" i="2"/>
  <c r="D8" i="2"/>
  <c r="D11" i="2"/>
  <c r="D12" i="2"/>
  <c r="D16" i="2"/>
  <c r="D17" i="2"/>
  <c r="H28" i="2"/>
  <c r="C8" i="2"/>
  <c r="C11" i="2"/>
  <c r="C12" i="2"/>
  <c r="C16" i="2"/>
  <c r="C17" i="2"/>
  <c r="G28" i="2"/>
  <c r="L28" i="2"/>
  <c r="R27" i="2"/>
  <c r="Q27" i="2"/>
  <c r="P27" i="2"/>
  <c r="O27" i="2"/>
  <c r="N27" i="2"/>
  <c r="M27" i="2"/>
  <c r="R26" i="2"/>
  <c r="Q26" i="2"/>
  <c r="P26" i="2"/>
  <c r="O26" i="2"/>
  <c r="N26" i="2"/>
  <c r="M26" i="2"/>
  <c r="L27" i="2"/>
  <c r="K27" i="2"/>
  <c r="J27" i="2"/>
  <c r="I27" i="2"/>
  <c r="H27" i="2"/>
  <c r="G27" i="2"/>
  <c r="K26" i="2"/>
  <c r="J26" i="2"/>
  <c r="I26" i="2"/>
  <c r="H26" i="2"/>
  <c r="G26" i="2"/>
  <c r="L26" i="2"/>
  <c r="AF22" i="2"/>
  <c r="AE22" i="2"/>
  <c r="AD22" i="2"/>
  <c r="AC22" i="2"/>
  <c r="AB22" i="2"/>
  <c r="AA22" i="2"/>
  <c r="AF25" i="2"/>
  <c r="AE25" i="2"/>
  <c r="AD25" i="2"/>
  <c r="AC25" i="2"/>
  <c r="AB25" i="2"/>
  <c r="AA25" i="2"/>
  <c r="Z27" i="2"/>
  <c r="X7" i="2"/>
  <c r="Y27" i="2"/>
  <c r="Z26" i="2"/>
  <c r="X6" i="2"/>
  <c r="Y26" i="2"/>
  <c r="Z25" i="2"/>
  <c r="X8" i="2"/>
  <c r="Y25" i="2"/>
  <c r="Z22" i="2"/>
  <c r="Z11" i="2"/>
  <c r="Y11" i="2"/>
  <c r="Y23" i="2"/>
  <c r="Y22" i="2"/>
  <c r="K58" i="2"/>
  <c r="K48" i="2"/>
  <c r="K46" i="2"/>
  <c r="K61" i="2"/>
  <c r="K63" i="2"/>
  <c r="K53" i="2"/>
  <c r="K44" i="2"/>
  <c r="P23" i="2"/>
  <c r="Q23" i="2"/>
  <c r="R23" i="2"/>
  <c r="R21" i="2"/>
  <c r="R22" i="2"/>
  <c r="Q21" i="2"/>
  <c r="Q22" i="2"/>
  <c r="P21" i="2"/>
  <c r="P22" i="2"/>
  <c r="O21" i="2"/>
  <c r="O22" i="2"/>
  <c r="N21" i="2"/>
  <c r="N22" i="2"/>
  <c r="M21" i="2"/>
  <c r="M22" i="2"/>
  <c r="R41" i="2"/>
  <c r="Q41" i="2"/>
  <c r="P41" i="2"/>
  <c r="O41" i="2"/>
  <c r="N41" i="2"/>
  <c r="M41" i="2"/>
  <c r="K19" i="2"/>
  <c r="K41" i="2"/>
  <c r="J19" i="2"/>
  <c r="J41" i="2"/>
  <c r="I19" i="2"/>
  <c r="I41" i="2"/>
  <c r="H19" i="2"/>
  <c r="H41" i="2"/>
  <c r="G19" i="2"/>
  <c r="G41" i="2"/>
  <c r="L19" i="2"/>
  <c r="L41" i="2"/>
  <c r="K40" i="2"/>
  <c r="J40" i="2"/>
  <c r="I40" i="2"/>
  <c r="H40" i="2"/>
  <c r="G40" i="2"/>
  <c r="L40" i="2"/>
  <c r="R11" i="2"/>
  <c r="Q11" i="2"/>
  <c r="P11" i="2"/>
  <c r="O11" i="2"/>
  <c r="N11" i="2"/>
  <c r="M11" i="2"/>
  <c r="R40" i="2"/>
  <c r="Q40" i="2"/>
  <c r="P40" i="2"/>
  <c r="O40" i="2"/>
  <c r="N40" i="2"/>
  <c r="M40" i="2"/>
  <c r="R39" i="2"/>
  <c r="Q39" i="2"/>
  <c r="P39" i="2"/>
  <c r="O39" i="2"/>
  <c r="N39" i="2"/>
  <c r="M39" i="2"/>
  <c r="R32" i="2"/>
  <c r="Q32" i="2"/>
  <c r="L21" i="2"/>
  <c r="P32" i="2"/>
  <c r="K21" i="2"/>
  <c r="O32" i="2"/>
  <c r="J21" i="2"/>
  <c r="N32" i="2"/>
  <c r="I21" i="2"/>
  <c r="M32" i="2"/>
  <c r="R25" i="2"/>
  <c r="Q25" i="2"/>
  <c r="P25" i="2"/>
  <c r="O25" i="2"/>
  <c r="N25" i="2"/>
  <c r="M25" i="2"/>
  <c r="K39" i="2"/>
  <c r="J39" i="2"/>
  <c r="I39" i="2"/>
  <c r="H39" i="2"/>
  <c r="G39" i="2"/>
  <c r="L39" i="2"/>
  <c r="G21" i="2"/>
  <c r="K32" i="2"/>
  <c r="F19" i="2"/>
  <c r="F21" i="2"/>
  <c r="J32" i="2"/>
  <c r="E19" i="2"/>
  <c r="E21" i="2"/>
  <c r="I32" i="2"/>
  <c r="H21" i="2"/>
  <c r="D19" i="2"/>
  <c r="D21" i="2"/>
  <c r="H32" i="2"/>
  <c r="C19" i="2"/>
  <c r="C21" i="2"/>
  <c r="G32" i="2"/>
  <c r="L32" i="2"/>
  <c r="W7" i="2"/>
  <c r="W27" i="2"/>
  <c r="V27" i="2"/>
  <c r="U27" i="2"/>
  <c r="W6" i="2"/>
  <c r="W26" i="2"/>
  <c r="V26" i="2"/>
  <c r="U26" i="2"/>
  <c r="W8" i="2"/>
  <c r="V8" i="2"/>
  <c r="W25" i="2"/>
  <c r="U8" i="2"/>
  <c r="V25" i="2"/>
  <c r="T8" i="2"/>
  <c r="U25" i="2"/>
  <c r="T11" i="2"/>
  <c r="T12" i="2"/>
  <c r="T17" i="2"/>
  <c r="T19" i="2"/>
  <c r="T21" i="2"/>
  <c r="T22" i="2"/>
  <c r="U11" i="2"/>
  <c r="U12" i="2"/>
  <c r="U17" i="2"/>
  <c r="U19" i="2"/>
  <c r="U21" i="2"/>
  <c r="U22" i="2"/>
  <c r="V11" i="2"/>
  <c r="V12" i="2"/>
  <c r="V17" i="2"/>
  <c r="V19" i="2"/>
  <c r="V21" i="2"/>
  <c r="V22" i="2"/>
  <c r="X27" i="2"/>
  <c r="X25" i="2"/>
  <c r="X26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X23" i="2"/>
  <c r="X9" i="2"/>
  <c r="X10" i="2"/>
  <c r="X11" i="2"/>
  <c r="X12" i="2"/>
  <c r="X17" i="2"/>
  <c r="X18" i="2"/>
  <c r="X19" i="2"/>
  <c r="X20" i="2"/>
  <c r="X21" i="2"/>
  <c r="X22" i="2"/>
  <c r="W9" i="2"/>
  <c r="W10" i="2"/>
  <c r="W11" i="2"/>
  <c r="W12" i="2"/>
  <c r="W17" i="2"/>
  <c r="W18" i="2"/>
  <c r="W19" i="2"/>
  <c r="W20" i="2"/>
  <c r="W21" i="2"/>
  <c r="W23" i="2"/>
  <c r="W22" i="2"/>
  <c r="L22" i="2"/>
  <c r="I25" i="2"/>
  <c r="G25" i="2"/>
  <c r="K25" i="2"/>
  <c r="H25" i="2"/>
  <c r="L58" i="2"/>
  <c r="L61" i="2"/>
  <c r="L63" i="2"/>
  <c r="L48" i="2"/>
  <c r="J4" i="1"/>
  <c r="J5" i="1"/>
  <c r="J7" i="1"/>
  <c r="J25" i="2"/>
  <c r="L53" i="2"/>
  <c r="L25" i="2"/>
  <c r="C22" i="2"/>
  <c r="D22" i="2"/>
  <c r="F22" i="2"/>
  <c r="E22" i="2"/>
  <c r="J22" i="2"/>
  <c r="I22" i="2"/>
  <c r="G22" i="2"/>
  <c r="K22" i="2"/>
  <c r="H22" i="2"/>
</calcChain>
</file>

<file path=xl/sharedStrings.xml><?xml version="1.0" encoding="utf-8"?>
<sst xmlns="http://schemas.openxmlformats.org/spreadsheetml/2006/main" count="73" uniqueCount="70">
  <si>
    <t>Price</t>
  </si>
  <si>
    <t>Shares</t>
  </si>
  <si>
    <t>MC</t>
  </si>
  <si>
    <t>Cash</t>
  </si>
  <si>
    <t>Debt</t>
  </si>
  <si>
    <t>EV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</si>
  <si>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</si>
  <si>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</si>
  <si>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</si>
  <si>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</si>
  <si>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</si>
  <si>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</si>
  <si>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</si>
  <si>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</si>
  <si>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</si>
  <si>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</si>
  <si>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</si>
  <si>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</si>
  <si>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A/R</t>
  </si>
  <si>
    <t>DR</t>
  </si>
  <si>
    <t>Prepaids</t>
  </si>
  <si>
    <t>PP&amp;E</t>
  </si>
  <si>
    <t>Goodwill + Intangibles</t>
  </si>
  <si>
    <t>OA</t>
  </si>
  <si>
    <t>Assets</t>
  </si>
  <si>
    <t>A/P</t>
  </si>
  <si>
    <t>Unearned Revenue</t>
  </si>
  <si>
    <t>Accrued Expenses</t>
  </si>
  <si>
    <t>Accrued Compensation</t>
  </si>
  <si>
    <t>OL</t>
  </si>
  <si>
    <t>S/E</t>
  </si>
  <si>
    <t>Liabilities</t>
  </si>
  <si>
    <t>L + S/E</t>
  </si>
  <si>
    <t>Subscription</t>
  </si>
  <si>
    <t>Professional</t>
  </si>
  <si>
    <t>Revenue</t>
  </si>
  <si>
    <t>COGS</t>
  </si>
  <si>
    <t>Subscription COGS</t>
  </si>
  <si>
    <t>Professional COGS</t>
  </si>
  <si>
    <t>R&amp;D</t>
  </si>
  <si>
    <t>S&amp;M</t>
  </si>
  <si>
    <t>G&amp;A</t>
  </si>
  <si>
    <t>Operating Expenses</t>
  </si>
  <si>
    <t>Operating Income</t>
  </si>
  <si>
    <t>Other Expenses</t>
  </si>
  <si>
    <t>Pretax Income</t>
  </si>
  <si>
    <t>Taxes</t>
  </si>
  <si>
    <t>Net Income</t>
  </si>
  <si>
    <t>Gross Profit</t>
  </si>
  <si>
    <t>EPS</t>
  </si>
  <si>
    <t>Q114</t>
  </si>
  <si>
    <t>Q214</t>
  </si>
  <si>
    <t>Q314</t>
  </si>
  <si>
    <t>Q414</t>
  </si>
  <si>
    <t>Revenue Y/Y</t>
  </si>
  <si>
    <t>Subscription Y/Y</t>
  </si>
  <si>
    <t>Professional Y/Y</t>
  </si>
  <si>
    <t>Operating Margin</t>
  </si>
  <si>
    <t>Net Income Y/Y</t>
  </si>
  <si>
    <t>Gross Margin</t>
  </si>
  <si>
    <t>Tax Rate</t>
  </si>
  <si>
    <t>Net Cash</t>
  </si>
  <si>
    <t>Operating Expenses Y/Y</t>
  </si>
  <si>
    <t>Maturity</t>
  </si>
  <si>
    <t>ROIC</t>
  </si>
  <si>
    <t>Discount</t>
  </si>
  <si>
    <t>NPV</t>
  </si>
  <si>
    <t>Share</t>
  </si>
  <si>
    <t>Net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</si>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</sst>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2" fontId="1" fillId="0" borderId="0" xfId="0" applyNumberFormat="1" applyFont="1"/>
    <xf numFmtId="9" fontId="2" fillId="0" borderId="0" xfId="0" applyNumberFormat="1" applyFont="1"/>
    <xf numFmtId="14" fontId="3" fillId="0" borderId="0" xfId="0" applyNumberFormat="1" applyFont="1"/>
    <xf numFmtId="9" fontId="1" fillId="0" borderId="0" xfId="0" applyNumberFormat="1" applyFont="1"/>
    <xf numFmtId="3" fontId="1" fillId="2" borderId="0" xfId="0" applyNumberFormat="1" applyFont="1" applyFill="1"/>
    <xf numFmtId="167" fontId="1" fillId="0" borderId="0" xfId="0" applyNumberFormat="1" applyFont="1"/>
    <xf numFmtId="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6598</xdr:colOff>
      <xdr:row>0</xdr:row>
      <xdr:rowOff>0</xdr:rowOff>
    </xdr:from>
    <xdr:to>
      <xdr:col>12</xdr:col>
      <xdr:colOff>6598</xdr:colOff>
      <xdr:row>70</xdr:row>
      <xdr:rowOff>85725</xdr:rowOff>
    </xdr:to>
    <xdr:cxnSp macro="">
      <xdr:nvCxnSpPr>
        <xdr:cNvPr id="3" name="Straight Connector 2"/>
        <xdr:cNvCxnSpPr/>
      </xdr:nvCxnSpPr>
      <xdr:spPr>
        <a:xfrm>
          <a:off x="8794998" y="0"/>
          <a:ext cx="0" cy="105708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77718</xdr:colOff>
      <xdr:row>0</xdr:row>
      <xdr:rowOff>0</xdr:rowOff>
    </xdr:from>
    <xdr:to>
      <xdr:col>24</xdr:col>
      <xdr:colOff>77718</xdr:colOff>
      <xdr:row>70</xdr:row>
      <xdr:rowOff>85725</xdr:rowOff>
    </xdr:to>
    <xdr:cxnSp macro="">
      <xdr:nvCxnSpPr>
        <xdr:cNvPr id="4" name="Straight Connector 3"/>
        <xdr:cNvCxnSpPr/>
      </xdr:nvCxnSpPr>
      <xdr:spPr>
        <a:xfrm>
          <a:off x="18133805" y="0"/>
          <a:ext cx="0" cy="97045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7"/>
  <sheetViews>
    <sheetView topLeftCell="F1" workbookViewId="0">
      <selection activeCell="K15" sqref="K15"/>
    </sheetView>
  </sheetViews>
  <sheetFormatPr baseColWidth="10" defaultColWidth="8.83203125" defaultRowHeight="13" x14ac:dyDescent="0.15"/>
  <cols>
    <col min="1" max="9" width="8.83203125" style="1"/>
    <col min="10" max="10" width="9.6640625" style="1" customWidth="1"/>
    <col min="11" max="16384" width="8.83203125" style="1"/>
  </cols>
  <sheetData>
    <row r="2" spans="9:10" x14ac:dyDescent="0.15">
      <c r="I2" s="1" t="s">
        <v>0</v>
      </c>
      <c r="J2" s="1">
        <v>87.01</v>
      </c>
    </row>
    <row r="3" spans="9:10" x14ac:dyDescent="0.15">
      <c r="I3" s="1" t="s">
        <v>1</v>
      </c>
      <c r="J3" s="2">
        <v>200000</v>
      </c>
    </row>
    <row r="4" spans="9:10" x14ac:dyDescent="0.15">
      <c r="I4" s="1" t="s">
        <v>2</v>
      </c>
      <c r="J4" s="2">
        <f>J2*J3</f>
        <v>17402000</v>
      </c>
    </row>
    <row r="5" spans="9:10" x14ac:dyDescent="0.15">
      <c r="I5" s="1" t="s">
        <v>3</v>
      </c>
      <c r="J5" s="2">
        <f>405529+1662381</f>
        <v>2067910</v>
      </c>
    </row>
    <row r="6" spans="9:10" x14ac:dyDescent="0.15">
      <c r="I6" s="1" t="s">
        <v>4</v>
      </c>
      <c r="J6" s="2">
        <v>520765</v>
      </c>
    </row>
    <row r="7" spans="9:10" x14ac:dyDescent="0.15">
      <c r="I7" s="1" t="s">
        <v>5</v>
      </c>
      <c r="J7" s="2">
        <f>J4-J5+J6</f>
        <v>15854855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I63"/>
  <sheetViews>
    <sheetView tabSelected="1" zoomScale="125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M21" sqref="M21"/>
    </sheetView>
  </sheetViews>
  <sheetFormatPr baseColWidth="10" defaultColWidth="8.83203125" defaultRowHeight="13" x14ac:dyDescent="0.15"/>
  <cols>
    <col min="1" max="1" width="3.1640625" style="1" customWidth="1"/>
    <col min="2" max="2" width="19.83203125" style="1" bestFit="1" customWidth="1"/>
    <col min="3" max="6" width="9.6640625" style="1" customWidth="1"/>
    <col min="7" max="11" width="8.83203125" style="1"/>
    <col min="12" max="12" width="10" style="1" customWidth="1"/>
    <col min="13" max="13" width="8.83203125" style="1"/>
    <col min="14" max="14" width="9" style="1" customWidth="1"/>
    <col min="15" max="28" width="8.83203125" style="1"/>
    <col min="29" max="29" width="9.6640625" style="1" customWidth="1"/>
    <col min="30" max="31" width="9.5" style="1" customWidth="1"/>
    <col min="32" max="39" width="9.33203125" style="1" customWidth="1"/>
    <col min="40" max="41" width="8.83203125" style="1"/>
    <col min="42" max="42" width="13" style="1" bestFit="1" customWidth="1"/>
    <col min="43" max="16384" width="8.83203125" style="1"/>
  </cols>
  <sheetData>
    <row r="1" spans="2:39" x14ac:dyDescent="0.15">
      <c r="C1" s="6">
        <v>41759</v>
      </c>
      <c r="D1" s="6">
        <v>41851</v>
      </c>
      <c r="E1" s="6">
        <v>41943</v>
      </c>
      <c r="F1" s="6">
        <v>42035</v>
      </c>
      <c r="G1" s="6">
        <v>42124</v>
      </c>
      <c r="H1" s="6">
        <v>42216</v>
      </c>
      <c r="I1" s="6">
        <v>42308</v>
      </c>
      <c r="J1" s="6">
        <v>42400</v>
      </c>
      <c r="K1" s="6">
        <v>42490</v>
      </c>
      <c r="L1" s="6">
        <v>42582</v>
      </c>
    </row>
    <row r="2" spans="2:39" x14ac:dyDescent="0.15">
      <c r="C2" s="1" t="s">
        <v>50</v>
      </c>
      <c r="D2" s="1" t="s">
        <v>51</v>
      </c>
      <c r="E2" s="1" t="s">
        <v>52</v>
      </c>
      <c r="F2" s="1" t="s">
        <v>53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T2" s="1">
        <v>2011</v>
      </c>
      <c r="U2" s="1">
        <f>T2+1</f>
        <v>2012</v>
      </c>
      <c r="V2" s="1">
        <f t="shared" ref="V2" si="0">U2+1</f>
        <v>2013</v>
      </c>
      <c r="W2" s="1">
        <f t="shared" ref="W2" si="1">V2+1</f>
        <v>2014</v>
      </c>
      <c r="X2" s="1">
        <f t="shared" ref="X2" si="2">W2+1</f>
        <v>2015</v>
      </c>
      <c r="Y2" s="1">
        <f t="shared" ref="Y2" si="3">X2+1</f>
        <v>2016</v>
      </c>
      <c r="Z2" s="1">
        <f t="shared" ref="Z2" si="4">Y2+1</f>
        <v>2017</v>
      </c>
      <c r="AA2" s="1">
        <f t="shared" ref="AA2" si="5">Z2+1</f>
        <v>2018</v>
      </c>
      <c r="AB2" s="1">
        <f t="shared" ref="AB2" si="6">AA2+1</f>
        <v>2019</v>
      </c>
      <c r="AC2" s="1">
        <f t="shared" ref="AC2" si="7">AB2+1</f>
        <v>2020</v>
      </c>
      <c r="AD2" s="1">
        <f t="shared" ref="AD2" si="8">AC2+1</f>
        <v>2021</v>
      </c>
      <c r="AE2" s="1">
        <f t="shared" ref="AE2" si="9">AD2+1</f>
        <v>2022</v>
      </c>
      <c r="AF2" s="1">
        <f t="shared" ref="AF2" si="10">AE2+1</f>
        <v>2023</v>
      </c>
      <c r="AG2" s="1">
        <f t="shared" ref="AG2" si="11">AF2+1</f>
        <v>2024</v>
      </c>
      <c r="AH2" s="1">
        <f t="shared" ref="AH2" si="12">AG2+1</f>
        <v>2025</v>
      </c>
      <c r="AI2" s="1">
        <f t="shared" ref="AI2" si="13">AH2+1</f>
        <v>2026</v>
      </c>
      <c r="AJ2" s="1">
        <f t="shared" ref="AJ2" si="14">AI2+1</f>
        <v>2027</v>
      </c>
      <c r="AK2" s="1">
        <f>AJ2+1</f>
        <v>2028</v>
      </c>
      <c r="AL2" s="1">
        <f>AK2+1</f>
        <v>2029</v>
      </c>
      <c r="AM2" s="1">
        <f>AL2+1</f>
        <v>2030</v>
      </c>
    </row>
    <row r="6" spans="2:39" s="2" customFormat="1" x14ac:dyDescent="0.15">
      <c r="B6" s="2" t="s">
        <v>33</v>
      </c>
      <c r="C6" s="2">
        <v>123407</v>
      </c>
      <c r="D6" s="2">
        <v>143652</v>
      </c>
      <c r="E6" s="2">
        <v>164403</v>
      </c>
      <c r="F6" s="2">
        <v>181866</v>
      </c>
      <c r="G6" s="2">
        <v>200993</v>
      </c>
      <c r="H6" s="2">
        <v>223742</v>
      </c>
      <c r="I6" s="2">
        <v>242700</v>
      </c>
      <c r="J6" s="2">
        <v>261799</v>
      </c>
      <c r="K6" s="2">
        <v>280003</v>
      </c>
      <c r="L6" s="2">
        <v>306228</v>
      </c>
      <c r="M6" s="2">
        <f>I6*1.3</f>
        <v>315510</v>
      </c>
      <c r="N6" s="2">
        <f t="shared" ref="N6:R7" si="15">J6*1.3</f>
        <v>340338.7</v>
      </c>
      <c r="O6" s="2">
        <f t="shared" si="15"/>
        <v>364003.9</v>
      </c>
      <c r="P6" s="2">
        <f t="shared" si="15"/>
        <v>398096.4</v>
      </c>
      <c r="Q6" s="2">
        <f t="shared" si="15"/>
        <v>410163</v>
      </c>
      <c r="R6" s="2">
        <f t="shared" si="15"/>
        <v>442440.31000000006</v>
      </c>
      <c r="T6" s="2">
        <v>88634</v>
      </c>
      <c r="U6" s="2">
        <v>190320</v>
      </c>
      <c r="V6" s="2">
        <v>354169</v>
      </c>
      <c r="W6" s="2">
        <f>SUM(C6:F6)</f>
        <v>613328</v>
      </c>
      <c r="X6" s="2">
        <f>SUM(G6:J6)</f>
        <v>929234</v>
      </c>
      <c r="Y6" s="2">
        <f>SUM(K6:N6)</f>
        <v>1242079.7</v>
      </c>
      <c r="Z6" s="2">
        <f>SUM(O6:R6)</f>
        <v>1614703.61</v>
      </c>
      <c r="AA6" s="2">
        <f>Z6*1.3</f>
        <v>2099114.6930000004</v>
      </c>
      <c r="AB6" s="2">
        <f t="shared" ref="AB6:AF6" si="16">AA6*1.3</f>
        <v>2728849.1009000009</v>
      </c>
      <c r="AC6" s="2">
        <f t="shared" si="16"/>
        <v>3547503.8311700011</v>
      </c>
      <c r="AD6" s="2">
        <f t="shared" si="16"/>
        <v>4611754.9805210019</v>
      </c>
      <c r="AE6" s="2">
        <f t="shared" si="16"/>
        <v>5995281.4746773029</v>
      </c>
      <c r="AF6" s="2">
        <f t="shared" si="16"/>
        <v>7793865.9170804936</v>
      </c>
      <c r="AG6" s="2">
        <f t="shared" ref="AG6:AM6" si="17">AF6*1.3</f>
        <v>10132025.692204641</v>
      </c>
      <c r="AH6" s="2">
        <f t="shared" si="17"/>
        <v>13171633.399866033</v>
      </c>
      <c r="AI6" s="2">
        <f t="shared" si="17"/>
        <v>17123123.419825844</v>
      </c>
      <c r="AJ6" s="2">
        <f t="shared" si="17"/>
        <v>22260060.445773598</v>
      </c>
      <c r="AK6" s="2">
        <f t="shared" si="17"/>
        <v>28938078.579505678</v>
      </c>
      <c r="AL6" s="2">
        <f t="shared" si="17"/>
        <v>37619502.153357387</v>
      </c>
      <c r="AM6" s="2">
        <f t="shared" si="17"/>
        <v>48905352.799364604</v>
      </c>
    </row>
    <row r="7" spans="2:39" s="2" customFormat="1" x14ac:dyDescent="0.15">
      <c r="B7" s="2" t="s">
        <v>34</v>
      </c>
      <c r="C7" s="2">
        <v>36330</v>
      </c>
      <c r="D7" s="2">
        <v>43128</v>
      </c>
      <c r="E7" s="2">
        <v>50667</v>
      </c>
      <c r="F7" s="2">
        <v>44407</v>
      </c>
      <c r="G7" s="2">
        <v>49964</v>
      </c>
      <c r="H7" s="2">
        <v>58954</v>
      </c>
      <c r="I7" s="2">
        <v>62566</v>
      </c>
      <c r="J7" s="2">
        <v>61628</v>
      </c>
      <c r="K7" s="2">
        <v>65427</v>
      </c>
      <c r="L7" s="2">
        <v>71495</v>
      </c>
      <c r="M7" s="2">
        <f>I7*1.3</f>
        <v>81335.8</v>
      </c>
      <c r="N7" s="2">
        <f t="shared" si="15"/>
        <v>80116.400000000009</v>
      </c>
      <c r="O7" s="2">
        <f t="shared" si="15"/>
        <v>85055.1</v>
      </c>
      <c r="P7" s="2">
        <f t="shared" si="15"/>
        <v>92943.5</v>
      </c>
      <c r="Q7" s="2">
        <f t="shared" si="15"/>
        <v>105736.54000000001</v>
      </c>
      <c r="R7" s="2">
        <f t="shared" si="15"/>
        <v>104151.32000000002</v>
      </c>
      <c r="T7" s="2">
        <v>45793</v>
      </c>
      <c r="U7" s="2">
        <v>83337</v>
      </c>
      <c r="V7" s="2">
        <v>114769</v>
      </c>
      <c r="W7" s="2">
        <f>SUM(C7:F7)</f>
        <v>174532</v>
      </c>
      <c r="X7" s="2">
        <f>SUM(G7:J7)</f>
        <v>233112</v>
      </c>
      <c r="Y7" s="2">
        <f>SUM(K7:N7)</f>
        <v>298374.2</v>
      </c>
      <c r="Z7" s="2">
        <f>SUM(O7:R7)</f>
        <v>387886.46</v>
      </c>
      <c r="AA7" s="2">
        <f t="shared" ref="AA7:AF7" si="18">Z7*1.3</f>
        <v>504252.39800000004</v>
      </c>
      <c r="AB7" s="2">
        <f t="shared" si="18"/>
        <v>655528.1174000001</v>
      </c>
      <c r="AC7" s="2">
        <f t="shared" si="18"/>
        <v>852186.55262000021</v>
      </c>
      <c r="AD7" s="2">
        <f t="shared" si="18"/>
        <v>1107842.5184060002</v>
      </c>
      <c r="AE7" s="2">
        <f t="shared" si="18"/>
        <v>1440195.2739278004</v>
      </c>
      <c r="AF7" s="2">
        <f t="shared" si="18"/>
        <v>1872253.8561061404</v>
      </c>
      <c r="AG7" s="2">
        <f t="shared" ref="AG7:AM7" si="19">AF7*1.3</f>
        <v>2433930.0129379826</v>
      </c>
      <c r="AH7" s="2">
        <f t="shared" si="19"/>
        <v>3164109.0168193774</v>
      </c>
      <c r="AI7" s="2">
        <f t="shared" si="19"/>
        <v>4113341.7218651907</v>
      </c>
      <c r="AJ7" s="2">
        <f t="shared" si="19"/>
        <v>5347344.2384247482</v>
      </c>
      <c r="AK7" s="2">
        <f t="shared" si="19"/>
        <v>6951547.5099521726</v>
      </c>
      <c r="AL7" s="2">
        <f t="shared" si="19"/>
        <v>9037011.7629378252</v>
      </c>
      <c r="AM7" s="2">
        <f t="shared" si="19"/>
        <v>11748115.291819174</v>
      </c>
    </row>
    <row r="8" spans="2:39" s="3" customFormat="1" x14ac:dyDescent="0.15">
      <c r="B8" s="3" t="s">
        <v>35</v>
      </c>
      <c r="C8" s="3">
        <f t="shared" ref="C8:L8" si="20">C6+C7</f>
        <v>159737</v>
      </c>
      <c r="D8" s="3">
        <f t="shared" si="20"/>
        <v>186780</v>
      </c>
      <c r="E8" s="3">
        <f t="shared" si="20"/>
        <v>215070</v>
      </c>
      <c r="F8" s="3">
        <f t="shared" si="20"/>
        <v>226273</v>
      </c>
      <c r="G8" s="3">
        <f t="shared" si="20"/>
        <v>250957</v>
      </c>
      <c r="H8" s="3">
        <f t="shared" si="20"/>
        <v>282696</v>
      </c>
      <c r="I8" s="3">
        <f t="shared" si="20"/>
        <v>305266</v>
      </c>
      <c r="J8" s="3">
        <f t="shared" si="20"/>
        <v>323427</v>
      </c>
      <c r="K8" s="3">
        <f t="shared" si="20"/>
        <v>345430</v>
      </c>
      <c r="L8" s="3">
        <f t="shared" si="20"/>
        <v>377723</v>
      </c>
      <c r="M8" s="3">
        <f t="shared" ref="M8" si="21">M6+M7</f>
        <v>396845.8</v>
      </c>
      <c r="N8" s="3">
        <f t="shared" ref="N8" si="22">N6+N7</f>
        <v>420455.10000000003</v>
      </c>
      <c r="O8" s="3">
        <f t="shared" ref="O8" si="23">O6+O7</f>
        <v>449059</v>
      </c>
      <c r="P8" s="3">
        <f t="shared" ref="P8" si="24">P6+P7</f>
        <v>491039.9</v>
      </c>
      <c r="Q8" s="3">
        <f t="shared" ref="Q8" si="25">Q6+Q7</f>
        <v>515899.54000000004</v>
      </c>
      <c r="R8" s="3">
        <f t="shared" ref="R8" si="26">R6+R7</f>
        <v>546591.63000000012</v>
      </c>
      <c r="T8" s="3">
        <f>+T6+T7</f>
        <v>134427</v>
      </c>
      <c r="U8" s="3">
        <f>+U6+U7</f>
        <v>273657</v>
      </c>
      <c r="V8" s="3">
        <f>+V6+V7</f>
        <v>468938</v>
      </c>
      <c r="W8" s="3">
        <f>+W6+W7</f>
        <v>787860</v>
      </c>
      <c r="X8" s="3">
        <f>+X6+X7</f>
        <v>1162346</v>
      </c>
      <c r="Y8" s="3">
        <f>+Y6+Y7</f>
        <v>1540453.9</v>
      </c>
      <c r="Z8" s="3">
        <f>+Z6+Z7</f>
        <v>2002590.07</v>
      </c>
      <c r="AA8" s="3">
        <f t="shared" ref="AA8:AF8" si="27">+AA6+AA7</f>
        <v>2603367.0910000005</v>
      </c>
      <c r="AB8" s="3">
        <f t="shared" si="27"/>
        <v>3384377.2183000008</v>
      </c>
      <c r="AC8" s="3">
        <f t="shared" si="27"/>
        <v>4399690.3837900013</v>
      </c>
      <c r="AD8" s="3">
        <f t="shared" si="27"/>
        <v>5719597.4989270018</v>
      </c>
      <c r="AE8" s="3">
        <f t="shared" si="27"/>
        <v>7435476.7486051032</v>
      </c>
      <c r="AF8" s="3">
        <f t="shared" si="27"/>
        <v>9666119.7731866334</v>
      </c>
      <c r="AG8" s="3">
        <f t="shared" ref="AG8" si="28">+AG6+AG7</f>
        <v>12565955.705142625</v>
      </c>
      <c r="AH8" s="3">
        <f t="shared" ref="AH8" si="29">+AH6+AH7</f>
        <v>16335742.41668541</v>
      </c>
      <c r="AI8" s="3">
        <f t="shared" ref="AI8" si="30">+AI6+AI7</f>
        <v>21236465.141691037</v>
      </c>
      <c r="AJ8" s="3">
        <f t="shared" ref="AJ8" si="31">+AJ6+AJ7</f>
        <v>27607404.684198346</v>
      </c>
      <c r="AK8" s="3">
        <f t="shared" ref="AK8" si="32">+AK6+AK7</f>
        <v>35889626.089457855</v>
      </c>
      <c r="AL8" s="3">
        <f t="shared" ref="AL8" si="33">+AL6+AL7</f>
        <v>46656513.916295215</v>
      </c>
      <c r="AM8" s="3">
        <f t="shared" ref="AM8" si="34">+AM6+AM7</f>
        <v>60653468.091183782</v>
      </c>
    </row>
    <row r="9" spans="2:39" s="2" customFormat="1" ht="15.75" customHeight="1" x14ac:dyDescent="0.15">
      <c r="B9" s="2" t="s">
        <v>37</v>
      </c>
      <c r="C9" s="2">
        <v>21459</v>
      </c>
      <c r="D9" s="2">
        <v>24373</v>
      </c>
      <c r="E9" s="2">
        <v>27426</v>
      </c>
      <c r="F9" s="2">
        <v>29218</v>
      </c>
      <c r="G9" s="2">
        <v>31782</v>
      </c>
      <c r="H9" s="2">
        <v>35287</v>
      </c>
      <c r="I9" s="2">
        <v>39791</v>
      </c>
      <c r="J9" s="2">
        <v>43009</v>
      </c>
      <c r="K9" s="2">
        <v>49200</v>
      </c>
      <c r="L9" s="2">
        <v>51379</v>
      </c>
      <c r="T9" s="2">
        <v>22342</v>
      </c>
      <c r="U9" s="2">
        <v>39251</v>
      </c>
      <c r="V9" s="2">
        <v>69195</v>
      </c>
      <c r="W9" s="2">
        <f>SUM(C9:F9)</f>
        <v>102476</v>
      </c>
      <c r="X9" s="2">
        <f>SUM(G9:J9)</f>
        <v>149869</v>
      </c>
    </row>
    <row r="10" spans="2:39" s="2" customFormat="1" ht="15.75" customHeight="1" x14ac:dyDescent="0.15">
      <c r="B10" s="2" t="s">
        <v>38</v>
      </c>
      <c r="C10" s="2">
        <v>35960</v>
      </c>
      <c r="D10" s="2">
        <v>41267</v>
      </c>
      <c r="E10" s="2">
        <v>44363</v>
      </c>
      <c r="F10" s="2">
        <v>40737</v>
      </c>
      <c r="G10" s="2">
        <v>46132</v>
      </c>
      <c r="H10" s="2">
        <v>56792</v>
      </c>
      <c r="I10" s="2">
        <v>61963</v>
      </c>
      <c r="J10" s="2">
        <v>59671</v>
      </c>
      <c r="K10" s="2">
        <v>59427</v>
      </c>
      <c r="L10" s="2">
        <v>66473</v>
      </c>
      <c r="T10" s="2">
        <v>43026</v>
      </c>
      <c r="U10" s="2">
        <v>77284</v>
      </c>
      <c r="V10" s="2">
        <v>107615</v>
      </c>
      <c r="W10" s="2">
        <f>SUM(C10:F10)</f>
        <v>162327</v>
      </c>
      <c r="X10" s="2">
        <f>SUM(G10:J10)</f>
        <v>224558</v>
      </c>
    </row>
    <row r="11" spans="2:39" s="2" customFormat="1" ht="15.75" customHeight="1" x14ac:dyDescent="0.15">
      <c r="B11" s="2" t="s">
        <v>36</v>
      </c>
      <c r="C11" s="2">
        <f t="shared" ref="C11:L11" si="35">+C9+C10</f>
        <v>57419</v>
      </c>
      <c r="D11" s="2">
        <f t="shared" si="35"/>
        <v>65640</v>
      </c>
      <c r="E11" s="2">
        <f t="shared" si="35"/>
        <v>71789</v>
      </c>
      <c r="F11" s="2">
        <f t="shared" si="35"/>
        <v>69955</v>
      </c>
      <c r="G11" s="2">
        <f t="shared" si="35"/>
        <v>77914</v>
      </c>
      <c r="H11" s="2">
        <f t="shared" si="35"/>
        <v>92079</v>
      </c>
      <c r="I11" s="2">
        <f t="shared" si="35"/>
        <v>101754</v>
      </c>
      <c r="J11" s="2">
        <f t="shared" si="35"/>
        <v>102680</v>
      </c>
      <c r="K11" s="2">
        <f t="shared" si="35"/>
        <v>108627</v>
      </c>
      <c r="L11" s="2">
        <f t="shared" si="35"/>
        <v>117852</v>
      </c>
      <c r="M11" s="2">
        <f>M8-M12</f>
        <v>126990.65599999996</v>
      </c>
      <c r="N11" s="2">
        <f t="shared" ref="N11:R11" si="36">N8-N12</f>
        <v>134545.63199999998</v>
      </c>
      <c r="O11" s="2">
        <f t="shared" si="36"/>
        <v>143698.88</v>
      </c>
      <c r="P11" s="2">
        <f t="shared" si="36"/>
        <v>157132.76799999998</v>
      </c>
      <c r="Q11" s="2">
        <f t="shared" si="36"/>
        <v>165087.85279999999</v>
      </c>
      <c r="R11" s="2">
        <f t="shared" si="36"/>
        <v>174909.32160000002</v>
      </c>
      <c r="T11" s="2">
        <f>+T9+T10</f>
        <v>65368</v>
      </c>
      <c r="U11" s="2">
        <f>+U9+U10</f>
        <v>116535</v>
      </c>
      <c r="V11" s="2">
        <f>+V9+V10</f>
        <v>176810</v>
      </c>
      <c r="W11" s="2">
        <f>+W9+W10</f>
        <v>264803</v>
      </c>
      <c r="X11" s="2">
        <f>+X9+X10</f>
        <v>374427</v>
      </c>
      <c r="Y11" s="2">
        <f>Y8-Y12</f>
        <v>492945.24799999991</v>
      </c>
      <c r="Z11" s="2">
        <f>Z8-Z12</f>
        <v>640828.82239999995</v>
      </c>
      <c r="AA11" s="2">
        <f t="shared" ref="AA11:AM11" si="37">AA8-AA12</f>
        <v>833077.46912000002</v>
      </c>
      <c r="AB11" s="2">
        <f t="shared" si="37"/>
        <v>1083000.7098560003</v>
      </c>
      <c r="AC11" s="2">
        <f t="shared" si="37"/>
        <v>1407900.9228128004</v>
      </c>
      <c r="AD11" s="2">
        <f t="shared" si="37"/>
        <v>1830271.1996566402</v>
      </c>
      <c r="AE11" s="2">
        <f t="shared" si="37"/>
        <v>2379352.5595536325</v>
      </c>
      <c r="AF11" s="2">
        <f t="shared" si="37"/>
        <v>3093158.3274197225</v>
      </c>
      <c r="AG11" s="2">
        <f t="shared" si="37"/>
        <v>4021105.8256456386</v>
      </c>
      <c r="AH11" s="2">
        <f t="shared" si="37"/>
        <v>5227437.57333933</v>
      </c>
      <c r="AI11" s="2">
        <f t="shared" si="37"/>
        <v>6795668.8453411311</v>
      </c>
      <c r="AJ11" s="2">
        <f t="shared" si="37"/>
        <v>8834369.4989434704</v>
      </c>
      <c r="AK11" s="2">
        <f t="shared" si="37"/>
        <v>11484680.348626513</v>
      </c>
      <c r="AL11" s="2">
        <f t="shared" si="37"/>
        <v>14930084.453214467</v>
      </c>
      <c r="AM11" s="2">
        <f t="shared" si="37"/>
        <v>19409109.789178804</v>
      </c>
    </row>
    <row r="12" spans="2:39" s="3" customFormat="1" ht="15.75" customHeight="1" x14ac:dyDescent="0.15">
      <c r="B12" s="3" t="s">
        <v>48</v>
      </c>
      <c r="C12" s="3">
        <f t="shared" ref="C12:L12" si="38">C8-C11</f>
        <v>102318</v>
      </c>
      <c r="D12" s="3">
        <f t="shared" si="38"/>
        <v>121140</v>
      </c>
      <c r="E12" s="3">
        <f t="shared" si="38"/>
        <v>143281</v>
      </c>
      <c r="F12" s="3">
        <f t="shared" si="38"/>
        <v>156318</v>
      </c>
      <c r="G12" s="3">
        <f t="shared" si="38"/>
        <v>173043</v>
      </c>
      <c r="H12" s="3">
        <f t="shared" si="38"/>
        <v>190617</v>
      </c>
      <c r="I12" s="3">
        <f t="shared" si="38"/>
        <v>203512</v>
      </c>
      <c r="J12" s="3">
        <f t="shared" si="38"/>
        <v>220747</v>
      </c>
      <c r="K12" s="3">
        <f t="shared" si="38"/>
        <v>236803</v>
      </c>
      <c r="L12" s="3">
        <f t="shared" si="38"/>
        <v>259871</v>
      </c>
      <c r="M12" s="3">
        <f>M8*0.68</f>
        <v>269855.14400000003</v>
      </c>
      <c r="N12" s="3">
        <f t="shared" ref="N12:R12" si="39">N8*0.68</f>
        <v>285909.46800000005</v>
      </c>
      <c r="O12" s="3">
        <f t="shared" si="39"/>
        <v>305360.12</v>
      </c>
      <c r="P12" s="3">
        <f t="shared" si="39"/>
        <v>333907.13200000004</v>
      </c>
      <c r="Q12" s="3">
        <f t="shared" si="39"/>
        <v>350811.68720000004</v>
      </c>
      <c r="R12" s="3">
        <f t="shared" si="39"/>
        <v>371682.3084000001</v>
      </c>
      <c r="T12" s="3">
        <f>T8-T11</f>
        <v>69059</v>
      </c>
      <c r="U12" s="3">
        <f>U8-U11</f>
        <v>157122</v>
      </c>
      <c r="V12" s="3">
        <f>V8-V11</f>
        <v>292128</v>
      </c>
      <c r="W12" s="3">
        <f>W8-W11</f>
        <v>523057</v>
      </c>
      <c r="X12" s="3">
        <f>X8-X11</f>
        <v>787919</v>
      </c>
      <c r="Y12" s="3">
        <f>Y8*0.68</f>
        <v>1047508.652</v>
      </c>
      <c r="Z12" s="3">
        <f>Z8*0.68</f>
        <v>1361761.2476000001</v>
      </c>
      <c r="AA12" s="3">
        <f t="shared" ref="AA12:AF12" si="40">AA8*0.68</f>
        <v>1770289.6218800005</v>
      </c>
      <c r="AB12" s="3">
        <f t="shared" si="40"/>
        <v>2301376.5084440005</v>
      </c>
      <c r="AC12" s="3">
        <f t="shared" si="40"/>
        <v>2991789.4609772009</v>
      </c>
      <c r="AD12" s="3">
        <f t="shared" si="40"/>
        <v>3889326.2992703617</v>
      </c>
      <c r="AE12" s="3">
        <f t="shared" si="40"/>
        <v>5056124.1890514707</v>
      </c>
      <c r="AF12" s="3">
        <f t="shared" si="40"/>
        <v>6572961.4457669109</v>
      </c>
      <c r="AG12" s="3">
        <f t="shared" ref="AG12:AM12" si="41">AG8*0.68</f>
        <v>8544849.879496986</v>
      </c>
      <c r="AH12" s="3">
        <f t="shared" si="41"/>
        <v>11108304.84334608</v>
      </c>
      <c r="AI12" s="3">
        <f t="shared" si="41"/>
        <v>14440796.296349905</v>
      </c>
      <c r="AJ12" s="3">
        <f t="shared" si="41"/>
        <v>18773035.185254876</v>
      </c>
      <c r="AK12" s="3">
        <f t="shared" si="41"/>
        <v>24404945.740831342</v>
      </c>
      <c r="AL12" s="3">
        <f t="shared" si="41"/>
        <v>31726429.463080749</v>
      </c>
      <c r="AM12" s="3">
        <f t="shared" si="41"/>
        <v>41244358.302004978</v>
      </c>
    </row>
    <row r="13" spans="2:39" s="2" customFormat="1" ht="15.75" customHeight="1" x14ac:dyDescent="0.15">
      <c r="B13" s="2" t="s">
        <v>39</v>
      </c>
      <c r="C13" s="2">
        <v>65171</v>
      </c>
      <c r="D13" s="2">
        <v>77464</v>
      </c>
      <c r="E13" s="2">
        <v>85270</v>
      </c>
      <c r="F13" s="2">
        <v>88963</v>
      </c>
      <c r="G13" s="2">
        <v>99335</v>
      </c>
      <c r="H13" s="2">
        <v>115345</v>
      </c>
      <c r="I13" s="2">
        <v>124020</v>
      </c>
      <c r="J13" s="2">
        <v>131244</v>
      </c>
      <c r="K13" s="2">
        <v>141778</v>
      </c>
      <c r="L13" s="2">
        <v>161886</v>
      </c>
      <c r="M13" s="2">
        <f>I13*1.29</f>
        <v>159985.80000000002</v>
      </c>
      <c r="N13" s="2">
        <f t="shared" ref="N13:N15" si="42">J13*1.29</f>
        <v>169304.76</v>
      </c>
      <c r="O13" s="2">
        <f t="shared" ref="O13:O15" si="43">K13*1.29</f>
        <v>182893.62</v>
      </c>
      <c r="P13" s="2">
        <f t="shared" ref="P13:P15" si="44">L13*1.29</f>
        <v>208832.94</v>
      </c>
      <c r="Q13" s="2">
        <f t="shared" ref="Q13:Q15" si="45">M13*1.29</f>
        <v>206381.68200000003</v>
      </c>
      <c r="R13" s="2">
        <f t="shared" ref="R13:R15" si="46">N13*1.29</f>
        <v>218403.1404</v>
      </c>
      <c r="T13" s="2">
        <v>62014</v>
      </c>
      <c r="U13" s="2">
        <v>102665</v>
      </c>
      <c r="V13" s="2">
        <v>182116</v>
      </c>
      <c r="W13" s="2">
        <f>SUM(C13:F13)</f>
        <v>316868</v>
      </c>
      <c r="X13" s="2">
        <f>SUM(G13:J13)</f>
        <v>469944</v>
      </c>
      <c r="Y13" s="2">
        <f>SUM(K13:N13)</f>
        <v>632954.56000000006</v>
      </c>
      <c r="Z13" s="2">
        <f>SUM(O13:R13)</f>
        <v>816511.38240000012</v>
      </c>
      <c r="AA13" s="2">
        <f>Z13*1.29</f>
        <v>1053299.6832960001</v>
      </c>
      <c r="AB13" s="2">
        <f t="shared" ref="AB13:AC13" si="47">AA13*1.29</f>
        <v>1358756.5914518402</v>
      </c>
      <c r="AC13" s="2">
        <f t="shared" si="47"/>
        <v>1752796.0029728739</v>
      </c>
      <c r="AD13" s="2">
        <f>AC13*1.25</f>
        <v>2190995.0037160926</v>
      </c>
      <c r="AE13" s="2">
        <f t="shared" ref="AE13:AM13" si="48">AD13*1.25</f>
        <v>2738743.7546451157</v>
      </c>
      <c r="AF13" s="2">
        <f t="shared" si="48"/>
        <v>3423429.6933063949</v>
      </c>
      <c r="AG13" s="2">
        <f t="shared" si="48"/>
        <v>4279287.1166329933</v>
      </c>
      <c r="AH13" s="2">
        <f t="shared" si="48"/>
        <v>5349108.8957912419</v>
      </c>
      <c r="AI13" s="2">
        <f t="shared" si="48"/>
        <v>6686386.1197390519</v>
      </c>
      <c r="AJ13" s="2">
        <f t="shared" si="48"/>
        <v>8357982.6496738149</v>
      </c>
      <c r="AK13" s="2">
        <f t="shared" si="48"/>
        <v>10447478.312092269</v>
      </c>
      <c r="AL13" s="2">
        <f t="shared" si="48"/>
        <v>13059347.890115336</v>
      </c>
      <c r="AM13" s="2">
        <f t="shared" si="48"/>
        <v>16324184.862644169</v>
      </c>
    </row>
    <row r="14" spans="2:39" s="2" customFormat="1" ht="15.75" customHeight="1" x14ac:dyDescent="0.15">
      <c r="B14" s="2" t="s">
        <v>40</v>
      </c>
      <c r="C14" s="2">
        <v>68167</v>
      </c>
      <c r="D14" s="2">
        <v>78523</v>
      </c>
      <c r="E14" s="2">
        <v>80681</v>
      </c>
      <c r="F14" s="2">
        <v>88469</v>
      </c>
      <c r="G14" s="2">
        <v>94895</v>
      </c>
      <c r="H14" s="2">
        <v>106430</v>
      </c>
      <c r="I14" s="2">
        <v>111658</v>
      </c>
      <c r="J14" s="2">
        <v>121073</v>
      </c>
      <c r="K14" s="2">
        <v>127491</v>
      </c>
      <c r="L14" s="2">
        <v>139177</v>
      </c>
      <c r="M14" s="2">
        <f t="shared" ref="M14:M15" si="49">I14*1.29</f>
        <v>144038.82</v>
      </c>
      <c r="N14" s="2">
        <f t="shared" si="42"/>
        <v>156184.17000000001</v>
      </c>
      <c r="O14" s="2">
        <f t="shared" si="43"/>
        <v>164463.39000000001</v>
      </c>
      <c r="P14" s="2">
        <f t="shared" si="44"/>
        <v>179538.33000000002</v>
      </c>
      <c r="Q14" s="2">
        <f t="shared" si="45"/>
        <v>185810.07780000003</v>
      </c>
      <c r="R14" s="2">
        <f t="shared" si="46"/>
        <v>201477.57930000001</v>
      </c>
      <c r="T14" s="2">
        <v>70356</v>
      </c>
      <c r="U14" s="2">
        <v>123440</v>
      </c>
      <c r="V14" s="2">
        <v>197373</v>
      </c>
      <c r="W14" s="2">
        <f>SUM(C14:F14)</f>
        <v>315840</v>
      </c>
      <c r="X14" s="2">
        <f>SUM(G14:J14)</f>
        <v>434056</v>
      </c>
      <c r="Y14" s="2">
        <f>SUM(K14:N14)</f>
        <v>566890.99</v>
      </c>
      <c r="Z14" s="2">
        <f>SUM(O14:R14)</f>
        <v>731289.37710000004</v>
      </c>
      <c r="AA14" s="2">
        <f t="shared" ref="AA14:AC14" si="50">Z14*1.29</f>
        <v>943363.29645900009</v>
      </c>
      <c r="AB14" s="2">
        <f t="shared" si="50"/>
        <v>1216938.6524321102</v>
      </c>
      <c r="AC14" s="2">
        <f t="shared" si="50"/>
        <v>1569850.8616374221</v>
      </c>
      <c r="AD14" s="2">
        <f t="shared" ref="AD14:AM14" si="51">AC14*1.25</f>
        <v>1962313.5770467776</v>
      </c>
      <c r="AE14" s="2">
        <f t="shared" si="51"/>
        <v>2452891.9713084721</v>
      </c>
      <c r="AF14" s="2">
        <f t="shared" si="51"/>
        <v>3066114.96413559</v>
      </c>
      <c r="AG14" s="2">
        <f t="shared" si="51"/>
        <v>3832643.7051694877</v>
      </c>
      <c r="AH14" s="2">
        <f t="shared" si="51"/>
        <v>4790804.6314618597</v>
      </c>
      <c r="AI14" s="2">
        <f t="shared" si="51"/>
        <v>5988505.7893273244</v>
      </c>
      <c r="AJ14" s="2">
        <f t="shared" si="51"/>
        <v>7485632.2366591552</v>
      </c>
      <c r="AK14" s="2">
        <f t="shared" si="51"/>
        <v>9357040.2958239447</v>
      </c>
      <c r="AL14" s="2">
        <f t="shared" si="51"/>
        <v>11696300.369779931</v>
      </c>
      <c r="AM14" s="2">
        <f t="shared" si="51"/>
        <v>14620375.462224914</v>
      </c>
    </row>
    <row r="15" spans="2:39" s="2" customFormat="1" ht="15.75" customHeight="1" x14ac:dyDescent="0.15">
      <c r="B15" s="2" t="s">
        <v>41</v>
      </c>
      <c r="C15" s="2">
        <v>21063</v>
      </c>
      <c r="D15" s="2">
        <v>26922</v>
      </c>
      <c r="E15" s="2">
        <v>28796</v>
      </c>
      <c r="F15" s="2">
        <v>29270</v>
      </c>
      <c r="G15" s="2">
        <v>32217</v>
      </c>
      <c r="H15" s="2">
        <v>36482</v>
      </c>
      <c r="I15" s="2">
        <v>38008</v>
      </c>
      <c r="J15" s="2">
        <v>41871</v>
      </c>
      <c r="K15" s="2">
        <v>41183</v>
      </c>
      <c r="L15" s="2">
        <v>45705</v>
      </c>
      <c r="M15" s="2">
        <f t="shared" si="49"/>
        <v>49030.32</v>
      </c>
      <c r="N15" s="2">
        <f t="shared" si="42"/>
        <v>54013.590000000004</v>
      </c>
      <c r="O15" s="2">
        <f t="shared" si="43"/>
        <v>53126.07</v>
      </c>
      <c r="P15" s="2">
        <f t="shared" si="44"/>
        <v>58959.450000000004</v>
      </c>
      <c r="Q15" s="2">
        <f t="shared" si="45"/>
        <v>63249.112800000003</v>
      </c>
      <c r="R15" s="2">
        <f t="shared" si="46"/>
        <v>69677.531100000007</v>
      </c>
      <c r="T15" s="2">
        <v>15133</v>
      </c>
      <c r="U15" s="2">
        <v>48880</v>
      </c>
      <c r="V15" s="2">
        <v>65921</v>
      </c>
      <c r="W15" s="2">
        <f>SUM(C15:F15)</f>
        <v>106051</v>
      </c>
      <c r="X15" s="2">
        <f>SUM(G15:J15)</f>
        <v>148578</v>
      </c>
      <c r="Y15" s="2">
        <f>SUM(K15:N15)</f>
        <v>189931.91</v>
      </c>
      <c r="Z15" s="2">
        <f>SUM(O15:R15)</f>
        <v>245012.16390000004</v>
      </c>
      <c r="AA15" s="2">
        <f t="shared" ref="AA15:AC15" si="52">Z15*1.29</f>
        <v>316065.69143100007</v>
      </c>
      <c r="AB15" s="2">
        <f t="shared" si="52"/>
        <v>407724.74194599013</v>
      </c>
      <c r="AC15" s="2">
        <f t="shared" si="52"/>
        <v>525964.91711032728</v>
      </c>
      <c r="AD15" s="2">
        <f t="shared" ref="AD15:AM15" si="53">AC15*1.25</f>
        <v>657456.14638790907</v>
      </c>
      <c r="AE15" s="2">
        <f t="shared" si="53"/>
        <v>821820.18298488634</v>
      </c>
      <c r="AF15" s="2">
        <f t="shared" si="53"/>
        <v>1027275.2287311079</v>
      </c>
      <c r="AG15" s="2">
        <f t="shared" si="53"/>
        <v>1284094.0359138849</v>
      </c>
      <c r="AH15" s="2">
        <f t="shared" si="53"/>
        <v>1605117.544892356</v>
      </c>
      <c r="AI15" s="2">
        <f t="shared" si="53"/>
        <v>2006396.931115445</v>
      </c>
      <c r="AJ15" s="2">
        <f t="shared" si="53"/>
        <v>2507996.1638943064</v>
      </c>
      <c r="AK15" s="2">
        <f t="shared" si="53"/>
        <v>3134995.2048678831</v>
      </c>
      <c r="AL15" s="2">
        <f t="shared" si="53"/>
        <v>3918744.0060848538</v>
      </c>
      <c r="AM15" s="2">
        <f t="shared" si="53"/>
        <v>4898430.0076060668</v>
      </c>
    </row>
    <row r="16" spans="2:39" s="2" customFormat="1" ht="15.75" customHeight="1" x14ac:dyDescent="0.15">
      <c r="B16" s="2" t="s">
        <v>42</v>
      </c>
      <c r="C16" s="2">
        <f t="shared" ref="C16:L16" si="54">SUM(C13:C15)</f>
        <v>154401</v>
      </c>
      <c r="D16" s="2">
        <f t="shared" si="54"/>
        <v>182909</v>
      </c>
      <c r="E16" s="2">
        <f t="shared" si="54"/>
        <v>194747</v>
      </c>
      <c r="F16" s="2">
        <f t="shared" si="54"/>
        <v>206702</v>
      </c>
      <c r="G16" s="2">
        <f t="shared" si="54"/>
        <v>226447</v>
      </c>
      <c r="H16" s="2">
        <f t="shared" si="54"/>
        <v>258257</v>
      </c>
      <c r="I16" s="2">
        <f t="shared" si="54"/>
        <v>273686</v>
      </c>
      <c r="J16" s="2">
        <f t="shared" si="54"/>
        <v>294188</v>
      </c>
      <c r="K16" s="2">
        <f t="shared" si="54"/>
        <v>310452</v>
      </c>
      <c r="L16" s="2">
        <f t="shared" si="54"/>
        <v>346768</v>
      </c>
      <c r="M16" s="2">
        <f t="shared" ref="M16" si="55">SUM(M13:M15)</f>
        <v>353054.94</v>
      </c>
      <c r="N16" s="2">
        <f t="shared" ref="N16" si="56">SUM(N13:N15)</f>
        <v>379502.52000000008</v>
      </c>
      <c r="O16" s="2">
        <f t="shared" ref="O16" si="57">SUM(O13:O15)</f>
        <v>400483.08</v>
      </c>
      <c r="P16" s="2">
        <f t="shared" ref="P16" si="58">SUM(P13:P15)</f>
        <v>447330.72000000003</v>
      </c>
      <c r="Q16" s="2">
        <f t="shared" ref="Q16" si="59">SUM(Q13:Q15)</f>
        <v>455440.87260000006</v>
      </c>
      <c r="R16" s="2">
        <f t="shared" ref="R16" si="60">SUM(R13:R15)</f>
        <v>489558.25080000004</v>
      </c>
      <c r="T16" s="2">
        <f>SUM(T13:T15)</f>
        <v>147503</v>
      </c>
      <c r="U16" s="2">
        <f>SUM(U13:U15)</f>
        <v>274985</v>
      </c>
      <c r="V16" s="2">
        <f>SUM(V13:V15)</f>
        <v>445410</v>
      </c>
      <c r="W16" s="2">
        <f>SUM(W13:W15)</f>
        <v>738759</v>
      </c>
      <c r="X16" s="2">
        <f>SUM(X13:X15)</f>
        <v>1052578</v>
      </c>
      <c r="Y16" s="2">
        <f>SUM(Y13:Y15)</f>
        <v>1389777.46</v>
      </c>
      <c r="Z16" s="2">
        <f>SUM(Z13:Z15)</f>
        <v>1792812.9234000002</v>
      </c>
      <c r="AA16" s="2">
        <f t="shared" ref="AA16:AF16" si="61">SUM(AA13:AA15)</f>
        <v>2312728.6711860001</v>
      </c>
      <c r="AB16" s="2">
        <f t="shared" si="61"/>
        <v>2983419.985829941</v>
      </c>
      <c r="AC16" s="2">
        <f t="shared" si="61"/>
        <v>3848611.7817206229</v>
      </c>
      <c r="AD16" s="2">
        <f t="shared" si="61"/>
        <v>4810764.7271507792</v>
      </c>
      <c r="AE16" s="2">
        <f t="shared" si="61"/>
        <v>6013455.908938475</v>
      </c>
      <c r="AF16" s="2">
        <f t="shared" si="61"/>
        <v>7516819.8861730928</v>
      </c>
      <c r="AG16" s="2">
        <f t="shared" ref="AG16" si="62">SUM(AG13:AG15)</f>
        <v>9396024.8577163666</v>
      </c>
      <c r="AH16" s="2">
        <f t="shared" ref="AH16" si="63">SUM(AH13:AH15)</f>
        <v>11745031.072145458</v>
      </c>
      <c r="AI16" s="2">
        <f t="shared" ref="AI16" si="64">SUM(AI13:AI15)</f>
        <v>14681288.84018182</v>
      </c>
      <c r="AJ16" s="2">
        <f t="shared" ref="AJ16" si="65">SUM(AJ13:AJ15)</f>
        <v>18351611.050227277</v>
      </c>
      <c r="AK16" s="2">
        <f t="shared" ref="AK16" si="66">SUM(AK13:AK15)</f>
        <v>22939513.812784098</v>
      </c>
      <c r="AL16" s="2">
        <f t="shared" ref="AL16" si="67">SUM(AL13:AL15)</f>
        <v>28674392.265980117</v>
      </c>
      <c r="AM16" s="2">
        <f t="shared" ref="AM16" si="68">SUM(AM13:AM15)</f>
        <v>35842990.332475148</v>
      </c>
    </row>
    <row r="17" spans="2:87" s="3" customFormat="1" x14ac:dyDescent="0.15">
      <c r="B17" s="3" t="s">
        <v>43</v>
      </c>
      <c r="C17" s="3">
        <f t="shared" ref="C17:L17" si="69">C12-C16</f>
        <v>-52083</v>
      </c>
      <c r="D17" s="3">
        <f t="shared" si="69"/>
        <v>-61769</v>
      </c>
      <c r="E17" s="3">
        <f t="shared" si="69"/>
        <v>-51466</v>
      </c>
      <c r="F17" s="3">
        <f t="shared" si="69"/>
        <v>-50384</v>
      </c>
      <c r="G17" s="3">
        <f t="shared" si="69"/>
        <v>-53404</v>
      </c>
      <c r="H17" s="3">
        <f t="shared" si="69"/>
        <v>-67640</v>
      </c>
      <c r="I17" s="3">
        <f t="shared" si="69"/>
        <v>-70174</v>
      </c>
      <c r="J17" s="3">
        <f t="shared" si="69"/>
        <v>-73441</v>
      </c>
      <c r="K17" s="3">
        <f t="shared" si="69"/>
        <v>-73649</v>
      </c>
      <c r="L17" s="3">
        <f t="shared" si="69"/>
        <v>-86897</v>
      </c>
      <c r="M17" s="3">
        <f t="shared" ref="M17" si="70">M12-M16</f>
        <v>-83199.795999999973</v>
      </c>
      <c r="N17" s="3">
        <f t="shared" ref="N17" si="71">N12-N16</f>
        <v>-93593.052000000025</v>
      </c>
      <c r="O17" s="3">
        <f t="shared" ref="O17" si="72">O12-O16</f>
        <v>-95122.960000000021</v>
      </c>
      <c r="P17" s="3">
        <f t="shared" ref="P17" si="73">P12-P16</f>
        <v>-113423.58799999999</v>
      </c>
      <c r="Q17" s="3">
        <f t="shared" ref="Q17" si="74">Q12-Q16</f>
        <v>-104629.18540000002</v>
      </c>
      <c r="R17" s="3">
        <f t="shared" ref="R17" si="75">R12-R16</f>
        <v>-117875.94239999994</v>
      </c>
      <c r="T17" s="3">
        <f>T12-T16</f>
        <v>-78444</v>
      </c>
      <c r="U17" s="3">
        <f>U12-U16</f>
        <v>-117863</v>
      </c>
      <c r="V17" s="3">
        <f>V12-V16</f>
        <v>-153282</v>
      </c>
      <c r="W17" s="3">
        <f>W12-W16</f>
        <v>-215702</v>
      </c>
      <c r="X17" s="3">
        <f>X12-X16</f>
        <v>-264659</v>
      </c>
      <c r="Y17" s="3">
        <f>Y12-Y16</f>
        <v>-342268.80799999996</v>
      </c>
      <c r="Z17" s="3">
        <f>Z12-Z16</f>
        <v>-431051.67580000008</v>
      </c>
      <c r="AA17" s="3">
        <f t="shared" ref="AA17:AF17" si="76">AA12-AA16</f>
        <v>-542439.04930599965</v>
      </c>
      <c r="AB17" s="3">
        <f t="shared" si="76"/>
        <v>-682043.4773859405</v>
      </c>
      <c r="AC17" s="3">
        <f t="shared" si="76"/>
        <v>-856822.32074342202</v>
      </c>
      <c r="AD17" s="3">
        <f t="shared" si="76"/>
        <v>-921438.42788041756</v>
      </c>
      <c r="AE17" s="3">
        <f t="shared" si="76"/>
        <v>-957331.71988700423</v>
      </c>
      <c r="AF17" s="3">
        <f t="shared" si="76"/>
        <v>-943858.44040618185</v>
      </c>
      <c r="AG17" s="3">
        <f t="shared" ref="AG17" si="77">AG12-AG16</f>
        <v>-851174.9782193806</v>
      </c>
      <c r="AH17" s="3">
        <f t="shared" ref="AH17" si="78">AH12-AH16</f>
        <v>-636726.2287993785</v>
      </c>
      <c r="AI17" s="3">
        <f t="shared" ref="AI17" si="79">AI12-AI16</f>
        <v>-240492.54383191466</v>
      </c>
      <c r="AJ17" s="3">
        <f t="shared" ref="AJ17" si="80">AJ12-AJ16</f>
        <v>421424.13502759859</v>
      </c>
      <c r="AK17" s="3">
        <f t="shared" ref="AK17" si="81">AK12-AK16</f>
        <v>1465431.9280472435</v>
      </c>
      <c r="AL17" s="3">
        <f t="shared" ref="AL17" si="82">AL12-AL16</f>
        <v>3052037.1971006319</v>
      </c>
      <c r="AM17" s="3">
        <f t="shared" ref="AM17" si="83">AM12-AM16</f>
        <v>5401367.9695298299</v>
      </c>
    </row>
    <row r="18" spans="2:87" s="2" customFormat="1" x14ac:dyDescent="0.15">
      <c r="B18" s="2" t="s">
        <v>44</v>
      </c>
      <c r="C18" s="2">
        <v>6999</v>
      </c>
      <c r="D18" s="2">
        <v>6953</v>
      </c>
      <c r="E18" s="2">
        <v>8047</v>
      </c>
      <c r="F18" s="2">
        <v>8271</v>
      </c>
      <c r="G18" s="2">
        <v>7236</v>
      </c>
      <c r="H18" s="2">
        <v>3779</v>
      </c>
      <c r="I18" s="2">
        <v>6722</v>
      </c>
      <c r="J18" s="2">
        <v>6505</v>
      </c>
      <c r="K18" s="2">
        <v>5838</v>
      </c>
      <c r="L18" s="8">
        <v>21193</v>
      </c>
      <c r="M18" s="2">
        <f>I18</f>
        <v>6722</v>
      </c>
      <c r="N18" s="2">
        <f t="shared" ref="N18:R18" si="84">J18</f>
        <v>6505</v>
      </c>
      <c r="O18" s="2">
        <f t="shared" si="84"/>
        <v>5838</v>
      </c>
      <c r="P18" s="2">
        <f t="shared" si="84"/>
        <v>21193</v>
      </c>
      <c r="Q18" s="2">
        <f t="shared" si="84"/>
        <v>6722</v>
      </c>
      <c r="R18" s="2">
        <f t="shared" si="84"/>
        <v>6505</v>
      </c>
      <c r="T18" s="2">
        <v>1018</v>
      </c>
      <c r="U18" s="2">
        <v>1203</v>
      </c>
      <c r="V18" s="2">
        <v>17549</v>
      </c>
      <c r="W18" s="2">
        <f>SUM(C18:F18)</f>
        <v>30270</v>
      </c>
      <c r="X18" s="2">
        <f>SUM(G18:J18)</f>
        <v>24242</v>
      </c>
      <c r="Y18" s="2">
        <f>SUM(K18:N18)</f>
        <v>40258</v>
      </c>
      <c r="Z18" s="2">
        <f>SUM(O18:R18)</f>
        <v>40258</v>
      </c>
      <c r="AA18" s="2">
        <f>Z18+1000</f>
        <v>41258</v>
      </c>
      <c r="AB18" s="2">
        <f t="shared" ref="AB18:AF18" si="85">AA18+1000</f>
        <v>42258</v>
      </c>
      <c r="AC18" s="2">
        <f t="shared" si="85"/>
        <v>43258</v>
      </c>
      <c r="AD18" s="2">
        <f t="shared" si="85"/>
        <v>44258</v>
      </c>
      <c r="AE18" s="2">
        <f t="shared" si="85"/>
        <v>45258</v>
      </c>
      <c r="AF18" s="2">
        <f t="shared" si="85"/>
        <v>46258</v>
      </c>
      <c r="AG18" s="2">
        <f t="shared" ref="AG18:AM18" si="86">AF18+1000</f>
        <v>47258</v>
      </c>
      <c r="AH18" s="2">
        <f t="shared" si="86"/>
        <v>48258</v>
      </c>
      <c r="AI18" s="2">
        <f t="shared" si="86"/>
        <v>49258</v>
      </c>
      <c r="AJ18" s="2">
        <f t="shared" si="86"/>
        <v>50258</v>
      </c>
      <c r="AK18" s="2">
        <f t="shared" si="86"/>
        <v>51258</v>
      </c>
      <c r="AL18" s="2">
        <f t="shared" si="86"/>
        <v>52258</v>
      </c>
      <c r="AM18" s="2">
        <f t="shared" si="86"/>
        <v>53258</v>
      </c>
    </row>
    <row r="19" spans="2:87" s="2" customFormat="1" x14ac:dyDescent="0.15">
      <c r="B19" s="2" t="s">
        <v>45</v>
      </c>
      <c r="C19" s="2">
        <f t="shared" ref="C19:L19" si="87">C17-C18</f>
        <v>-59082</v>
      </c>
      <c r="D19" s="2">
        <f t="shared" si="87"/>
        <v>-68722</v>
      </c>
      <c r="E19" s="2">
        <f t="shared" si="87"/>
        <v>-59513</v>
      </c>
      <c r="F19" s="2">
        <f t="shared" si="87"/>
        <v>-58655</v>
      </c>
      <c r="G19" s="2">
        <f t="shared" si="87"/>
        <v>-60640</v>
      </c>
      <c r="H19" s="2">
        <f t="shared" si="87"/>
        <v>-71419</v>
      </c>
      <c r="I19" s="2">
        <f t="shared" si="87"/>
        <v>-76896</v>
      </c>
      <c r="J19" s="2">
        <f t="shared" si="87"/>
        <v>-79946</v>
      </c>
      <c r="K19" s="2">
        <f t="shared" si="87"/>
        <v>-79487</v>
      </c>
      <c r="L19" s="2">
        <f t="shared" si="87"/>
        <v>-108090</v>
      </c>
      <c r="M19" s="2">
        <f t="shared" ref="M19" si="88">M17-M18</f>
        <v>-89921.795999999973</v>
      </c>
      <c r="N19" s="2">
        <f t="shared" ref="N19" si="89">N17-N18</f>
        <v>-100098.05200000003</v>
      </c>
      <c r="O19" s="2">
        <f t="shared" ref="O19" si="90">O17-O18</f>
        <v>-100960.96000000002</v>
      </c>
      <c r="P19" s="2">
        <f t="shared" ref="P19" si="91">P17-P18</f>
        <v>-134616.58799999999</v>
      </c>
      <c r="Q19" s="2">
        <f t="shared" ref="Q19" si="92">Q17-Q18</f>
        <v>-111351.18540000002</v>
      </c>
      <c r="R19" s="2">
        <f t="shared" ref="R19" si="93">R17-R18</f>
        <v>-124380.94239999994</v>
      </c>
      <c r="T19" s="2">
        <f>T17-T18</f>
        <v>-79462</v>
      </c>
      <c r="U19" s="2">
        <f>U17-U18</f>
        <v>-119066</v>
      </c>
      <c r="V19" s="2">
        <f>V17-V18</f>
        <v>-170831</v>
      </c>
      <c r="W19" s="2">
        <f>W17-W18</f>
        <v>-245972</v>
      </c>
      <c r="X19" s="2">
        <f>X17-X18</f>
        <v>-288901</v>
      </c>
      <c r="Y19" s="2">
        <f>Y17-Y18</f>
        <v>-382526.80799999996</v>
      </c>
      <c r="Z19" s="2">
        <f>Z17-Z18</f>
        <v>-471309.67580000008</v>
      </c>
      <c r="AA19" s="2">
        <f t="shared" ref="AA19:AF19" si="94">AA17-AA18</f>
        <v>-583697.04930599965</v>
      </c>
      <c r="AB19" s="2">
        <f t="shared" si="94"/>
        <v>-724301.4773859405</v>
      </c>
      <c r="AC19" s="2">
        <f t="shared" si="94"/>
        <v>-900080.32074342202</v>
      </c>
      <c r="AD19" s="2">
        <f t="shared" si="94"/>
        <v>-965696.42788041756</v>
      </c>
      <c r="AE19" s="2">
        <f t="shared" si="94"/>
        <v>-1002589.7198870042</v>
      </c>
      <c r="AF19" s="2">
        <f t="shared" si="94"/>
        <v>-990116.44040618185</v>
      </c>
      <c r="AG19" s="2">
        <f t="shared" ref="AG19" si="95">AG17-AG18</f>
        <v>-898432.9782193806</v>
      </c>
      <c r="AH19" s="2">
        <f t="shared" ref="AH19" si="96">AH17-AH18</f>
        <v>-684984.2287993785</v>
      </c>
      <c r="AI19" s="2">
        <f t="shared" ref="AI19" si="97">AI17-AI18</f>
        <v>-289750.54383191466</v>
      </c>
      <c r="AJ19" s="2">
        <f t="shared" ref="AJ19" si="98">AJ17-AJ18</f>
        <v>371166.13502759859</v>
      </c>
      <c r="AK19" s="2">
        <f t="shared" ref="AK19" si="99">AK17-AK18</f>
        <v>1414173.9280472435</v>
      </c>
      <c r="AL19" s="2">
        <f t="shared" ref="AL19" si="100">AL17-AL18</f>
        <v>2999779.1971006319</v>
      </c>
      <c r="AM19" s="2">
        <f t="shared" ref="AM19" si="101">AM17-AM18</f>
        <v>5348109.9695298299</v>
      </c>
    </row>
    <row r="20" spans="2:87" s="2" customFormat="1" x14ac:dyDescent="0.15">
      <c r="B20" s="2" t="s">
        <v>46</v>
      </c>
      <c r="C20" s="2">
        <v>307</v>
      </c>
      <c r="D20" s="2">
        <v>493</v>
      </c>
      <c r="E20" s="2">
        <v>399</v>
      </c>
      <c r="F20" s="2">
        <v>811</v>
      </c>
      <c r="G20" s="2">
        <v>918</v>
      </c>
      <c r="H20" s="2">
        <v>-1998</v>
      </c>
      <c r="I20" s="2">
        <v>915</v>
      </c>
      <c r="J20" s="2">
        <v>1182</v>
      </c>
      <c r="K20" s="2">
        <v>1135</v>
      </c>
      <c r="L20" s="2">
        <v>-65</v>
      </c>
      <c r="M20" s="2">
        <f>M19*0.03</f>
        <v>-2697.6538799999989</v>
      </c>
      <c r="N20" s="2">
        <f t="shared" ref="N20:P20" si="102">N19*0.03</f>
        <v>-3002.9415600000007</v>
      </c>
      <c r="O20" s="2">
        <f t="shared" si="102"/>
        <v>-3028.8288000000007</v>
      </c>
      <c r="P20" s="2">
        <f t="shared" si="102"/>
        <v>-4038.4976399999996</v>
      </c>
      <c r="Q20" s="2">
        <f>Q19*0.05</f>
        <v>-5567.5592700000016</v>
      </c>
      <c r="R20" s="2">
        <f>R19*0.05</f>
        <v>-6219.0471199999974</v>
      </c>
      <c r="T20" s="2">
        <v>167</v>
      </c>
      <c r="U20" s="2">
        <v>124</v>
      </c>
      <c r="V20" s="2">
        <v>1678</v>
      </c>
      <c r="W20" s="2">
        <f>SUM(C20:F20)</f>
        <v>2010</v>
      </c>
      <c r="X20" s="2">
        <f>SUM(G20:J20)</f>
        <v>1017</v>
      </c>
      <c r="Y20" s="2">
        <f>SUM(K20:N20)</f>
        <v>-4630.5954399999991</v>
      </c>
      <c r="Z20" s="2">
        <f>SUM(O20:R20)</f>
        <v>-18853.932829999998</v>
      </c>
      <c r="AA20" s="2">
        <f>AA19*0.1</f>
        <v>-58369.704930599968</v>
      </c>
      <c r="AB20" s="2">
        <f t="shared" ref="AB20:AF20" si="103">AB19*0.1</f>
        <v>-72430.147738594052</v>
      </c>
      <c r="AC20" s="2">
        <f t="shared" si="103"/>
        <v>-90008.032074342205</v>
      </c>
      <c r="AD20" s="2">
        <f t="shared" si="103"/>
        <v>-96569.642788041761</v>
      </c>
      <c r="AE20" s="2">
        <f t="shared" si="103"/>
        <v>-100258.97198870043</v>
      </c>
      <c r="AF20" s="2">
        <f t="shared" si="103"/>
        <v>-99011.644040618194</v>
      </c>
      <c r="AG20" s="2">
        <f t="shared" ref="AG20" si="104">AG19*0.1</f>
        <v>-89843.29782193806</v>
      </c>
      <c r="AH20" s="2">
        <f t="shared" ref="AH20" si="105">AH19*0.1</f>
        <v>-68498.422879937847</v>
      </c>
      <c r="AI20" s="2">
        <f t="shared" ref="AI20" si="106">AI19*0.1</f>
        <v>-28975.054383191469</v>
      </c>
      <c r="AJ20" s="2">
        <f t="shared" ref="AJ20" si="107">AJ19*0.1</f>
        <v>37116.613502759858</v>
      </c>
      <c r="AK20" s="2">
        <f t="shared" ref="AK20" si="108">AK19*0.1</f>
        <v>141417.39280472437</v>
      </c>
      <c r="AL20" s="2">
        <f t="shared" ref="AL20" si="109">AL19*0.1</f>
        <v>299977.9197100632</v>
      </c>
      <c r="AM20" s="2">
        <f t="shared" ref="AM20" si="110">AM19*0.1</f>
        <v>534810.99695298297</v>
      </c>
    </row>
    <row r="21" spans="2:87" s="3" customFormat="1" x14ac:dyDescent="0.15">
      <c r="B21" s="3" t="s">
        <v>47</v>
      </c>
      <c r="C21" s="3">
        <f t="shared" ref="C21:L21" si="111">C19-C20</f>
        <v>-59389</v>
      </c>
      <c r="D21" s="3">
        <f t="shared" si="111"/>
        <v>-69215</v>
      </c>
      <c r="E21" s="3">
        <f t="shared" si="111"/>
        <v>-59912</v>
      </c>
      <c r="F21" s="3">
        <f t="shared" si="111"/>
        <v>-59466</v>
      </c>
      <c r="G21" s="3">
        <f t="shared" si="111"/>
        <v>-61558</v>
      </c>
      <c r="H21" s="3">
        <f t="shared" si="111"/>
        <v>-69421</v>
      </c>
      <c r="I21" s="3">
        <f t="shared" si="111"/>
        <v>-77811</v>
      </c>
      <c r="J21" s="3">
        <f t="shared" si="111"/>
        <v>-81128</v>
      </c>
      <c r="K21" s="3">
        <f t="shared" si="111"/>
        <v>-80622</v>
      </c>
      <c r="L21" s="3">
        <f t="shared" si="111"/>
        <v>-108025</v>
      </c>
      <c r="M21" s="3">
        <f t="shared" ref="M21" si="112">M19-M20</f>
        <v>-87224.142119999975</v>
      </c>
      <c r="N21" s="3">
        <f t="shared" ref="N21" si="113">N19-N20</f>
        <v>-97095.110440000019</v>
      </c>
      <c r="O21" s="3">
        <f t="shared" ref="O21" si="114">O19-O20</f>
        <v>-97932.131200000018</v>
      </c>
      <c r="P21" s="3">
        <f t="shared" ref="P21" si="115">P19-P20</f>
        <v>-130578.09035999999</v>
      </c>
      <c r="Q21" s="3">
        <f t="shared" ref="Q21" si="116">Q19-Q20</f>
        <v>-105783.62613000002</v>
      </c>
      <c r="R21" s="3">
        <f t="shared" ref="R21" si="117">R19-R20</f>
        <v>-118161.89527999994</v>
      </c>
      <c r="T21" s="3">
        <f>T19-T20</f>
        <v>-79629</v>
      </c>
      <c r="U21" s="3">
        <f>U19-U20</f>
        <v>-119190</v>
      </c>
      <c r="V21" s="3">
        <f>V19-V20</f>
        <v>-172509</v>
      </c>
      <c r="W21" s="3">
        <f>W19-W20</f>
        <v>-247982</v>
      </c>
      <c r="X21" s="3">
        <f>X19-X20</f>
        <v>-289918</v>
      </c>
      <c r="Y21" s="3">
        <f>Y19-Y20</f>
        <v>-377896.21255999996</v>
      </c>
      <c r="Z21" s="3">
        <f>Z19-Z20</f>
        <v>-452455.74297000008</v>
      </c>
      <c r="AA21" s="3">
        <f t="shared" ref="AA21:AF21" si="118">AA19-AA20</f>
        <v>-525327.34437539964</v>
      </c>
      <c r="AB21" s="3">
        <f t="shared" si="118"/>
        <v>-651871.3296473464</v>
      </c>
      <c r="AC21" s="3">
        <f t="shared" si="118"/>
        <v>-810072.28866907977</v>
      </c>
      <c r="AD21" s="3">
        <f t="shared" si="118"/>
        <v>-869126.78509237582</v>
      </c>
      <c r="AE21" s="3">
        <f t="shared" si="118"/>
        <v>-902330.74789830379</v>
      </c>
      <c r="AF21" s="3">
        <f t="shared" si="118"/>
        <v>-891104.79636556364</v>
      </c>
      <c r="AG21" s="3">
        <f t="shared" ref="AG21" si="119">AG19-AG20</f>
        <v>-808589.68039744254</v>
      </c>
      <c r="AH21" s="3">
        <f t="shared" ref="AH21" si="120">AH19-AH20</f>
        <v>-616485.8059194407</v>
      </c>
      <c r="AI21" s="3">
        <f t="shared" ref="AI21" si="121">AI19-AI20</f>
        <v>-260775.48944872321</v>
      </c>
      <c r="AJ21" s="3">
        <f t="shared" ref="AJ21" si="122">AJ19-AJ20</f>
        <v>334049.52152483875</v>
      </c>
      <c r="AK21" s="3">
        <f t="shared" ref="AK21" si="123">AK19-AK20</f>
        <v>1272756.5352425191</v>
      </c>
      <c r="AL21" s="3">
        <f t="shared" ref="AL21" si="124">AL19-AL20</f>
        <v>2699801.2773905685</v>
      </c>
      <c r="AM21" s="3">
        <f t="shared" ref="AM21" si="125">AM19-AM20</f>
        <v>4813298.9725768473</v>
      </c>
      <c r="AN21" s="3">
        <f>AM21*(1+$AP$24)</f>
        <v>4668900.0033995416</v>
      </c>
      <c r="AO21" s="3">
        <f>AN21*(1+$AP$24)</f>
        <v>4528833.0032975553</v>
      </c>
      <c r="AP21" s="3">
        <f>AO21*(1+$AP$24)</f>
        <v>4392968.0131986281</v>
      </c>
      <c r="AQ21" s="3">
        <f>AP21*(1+$AP$24)</f>
        <v>4261178.9728026688</v>
      </c>
      <c r="AR21" s="3">
        <f>AQ21*(1+$AP$24)</f>
        <v>4133343.6036185888</v>
      </c>
      <c r="AS21" s="3">
        <f>AR21*(1+$AP$24)</f>
        <v>4009343.2955100308</v>
      </c>
      <c r="AT21" s="3">
        <f>AS21*(1+$AP$24)</f>
        <v>3889062.9966447297</v>
      </c>
      <c r="AU21" s="3">
        <f>AT21*(1+$AP$24)</f>
        <v>3772391.1067453879</v>
      </c>
      <c r="AV21" s="3">
        <f>AU21*(1+$AP$24)</f>
        <v>3659219.3735430259</v>
      </c>
      <c r="AW21" s="3">
        <f>AV21*(1+$AP$24)</f>
        <v>3549442.7923367349</v>
      </c>
      <c r="AX21" s="3">
        <f>AW21*(1+$AP$24)</f>
        <v>3442959.5085666329</v>
      </c>
      <c r="AY21" s="3">
        <f>AX21*(1+$AP$24)</f>
        <v>3339670.7233096338</v>
      </c>
      <c r="AZ21" s="3">
        <f>AY21*(1+$AP$24)</f>
        <v>3239480.6016103448</v>
      </c>
      <c r="BA21" s="3">
        <f>AZ21*(1+$AP$24)</f>
        <v>3142296.1835620343</v>
      </c>
      <c r="BB21" s="3">
        <f>BA21*(1+$AP$24)</f>
        <v>3048027.2980551734</v>
      </c>
      <c r="BC21" s="3">
        <f>BB21*(1+$AP$24)</f>
        <v>2956586.4791135183</v>
      </c>
      <c r="BD21" s="3">
        <f>BC21*(1+$AP$24)</f>
        <v>2867888.8847401128</v>
      </c>
      <c r="BE21" s="3">
        <f>BD21*(1+$AP$24)</f>
        <v>2781852.2181979092</v>
      </c>
      <c r="BF21" s="3">
        <f>BE21*(1+$AP$24)</f>
        <v>2698396.651651972</v>
      </c>
      <c r="BG21" s="3">
        <f>BF21*(1+$AP$24)</f>
        <v>2617444.7521024127</v>
      </c>
      <c r="BH21" s="3">
        <f>BG21*(1+$AP$24)</f>
        <v>2538921.4095393405</v>
      </c>
      <c r="BI21" s="3">
        <f>BH21*(1+$AP$24)</f>
        <v>2462753.7672531605</v>
      </c>
      <c r="BJ21" s="3">
        <f>BI21*(1+$AP$24)</f>
        <v>2388871.1542355656</v>
      </c>
      <c r="BK21" s="3">
        <f>BJ21*(1+$AP$24)</f>
        <v>2317205.0196084986</v>
      </c>
      <c r="BL21" s="3">
        <f>BK21*(1+$AP$24)</f>
        <v>2247688.8690202436</v>
      </c>
      <c r="BM21" s="3">
        <f>BL21*(1+$AP$24)</f>
        <v>2180258.2029496362</v>
      </c>
      <c r="BN21" s="3">
        <f>BM21*(1+$AP$24)</f>
        <v>2114850.4568611472</v>
      </c>
      <c r="BO21" s="3">
        <f>BN21*(1+$AP$24)</f>
        <v>2051404.9431553127</v>
      </c>
      <c r="BP21" s="3">
        <f>BO21*(1+$AP$24)</f>
        <v>1989862.7948606533</v>
      </c>
      <c r="BQ21" s="3">
        <f>BP21*(1+$AP$24)</f>
        <v>1930166.9110148337</v>
      </c>
      <c r="BR21" s="3">
        <f>BQ21*(1+$AP$24)</f>
        <v>1872261.9036843886</v>
      </c>
      <c r="BS21" s="3">
        <f>BR21*(1+$AP$24)</f>
        <v>1816094.0465738568</v>
      </c>
      <c r="BT21" s="3">
        <f>BS21*(1+$AP$24)</f>
        <v>1761611.225176641</v>
      </c>
      <c r="BU21" s="3">
        <f>BT21*(1+$AP$24)</f>
        <v>1708762.8884213418</v>
      </c>
      <c r="BV21" s="3">
        <f>BU21*(1+$AP$24)</f>
        <v>1657500.0017687015</v>
      </c>
      <c r="BW21" s="3">
        <f>BV21*(1+$AP$24)</f>
        <v>1607775.0017156403</v>
      </c>
      <c r="BX21" s="3">
        <f>BW21*(1+$AP$24)</f>
        <v>1559541.751664171</v>
      </c>
      <c r="BY21" s="3">
        <f>BX21*(1+$AP$24)</f>
        <v>1512755.4991142459</v>
      </c>
      <c r="BZ21" s="3">
        <f>BY21*(1+$AP$24)</f>
        <v>1467372.8341408186</v>
      </c>
      <c r="CA21" s="3">
        <f>BZ21*(1+$AP$24)</f>
        <v>1423351.6491165939</v>
      </c>
      <c r="CB21" s="3">
        <f>CA21*(1+$AP$24)</f>
        <v>1380651.0996430961</v>
      </c>
      <c r="CC21" s="3">
        <f>CB21*(1+$AP$24)</f>
        <v>1339231.5666538032</v>
      </c>
      <c r="CD21" s="3">
        <f>CC21*(1+$AP$24)</f>
        <v>1299054.6196541891</v>
      </c>
      <c r="CE21" s="3">
        <f>CD21*(1+$AP$24)</f>
        <v>1260082.9810645634</v>
      </c>
      <c r="CF21" s="3">
        <f>CE21*(1+$AP$24)</f>
        <v>1222280.4916326264</v>
      </c>
      <c r="CG21" s="3">
        <f>CF21*(1+$AP$24)</f>
        <v>1185612.0768836476</v>
      </c>
      <c r="CH21" s="3">
        <f>CG21*(1+$AP$24)</f>
        <v>1150043.7145771382</v>
      </c>
      <c r="CI21" s="3">
        <f>CH21*(1+$AP$24)</f>
        <v>1115542.403139824</v>
      </c>
    </row>
    <row r="22" spans="2:87" x14ac:dyDescent="0.15">
      <c r="B22" s="1" t="s">
        <v>49</v>
      </c>
      <c r="C22" s="4">
        <f t="shared" ref="C22:L22" si="126">C21/C23</f>
        <v>-0.32438115837539055</v>
      </c>
      <c r="D22" s="4">
        <f t="shared" si="126"/>
        <v>-0.37551744529863984</v>
      </c>
      <c r="E22" s="4">
        <f t="shared" si="126"/>
        <v>-0.32506103846779882</v>
      </c>
      <c r="F22" s="4">
        <f t="shared" si="126"/>
        <v>-0.32023306910218852</v>
      </c>
      <c r="G22" s="4">
        <f t="shared" si="126"/>
        <v>-0.32850205453866266</v>
      </c>
      <c r="H22" s="4">
        <f t="shared" si="126"/>
        <v>-0.36660857625686522</v>
      </c>
      <c r="I22" s="4">
        <f t="shared" si="126"/>
        <v>-0.40797055477200395</v>
      </c>
      <c r="J22" s="4">
        <f t="shared" si="126"/>
        <v>-0.42147699820765255</v>
      </c>
      <c r="K22" s="4">
        <f t="shared" si="126"/>
        <v>-0.41444720324476042</v>
      </c>
      <c r="L22" s="4">
        <f t="shared" si="126"/>
        <v>-0.54773023430330137</v>
      </c>
      <c r="M22" s="4">
        <f t="shared" ref="M22" si="127">M21/M23</f>
        <v>-0.44226151168981293</v>
      </c>
      <c r="N22" s="4">
        <f t="shared" ref="N22" si="128">N21/N23</f>
        <v>-0.49231129452447236</v>
      </c>
      <c r="O22" s="4">
        <f t="shared" ref="O22" si="129">O21/O23</f>
        <v>-0.49655532671138769</v>
      </c>
      <c r="P22" s="4">
        <f t="shared" ref="P22" si="130">P21/P23</f>
        <v>-0.66208348093275116</v>
      </c>
      <c r="Q22" s="4">
        <f t="shared" ref="Q22" si="131">Q21/Q23</f>
        <v>-0.53636556654142786</v>
      </c>
      <c r="R22" s="4">
        <f t="shared" ref="R22" si="132">R21/R23</f>
        <v>-0.59912837387120133</v>
      </c>
      <c r="T22" s="4">
        <f>T21/T23</f>
        <v>-2.7013026663952777</v>
      </c>
      <c r="U22" s="4">
        <f>U21/U23</f>
        <v>-1.6104362864979531</v>
      </c>
      <c r="V22" s="4">
        <f>V21/V23</f>
        <v>-1.0070754303928264</v>
      </c>
      <c r="W22" s="4">
        <f>W21/W23</f>
        <v>-1.3451530968566969</v>
      </c>
      <c r="X22" s="4">
        <f>X21/X23</f>
        <v>-1.56350080556548</v>
      </c>
      <c r="Y22" s="4">
        <f>Y21/Y23</f>
        <v>-1.9226516096962849</v>
      </c>
      <c r="Z22" s="4">
        <f>Z21/Z23</f>
        <v>-2.2941327480567688</v>
      </c>
      <c r="AA22" s="4">
        <f t="shared" ref="AA22:AF22" si="133">AA21/AA23</f>
        <v>-2.6636211008624735</v>
      </c>
      <c r="AB22" s="4">
        <f t="shared" si="133"/>
        <v>-3.3052500451131279</v>
      </c>
      <c r="AC22" s="4">
        <f t="shared" si="133"/>
        <v>-4.107392589449911</v>
      </c>
      <c r="AD22" s="4">
        <f t="shared" si="133"/>
        <v>-4.4068226580691698</v>
      </c>
      <c r="AE22" s="4">
        <f t="shared" si="133"/>
        <v>-4.5751801153937617</v>
      </c>
      <c r="AF22" s="4">
        <f t="shared" si="133"/>
        <v>-4.5182600222365732</v>
      </c>
      <c r="AG22" s="4">
        <f t="shared" ref="AG22" si="134">AG21/AG23</f>
        <v>-4.0998751687046768</v>
      </c>
      <c r="AH22" s="4">
        <f t="shared" ref="AH22" si="135">AH21/AH23</f>
        <v>-3.125831195750195</v>
      </c>
      <c r="AI22" s="4">
        <f t="shared" ref="AI22" si="136">AI21/AI23</f>
        <v>-1.3222367038769474</v>
      </c>
      <c r="AJ22" s="4">
        <f t="shared" ref="AJ22" si="137">AJ21/AJ23</f>
        <v>1.6937655421773259</v>
      </c>
      <c r="AK22" s="4">
        <f t="shared" ref="AK22" si="138">AK21/AK23</f>
        <v>6.4533879681503636</v>
      </c>
      <c r="AL22" s="4">
        <f t="shared" ref="AL22" si="139">AL21/AL23</f>
        <v>13.689079252372029</v>
      </c>
      <c r="AM22" s="4">
        <f t="shared" ref="AM22" si="140">AM21/AM23</f>
        <v>24.405363332759602</v>
      </c>
    </row>
    <row r="23" spans="2:87" s="2" customFormat="1" x14ac:dyDescent="0.15">
      <c r="B23" s="2" t="s">
        <v>1</v>
      </c>
      <c r="C23" s="2">
        <v>183084</v>
      </c>
      <c r="D23" s="2">
        <v>184319</v>
      </c>
      <c r="E23" s="2">
        <v>184310</v>
      </c>
      <c r="F23" s="2">
        <v>185696</v>
      </c>
      <c r="G23" s="2">
        <v>187390</v>
      </c>
      <c r="H23" s="2">
        <v>189360</v>
      </c>
      <c r="I23" s="2">
        <v>190727</v>
      </c>
      <c r="J23" s="2">
        <v>192485</v>
      </c>
      <c r="K23" s="2">
        <v>194529</v>
      </c>
      <c r="L23" s="2">
        <v>197223</v>
      </c>
      <c r="M23" s="2">
        <f>L23</f>
        <v>197223</v>
      </c>
      <c r="N23" s="2">
        <f t="shared" ref="N23:R23" si="141">M23</f>
        <v>197223</v>
      </c>
      <c r="O23" s="2">
        <f t="shared" si="141"/>
        <v>197223</v>
      </c>
      <c r="P23" s="2">
        <f t="shared" si="141"/>
        <v>197223</v>
      </c>
      <c r="Q23" s="2">
        <f t="shared" si="141"/>
        <v>197223</v>
      </c>
      <c r="R23" s="2">
        <f t="shared" si="141"/>
        <v>197223</v>
      </c>
      <c r="T23" s="2">
        <v>29478</v>
      </c>
      <c r="U23" s="2">
        <v>74011</v>
      </c>
      <c r="V23" s="2">
        <v>171297</v>
      </c>
      <c r="W23" s="2">
        <f>AVERAGE(C23:F23)</f>
        <v>184352.25</v>
      </c>
      <c r="X23" s="2">
        <f>AVERAGE(D23:G23)</f>
        <v>185428.75</v>
      </c>
      <c r="Y23" s="2">
        <f>AVERAGE(K23:N23)</f>
        <v>196549.5</v>
      </c>
      <c r="Z23" s="2">
        <f>AVERAGE(L23:O23)</f>
        <v>197223</v>
      </c>
      <c r="AA23" s="2">
        <f>Z23</f>
        <v>197223</v>
      </c>
      <c r="AB23" s="2">
        <f t="shared" ref="AB23:AF23" si="142">AA23</f>
        <v>197223</v>
      </c>
      <c r="AC23" s="2">
        <f t="shared" si="142"/>
        <v>197223</v>
      </c>
      <c r="AD23" s="2">
        <f t="shared" si="142"/>
        <v>197223</v>
      </c>
      <c r="AE23" s="2">
        <f t="shared" si="142"/>
        <v>197223</v>
      </c>
      <c r="AF23" s="2">
        <f t="shared" si="142"/>
        <v>197223</v>
      </c>
      <c r="AG23" s="2">
        <f t="shared" ref="AG23:AM23" si="143">AF23</f>
        <v>197223</v>
      </c>
      <c r="AH23" s="2">
        <f t="shared" si="143"/>
        <v>197223</v>
      </c>
      <c r="AI23" s="2">
        <f t="shared" si="143"/>
        <v>197223</v>
      </c>
      <c r="AJ23" s="2">
        <f t="shared" si="143"/>
        <v>197223</v>
      </c>
      <c r="AK23" s="2">
        <f t="shared" si="143"/>
        <v>197223</v>
      </c>
      <c r="AL23" s="2">
        <f t="shared" si="143"/>
        <v>197223</v>
      </c>
      <c r="AM23" s="2">
        <f t="shared" si="143"/>
        <v>197223</v>
      </c>
    </row>
    <row r="24" spans="2:87" s="2" customFormat="1" x14ac:dyDescent="0.15">
      <c r="L24" s="5"/>
      <c r="AO24" s="2" t="s">
        <v>63</v>
      </c>
      <c r="AP24" s="9">
        <v>-0.03</v>
      </c>
    </row>
    <row r="25" spans="2:87" s="5" customFormat="1" x14ac:dyDescent="0.15">
      <c r="B25" s="5" t="s">
        <v>54</v>
      </c>
      <c r="G25" s="5">
        <f t="shared" ref="G25:K25" si="144">G8/C8-1</f>
        <v>0.57106368593375367</v>
      </c>
      <c r="H25" s="5">
        <f t="shared" si="144"/>
        <v>0.5135239318984901</v>
      </c>
      <c r="I25" s="5">
        <f t="shared" si="144"/>
        <v>0.41937973682986929</v>
      </c>
      <c r="J25" s="5">
        <f t="shared" si="144"/>
        <v>0.42936629646488966</v>
      </c>
      <c r="K25" s="5">
        <f t="shared" si="144"/>
        <v>0.37645094577955596</v>
      </c>
      <c r="L25" s="7">
        <f>L8/H8-1</f>
        <v>0.33614554150041043</v>
      </c>
      <c r="M25" s="7">
        <f t="shared" ref="M25:R25" si="145">M8/I8-1</f>
        <v>0.30000000000000004</v>
      </c>
      <c r="N25" s="7">
        <f t="shared" si="145"/>
        <v>0.30000000000000004</v>
      </c>
      <c r="O25" s="7">
        <f t="shared" si="145"/>
        <v>0.30000000000000004</v>
      </c>
      <c r="P25" s="7">
        <f t="shared" si="145"/>
        <v>0.30000000000000004</v>
      </c>
      <c r="Q25" s="7">
        <f t="shared" si="145"/>
        <v>0.30000000000000004</v>
      </c>
      <c r="R25" s="7">
        <f t="shared" si="145"/>
        <v>0.30000000000000027</v>
      </c>
      <c r="U25" s="5">
        <f t="shared" ref="U25:X25" si="146">U8/T8-1</f>
        <v>1.03572942935571</v>
      </c>
      <c r="V25" s="5">
        <f t="shared" si="146"/>
        <v>0.71359767884614689</v>
      </c>
      <c r="W25" s="5">
        <f t="shared" si="146"/>
        <v>0.68009417023145913</v>
      </c>
      <c r="X25" s="5">
        <f>X8/W8-1</f>
        <v>0.47532048841164665</v>
      </c>
      <c r="Y25" s="5">
        <f t="shared" ref="Y25:AM25" si="147">Y8/X8-1</f>
        <v>0.32529720066142098</v>
      </c>
      <c r="Z25" s="5">
        <f t="shared" si="147"/>
        <v>0.30000000000000004</v>
      </c>
      <c r="AA25" s="5">
        <f t="shared" si="147"/>
        <v>0.30000000000000027</v>
      </c>
      <c r="AB25" s="5">
        <f t="shared" si="147"/>
        <v>0.30000000000000004</v>
      </c>
      <c r="AC25" s="5">
        <f t="shared" si="147"/>
        <v>0.30000000000000004</v>
      </c>
      <c r="AD25" s="5">
        <f t="shared" si="147"/>
        <v>0.30000000000000004</v>
      </c>
      <c r="AE25" s="5">
        <f t="shared" si="147"/>
        <v>0.30000000000000004</v>
      </c>
      <c r="AF25" s="5">
        <f t="shared" si="147"/>
        <v>0.29999999999999982</v>
      </c>
      <c r="AG25" s="5">
        <f t="shared" si="147"/>
        <v>0.30000000000000004</v>
      </c>
      <c r="AH25" s="5">
        <f t="shared" si="147"/>
        <v>0.29999999999999982</v>
      </c>
      <c r="AI25" s="5">
        <f t="shared" si="147"/>
        <v>0.30000000000000027</v>
      </c>
      <c r="AJ25" s="5">
        <f t="shared" si="147"/>
        <v>0.29999999999999982</v>
      </c>
      <c r="AK25" s="5">
        <f t="shared" si="147"/>
        <v>0.30000000000000027</v>
      </c>
      <c r="AL25" s="5">
        <f t="shared" si="147"/>
        <v>0.30000000000000004</v>
      </c>
      <c r="AM25" s="5">
        <f t="shared" si="147"/>
        <v>0.30000000000000004</v>
      </c>
      <c r="AO25" s="2" t="s">
        <v>64</v>
      </c>
      <c r="AP25" s="9">
        <v>2.5000000000000001E-2</v>
      </c>
    </row>
    <row r="26" spans="2:87" s="7" customFormat="1" x14ac:dyDescent="0.15">
      <c r="B26" s="7" t="s">
        <v>55</v>
      </c>
      <c r="G26" s="7">
        <f t="shared" ref="G26:K26" si="148">G6/C6-1</f>
        <v>0.62870015477241981</v>
      </c>
      <c r="H26" s="7">
        <f t="shared" si="148"/>
        <v>0.55752791468270546</v>
      </c>
      <c r="I26" s="7">
        <f t="shared" si="148"/>
        <v>0.47625043338625206</v>
      </c>
      <c r="J26" s="7">
        <f t="shared" si="148"/>
        <v>0.43951590731637569</v>
      </c>
      <c r="K26" s="7">
        <f t="shared" si="148"/>
        <v>0.39309826710382945</v>
      </c>
      <c r="L26" s="7">
        <f>L6/H6-1</f>
        <v>0.36866569530977644</v>
      </c>
      <c r="M26" s="7">
        <f t="shared" ref="M26:R27" si="149">M6/I6-1</f>
        <v>0.30000000000000004</v>
      </c>
      <c r="N26" s="7">
        <f t="shared" si="149"/>
        <v>0.30000000000000004</v>
      </c>
      <c r="O26" s="7">
        <f t="shared" si="149"/>
        <v>0.30000000000000004</v>
      </c>
      <c r="P26" s="7">
        <f t="shared" si="149"/>
        <v>0.30000000000000004</v>
      </c>
      <c r="Q26" s="7">
        <f t="shared" si="149"/>
        <v>0.30000000000000004</v>
      </c>
      <c r="R26" s="7">
        <f t="shared" si="149"/>
        <v>0.30000000000000004</v>
      </c>
      <c r="U26" s="7">
        <f t="shared" ref="U26:X26" si="150">U6/T6-1</f>
        <v>1.1472572601936051</v>
      </c>
      <c r="V26" s="7">
        <f t="shared" si="150"/>
        <v>0.86091319882303496</v>
      </c>
      <c r="W26" s="7">
        <f t="shared" si="150"/>
        <v>0.73173823795984405</v>
      </c>
      <c r="X26" s="7">
        <f>X6/W6-1</f>
        <v>0.51506860929225473</v>
      </c>
      <c r="Y26" s="7">
        <f t="shared" ref="Y26:Z26" si="151">Y6/X6-1</f>
        <v>0.3366705264766463</v>
      </c>
      <c r="Z26" s="7">
        <f t="shared" si="151"/>
        <v>0.30000000000000004</v>
      </c>
      <c r="AA26" s="7">
        <f t="shared" ref="AA26:AM26" si="152">AA6/Z6-1</f>
        <v>0.30000000000000027</v>
      </c>
      <c r="AB26" s="7">
        <f t="shared" si="152"/>
        <v>0.30000000000000004</v>
      </c>
      <c r="AC26" s="7">
        <f t="shared" si="152"/>
        <v>0.30000000000000004</v>
      </c>
      <c r="AD26" s="7">
        <f t="shared" si="152"/>
        <v>0.30000000000000004</v>
      </c>
      <c r="AE26" s="7">
        <f t="shared" si="152"/>
        <v>0.30000000000000004</v>
      </c>
      <c r="AF26" s="7">
        <f t="shared" si="152"/>
        <v>0.30000000000000004</v>
      </c>
      <c r="AG26" s="7">
        <f t="shared" si="152"/>
        <v>0.29999999999999982</v>
      </c>
      <c r="AH26" s="7">
        <f t="shared" si="152"/>
        <v>0.30000000000000004</v>
      </c>
      <c r="AI26" s="7">
        <f t="shared" si="152"/>
        <v>0.30000000000000004</v>
      </c>
      <c r="AJ26" s="7">
        <f t="shared" si="152"/>
        <v>0.30000000000000004</v>
      </c>
      <c r="AK26" s="7">
        <f t="shared" si="152"/>
        <v>0.30000000000000004</v>
      </c>
      <c r="AL26" s="7">
        <f t="shared" si="152"/>
        <v>0.30000000000000027</v>
      </c>
      <c r="AM26" s="7">
        <f t="shared" si="152"/>
        <v>0.30000000000000004</v>
      </c>
      <c r="AO26" s="7" t="s">
        <v>65</v>
      </c>
      <c r="AP26" s="9">
        <v>0.08</v>
      </c>
    </row>
    <row r="27" spans="2:87" s="7" customFormat="1" x14ac:dyDescent="0.15">
      <c r="B27" s="7" t="s">
        <v>56</v>
      </c>
      <c r="G27" s="7">
        <f t="shared" ref="G27:L27" si="153">G7/C7-1</f>
        <v>0.37528213597577764</v>
      </c>
      <c r="H27" s="7">
        <f t="shared" si="153"/>
        <v>0.36695418289742165</v>
      </c>
      <c r="I27" s="7">
        <f t="shared" si="153"/>
        <v>0.23484713916355804</v>
      </c>
      <c r="J27" s="7">
        <f t="shared" si="153"/>
        <v>0.38779922084356078</v>
      </c>
      <c r="K27" s="7">
        <f t="shared" si="153"/>
        <v>0.30948282763589785</v>
      </c>
      <c r="L27" s="7">
        <f t="shared" si="153"/>
        <v>0.21272517556060655</v>
      </c>
      <c r="M27" s="7">
        <f t="shared" si="149"/>
        <v>0.30000000000000004</v>
      </c>
      <c r="N27" s="7">
        <f t="shared" si="149"/>
        <v>0.30000000000000004</v>
      </c>
      <c r="O27" s="7">
        <f t="shared" si="149"/>
        <v>0.30000000000000004</v>
      </c>
      <c r="P27" s="7">
        <f t="shared" si="149"/>
        <v>0.30000000000000004</v>
      </c>
      <c r="Q27" s="7">
        <f t="shared" si="149"/>
        <v>0.30000000000000004</v>
      </c>
      <c r="R27" s="7">
        <f t="shared" si="149"/>
        <v>0.30000000000000004</v>
      </c>
      <c r="U27" s="7">
        <f t="shared" ref="U27:X27" si="154">U7/T7-1</f>
        <v>0.81986329788395595</v>
      </c>
      <c r="V27" s="7">
        <f t="shared" si="154"/>
        <v>0.37716740463419618</v>
      </c>
      <c r="W27" s="7">
        <f t="shared" si="154"/>
        <v>0.52072423738117446</v>
      </c>
      <c r="X27" s="7">
        <f>X7/W7-1</f>
        <v>0.33564045561845401</v>
      </c>
      <c r="Y27" s="7">
        <f t="shared" ref="Y27:Z27" si="155">Y7/X7-1</f>
        <v>0.27996070558358221</v>
      </c>
      <c r="Z27" s="7">
        <f t="shared" si="155"/>
        <v>0.30000000000000004</v>
      </c>
      <c r="AA27" s="7">
        <f t="shared" ref="AA27:AM27" si="156">AA7/Z7-1</f>
        <v>0.30000000000000004</v>
      </c>
      <c r="AB27" s="7">
        <f t="shared" si="156"/>
        <v>0.30000000000000004</v>
      </c>
      <c r="AC27" s="7">
        <f t="shared" si="156"/>
        <v>0.30000000000000004</v>
      </c>
      <c r="AD27" s="7">
        <f t="shared" si="156"/>
        <v>0.30000000000000004</v>
      </c>
      <c r="AE27" s="7">
        <f t="shared" si="156"/>
        <v>0.30000000000000004</v>
      </c>
      <c r="AF27" s="7">
        <f t="shared" si="156"/>
        <v>0.30000000000000004</v>
      </c>
      <c r="AG27" s="7">
        <f t="shared" si="156"/>
        <v>0.30000000000000004</v>
      </c>
      <c r="AH27" s="7">
        <f t="shared" si="156"/>
        <v>0.30000000000000004</v>
      </c>
      <c r="AI27" s="7">
        <f t="shared" si="156"/>
        <v>0.30000000000000004</v>
      </c>
      <c r="AJ27" s="7">
        <f t="shared" si="156"/>
        <v>0.30000000000000004</v>
      </c>
      <c r="AK27" s="7">
        <f t="shared" si="156"/>
        <v>0.30000000000000004</v>
      </c>
      <c r="AL27" s="7">
        <f t="shared" si="156"/>
        <v>0.30000000000000004</v>
      </c>
      <c r="AM27" s="7">
        <f t="shared" si="156"/>
        <v>0.30000000000000004</v>
      </c>
      <c r="AO27" s="7" t="s">
        <v>66</v>
      </c>
      <c r="AP27" s="2">
        <f>NPV(AP26,Y21:CI21)</f>
        <v>11797520.589146113</v>
      </c>
    </row>
    <row r="28" spans="2:87" s="7" customFormat="1" x14ac:dyDescent="0.15">
      <c r="B28" s="7" t="s">
        <v>62</v>
      </c>
      <c r="G28" s="7">
        <f t="shared" ref="G28:K28" si="157">G17/C17-1</f>
        <v>2.5363362325518946E-2</v>
      </c>
      <c r="H28" s="7">
        <f t="shared" si="157"/>
        <v>9.5047677637649874E-2</v>
      </c>
      <c r="I28" s="7">
        <f t="shared" si="157"/>
        <v>0.36350211790308173</v>
      </c>
      <c r="J28" s="7">
        <f t="shared" si="157"/>
        <v>0.45762543664655442</v>
      </c>
      <c r="K28" s="7">
        <f t="shared" si="157"/>
        <v>0.37909145382368359</v>
      </c>
      <c r="L28" s="7">
        <f>L17/H17-1</f>
        <v>0.28469840331164997</v>
      </c>
      <c r="M28" s="7">
        <f t="shared" ref="M28:R28" si="158">M17/I17-1</f>
        <v>0.18562139823866342</v>
      </c>
      <c r="N28" s="7">
        <f t="shared" si="158"/>
        <v>0.27439784316662386</v>
      </c>
      <c r="O28" s="7">
        <f t="shared" si="158"/>
        <v>0.2915716438783964</v>
      </c>
      <c r="P28" s="7">
        <f t="shared" si="158"/>
        <v>0.30526471569789515</v>
      </c>
      <c r="Q28" s="7">
        <f t="shared" si="158"/>
        <v>0.25756540797287597</v>
      </c>
      <c r="R28" s="7">
        <f t="shared" si="158"/>
        <v>0.25945184905392238</v>
      </c>
      <c r="U28" s="7">
        <f t="shared" ref="U28:X28" si="159">U16/T16-1</f>
        <v>0.86426716744744181</v>
      </c>
      <c r="V28" s="7">
        <f t="shared" si="159"/>
        <v>0.6197610778769751</v>
      </c>
      <c r="W28" s="7">
        <f t="shared" si="159"/>
        <v>0.65860443187175854</v>
      </c>
      <c r="X28" s="7">
        <f>X16/W16-1</f>
        <v>0.42479211759179925</v>
      </c>
      <c r="Y28" s="7">
        <f t="shared" ref="Y28:AM28" si="160">Y16/X16-1</f>
        <v>0.32035579310986928</v>
      </c>
      <c r="Z28" s="7">
        <f t="shared" si="160"/>
        <v>0.29000000000000026</v>
      </c>
      <c r="AA28" s="7">
        <f t="shared" si="160"/>
        <v>0.28999999999999981</v>
      </c>
      <c r="AB28" s="7">
        <f t="shared" si="160"/>
        <v>0.29000000000000048</v>
      </c>
      <c r="AC28" s="7">
        <f t="shared" si="160"/>
        <v>0.28999999999999959</v>
      </c>
      <c r="AD28" s="7">
        <f t="shared" si="160"/>
        <v>0.25000000000000022</v>
      </c>
      <c r="AE28" s="7">
        <f t="shared" si="160"/>
        <v>0.25000000000000022</v>
      </c>
      <c r="AF28" s="7">
        <f t="shared" si="160"/>
        <v>0.24999999999999978</v>
      </c>
      <c r="AG28" s="7">
        <f t="shared" si="160"/>
        <v>0.25</v>
      </c>
      <c r="AH28" s="7">
        <f t="shared" si="160"/>
        <v>0.25</v>
      </c>
      <c r="AI28" s="7">
        <f t="shared" si="160"/>
        <v>0.24999999999999978</v>
      </c>
      <c r="AJ28" s="7">
        <f t="shared" si="160"/>
        <v>0.25000000000000022</v>
      </c>
      <c r="AK28" s="7">
        <f t="shared" si="160"/>
        <v>0.25</v>
      </c>
      <c r="AL28" s="7">
        <f t="shared" si="160"/>
        <v>0.24999999999999978</v>
      </c>
      <c r="AM28" s="7">
        <f t="shared" si="160"/>
        <v>0.25</v>
      </c>
      <c r="AO28" s="7" t="s">
        <v>68</v>
      </c>
      <c r="AP28" s="2">
        <f>AP27+Main!J5-Main!J6</f>
        <v>13344665.589146113</v>
      </c>
    </row>
    <row r="29" spans="2:87" s="7" customFormat="1" x14ac:dyDescent="0.15">
      <c r="AO29" s="7" t="s">
        <v>67</v>
      </c>
      <c r="AP29" s="10">
        <f>AP28/Main!J3</f>
        <v>66.72332794573056</v>
      </c>
    </row>
    <row r="30" spans="2:87" s="7" customFormat="1" x14ac:dyDescent="0.15">
      <c r="AO30" s="7" t="s">
        <v>69</v>
      </c>
      <c r="AP30" s="10">
        <v>87.01</v>
      </c>
    </row>
    <row r="31" spans="2:87" s="7" customFormat="1" x14ac:dyDescent="0.15"/>
    <row r="32" spans="2:87" s="7" customFormat="1" x14ac:dyDescent="0.15">
      <c r="B32" s="7" t="s">
        <v>58</v>
      </c>
      <c r="G32" s="7">
        <f t="shared" ref="G32:K32" si="161">G21/C21-1</f>
        <v>3.6521914832713165E-2</v>
      </c>
      <c r="H32" s="7">
        <f t="shared" si="161"/>
        <v>2.9762334754026565E-3</v>
      </c>
      <c r="I32" s="7">
        <f t="shared" si="161"/>
        <v>0.29875484043263456</v>
      </c>
      <c r="J32" s="7">
        <f t="shared" si="161"/>
        <v>0.36427538425318673</v>
      </c>
      <c r="K32" s="7">
        <f t="shared" si="161"/>
        <v>0.30969167289385613</v>
      </c>
      <c r="L32" s="7">
        <f>L21/H21-1</f>
        <v>0.55608533440889651</v>
      </c>
      <c r="M32" s="7">
        <f t="shared" ref="M32:R32" si="162">M21/I21-1</f>
        <v>0.12097443960365473</v>
      </c>
      <c r="N32" s="7">
        <f t="shared" si="162"/>
        <v>0.19681380583768893</v>
      </c>
      <c r="O32" s="7">
        <f t="shared" si="162"/>
        <v>0.21470729081392204</v>
      </c>
      <c r="P32" s="7">
        <f t="shared" si="162"/>
        <v>0.20877658282804901</v>
      </c>
      <c r="Q32" s="7">
        <f t="shared" si="162"/>
        <v>0.21277920950448026</v>
      </c>
      <c r="R32" s="7">
        <f t="shared" si="162"/>
        <v>0.21697060484851249</v>
      </c>
    </row>
    <row r="33" spans="2:39" s="7" customFormat="1" x14ac:dyDescent="0.15"/>
    <row r="34" spans="2:39" s="7" customFormat="1" x14ac:dyDescent="0.15"/>
    <row r="35" spans="2:39" s="7" customFormat="1" x14ac:dyDescent="0.15"/>
    <row r="36" spans="2:39" s="7" customFormat="1" x14ac:dyDescent="0.15"/>
    <row r="37" spans="2:39" s="7" customFormat="1" x14ac:dyDescent="0.15"/>
    <row r="38" spans="2:39" s="7" customFormat="1" x14ac:dyDescent="0.15"/>
    <row r="39" spans="2:39" s="7" customFormat="1" x14ac:dyDescent="0.15">
      <c r="B39" s="7" t="s">
        <v>59</v>
      </c>
      <c r="G39" s="7">
        <f t="shared" ref="G39:K39" si="163">G12/G8</f>
        <v>0.6895324697059656</v>
      </c>
      <c r="H39" s="7">
        <f t="shared" si="163"/>
        <v>0.67428262161473806</v>
      </c>
      <c r="I39" s="7">
        <f t="shared" si="163"/>
        <v>0.66667103444209308</v>
      </c>
      <c r="J39" s="7">
        <f t="shared" si="163"/>
        <v>0.68252495926437806</v>
      </c>
      <c r="K39" s="7">
        <f t="shared" si="163"/>
        <v>0.68553107720811746</v>
      </c>
      <c r="L39" s="7">
        <f>L12/L8</f>
        <v>0.68799358259888865</v>
      </c>
      <c r="M39" s="7">
        <f t="shared" ref="M39:R39" si="164">M12/M8</f>
        <v>0.68</v>
      </c>
      <c r="N39" s="7">
        <f t="shared" si="164"/>
        <v>0.68</v>
      </c>
      <c r="O39" s="7">
        <f t="shared" si="164"/>
        <v>0.67999999999999994</v>
      </c>
      <c r="P39" s="7">
        <f t="shared" si="164"/>
        <v>0.68</v>
      </c>
      <c r="Q39" s="7">
        <f t="shared" si="164"/>
        <v>0.68</v>
      </c>
      <c r="R39" s="7">
        <f t="shared" si="164"/>
        <v>0.68</v>
      </c>
    </row>
    <row r="40" spans="2:39" s="7" customFormat="1" x14ac:dyDescent="0.15">
      <c r="B40" s="7" t="s">
        <v>57</v>
      </c>
      <c r="G40" s="7">
        <f t="shared" ref="G40:K40" si="165">G17/G8</f>
        <v>-0.21280139625513533</v>
      </c>
      <c r="H40" s="7">
        <f t="shared" si="165"/>
        <v>-0.23926762317118036</v>
      </c>
      <c r="I40" s="7">
        <f t="shared" si="165"/>
        <v>-0.22987820458223321</v>
      </c>
      <c r="J40" s="7">
        <f t="shared" si="165"/>
        <v>-0.22707133294375548</v>
      </c>
      <c r="K40" s="7">
        <f t="shared" si="165"/>
        <v>-0.21320962278898764</v>
      </c>
      <c r="L40" s="7">
        <f>L17/L8</f>
        <v>-0.23005482853837336</v>
      </c>
      <c r="M40" s="7">
        <f t="shared" ref="M40:R40" si="166">M17/M12</f>
        <v>-0.30831280355359825</v>
      </c>
      <c r="N40" s="7">
        <f t="shared" si="166"/>
        <v>-0.32735205537159756</v>
      </c>
      <c r="O40" s="7">
        <f t="shared" si="166"/>
        <v>-0.31151074999577555</v>
      </c>
      <c r="P40" s="7">
        <f t="shared" si="166"/>
        <v>-0.33968602982699986</v>
      </c>
      <c r="Q40" s="7">
        <f t="shared" si="166"/>
        <v>-0.29824885891087838</v>
      </c>
      <c r="R40" s="7">
        <f t="shared" si="166"/>
        <v>-0.31714165494566193</v>
      </c>
    </row>
    <row r="41" spans="2:39" s="7" customFormat="1" x14ac:dyDescent="0.15">
      <c r="B41" s="7" t="s">
        <v>60</v>
      </c>
      <c r="G41" s="7">
        <f t="shared" ref="G41:K41" si="167">G20/G19</f>
        <v>-1.5138522427440633E-2</v>
      </c>
      <c r="H41" s="7">
        <f t="shared" si="167"/>
        <v>2.7975748750332544E-2</v>
      </c>
      <c r="I41" s="7">
        <f t="shared" si="167"/>
        <v>-1.1899188514357053E-2</v>
      </c>
      <c r="J41" s="7">
        <f t="shared" si="167"/>
        <v>-1.478497986140645E-2</v>
      </c>
      <c r="K41" s="7">
        <f t="shared" si="167"/>
        <v>-1.427906450111339E-2</v>
      </c>
      <c r="L41" s="7">
        <f>L20/L19</f>
        <v>6.0135072624664632E-4</v>
      </c>
      <c r="M41" s="7">
        <f t="shared" ref="M41:R41" si="168">M20/M19</f>
        <v>0.03</v>
      </c>
      <c r="N41" s="7">
        <f t="shared" si="168"/>
        <v>0.03</v>
      </c>
      <c r="O41" s="7">
        <f t="shared" si="168"/>
        <v>0.03</v>
      </c>
      <c r="P41" s="7">
        <f t="shared" si="168"/>
        <v>0.03</v>
      </c>
      <c r="Q41" s="7">
        <f t="shared" si="168"/>
        <v>5.000000000000001E-2</v>
      </c>
      <c r="R41" s="7">
        <f t="shared" si="168"/>
        <v>0.05</v>
      </c>
    </row>
    <row r="42" spans="2:39" s="7" customFormat="1" x14ac:dyDescent="0.15"/>
    <row r="43" spans="2:39" s="7" customFormat="1" x14ac:dyDescent="0.15"/>
    <row r="44" spans="2:39" s="2" customFormat="1" x14ac:dyDescent="0.15">
      <c r="B44" s="2" t="s">
        <v>61</v>
      </c>
      <c r="K44" s="2">
        <f>+K46-K59</f>
        <v>1566015</v>
      </c>
      <c r="L44" s="2">
        <f>+L46-L59</f>
        <v>1547145</v>
      </c>
      <c r="X44" s="2">
        <f>L44</f>
        <v>1547145</v>
      </c>
      <c r="Y44" s="2">
        <f>X44+Y21</f>
        <v>1169248.7874400001</v>
      </c>
      <c r="Z44" s="2">
        <f t="shared" ref="Z44:AM44" si="169">Y44+Z21</f>
        <v>716793.04447000008</v>
      </c>
      <c r="AA44" s="2">
        <f t="shared" si="169"/>
        <v>191465.70009460044</v>
      </c>
      <c r="AB44" s="2">
        <f t="shared" si="169"/>
        <v>-460405.62955274596</v>
      </c>
      <c r="AC44" s="2">
        <f t="shared" si="169"/>
        <v>-1270477.9182218257</v>
      </c>
      <c r="AD44" s="2">
        <f t="shared" si="169"/>
        <v>-2139604.7033142014</v>
      </c>
      <c r="AE44" s="2">
        <f t="shared" si="169"/>
        <v>-3041935.4512125053</v>
      </c>
      <c r="AF44" s="2">
        <f t="shared" si="169"/>
        <v>-3933040.2475780691</v>
      </c>
      <c r="AG44" s="2">
        <f t="shared" si="169"/>
        <v>-4741629.9279755112</v>
      </c>
      <c r="AH44" s="2">
        <f t="shared" si="169"/>
        <v>-5358115.7338949516</v>
      </c>
      <c r="AI44" s="2">
        <f t="shared" si="169"/>
        <v>-5618891.223343675</v>
      </c>
      <c r="AJ44" s="2">
        <f t="shared" si="169"/>
        <v>-5284841.7018188359</v>
      </c>
      <c r="AK44" s="2">
        <f t="shared" si="169"/>
        <v>-4012085.1665763166</v>
      </c>
      <c r="AL44" s="2">
        <f t="shared" si="169"/>
        <v>-1312283.8891857481</v>
      </c>
      <c r="AM44" s="2">
        <f t="shared" si="169"/>
        <v>3501015.0833910992</v>
      </c>
    </row>
    <row r="45" spans="2:39" x14ac:dyDescent="0.15">
      <c r="N45" s="2"/>
    </row>
    <row r="46" spans="2:39" s="2" customFormat="1" x14ac:dyDescent="0.15">
      <c r="B46" s="2" t="s">
        <v>3</v>
      </c>
      <c r="K46" s="2">
        <f>404604+1675486</f>
        <v>2080090</v>
      </c>
      <c r="L46" s="2">
        <f>405529+1662381</f>
        <v>2067910</v>
      </c>
    </row>
    <row r="47" spans="2:39" s="2" customFormat="1" x14ac:dyDescent="0.15">
      <c r="B47" s="2" t="s">
        <v>18</v>
      </c>
      <c r="K47" s="2">
        <v>193100</v>
      </c>
      <c r="L47" s="2">
        <v>248658</v>
      </c>
    </row>
    <row r="48" spans="2:39" s="2" customFormat="1" x14ac:dyDescent="0.15">
      <c r="B48" s="2" t="s">
        <v>19</v>
      </c>
      <c r="K48" s="2">
        <f>21534+29272</f>
        <v>50806</v>
      </c>
      <c r="L48" s="2">
        <f>22664+32488</f>
        <v>55152</v>
      </c>
    </row>
    <row r="49" spans="2:12" s="2" customFormat="1" x14ac:dyDescent="0.15">
      <c r="B49" s="2" t="s">
        <v>20</v>
      </c>
      <c r="K49" s="2">
        <v>77407</v>
      </c>
      <c r="L49" s="2">
        <v>90858</v>
      </c>
    </row>
    <row r="50" spans="2:12" s="2" customFormat="1" x14ac:dyDescent="0.15">
      <c r="B50" s="2" t="s">
        <v>21</v>
      </c>
      <c r="K50" s="2">
        <v>254697</v>
      </c>
      <c r="L50" s="2">
        <v>255118</v>
      </c>
    </row>
    <row r="51" spans="2:12" s="2" customFormat="1" x14ac:dyDescent="0.15">
      <c r="B51" s="2" t="s">
        <v>22</v>
      </c>
      <c r="K51" s="2">
        <v>64887</v>
      </c>
      <c r="L51" s="2">
        <v>68623</v>
      </c>
    </row>
    <row r="52" spans="2:12" s="2" customFormat="1" x14ac:dyDescent="0.15">
      <c r="B52" s="2" t="s">
        <v>23</v>
      </c>
      <c r="K52" s="2">
        <v>55166</v>
      </c>
      <c r="L52" s="2">
        <v>43485</v>
      </c>
    </row>
    <row r="53" spans="2:12" s="2" customFormat="1" x14ac:dyDescent="0.15">
      <c r="B53" s="2" t="s">
        <v>24</v>
      </c>
      <c r="K53" s="2">
        <f>SUM(K46:K52)</f>
        <v>2776153</v>
      </c>
      <c r="L53" s="2">
        <f>SUM(L46:L52)</f>
        <v>2829804</v>
      </c>
    </row>
    <row r="55" spans="2:12" s="2" customFormat="1" x14ac:dyDescent="0.15">
      <c r="B55" s="2" t="s">
        <v>25</v>
      </c>
      <c r="K55" s="2">
        <v>18975</v>
      </c>
      <c r="L55" s="2">
        <v>17135</v>
      </c>
    </row>
    <row r="56" spans="2:12" s="2" customFormat="1" x14ac:dyDescent="0.15">
      <c r="B56" s="2" t="s">
        <v>27</v>
      </c>
      <c r="K56" s="2">
        <v>66372</v>
      </c>
      <c r="L56" s="2">
        <v>58880</v>
      </c>
    </row>
    <row r="57" spans="2:12" s="2" customFormat="1" x14ac:dyDescent="0.15">
      <c r="B57" s="2" t="s">
        <v>28</v>
      </c>
      <c r="K57" s="2">
        <v>86819</v>
      </c>
      <c r="L57" s="2">
        <v>76693</v>
      </c>
    </row>
    <row r="58" spans="2:12" s="2" customFormat="1" x14ac:dyDescent="0.15">
      <c r="B58" s="2" t="s">
        <v>26</v>
      </c>
      <c r="K58" s="2">
        <f>798086+127970</f>
        <v>926056</v>
      </c>
      <c r="L58" s="2">
        <f>854845+124269</f>
        <v>979114</v>
      </c>
    </row>
    <row r="59" spans="2:12" s="2" customFormat="1" x14ac:dyDescent="0.15">
      <c r="B59" s="2" t="s">
        <v>4</v>
      </c>
      <c r="K59" s="2">
        <v>514075</v>
      </c>
      <c r="L59" s="2">
        <v>520765</v>
      </c>
    </row>
    <row r="60" spans="2:12" s="2" customFormat="1" x14ac:dyDescent="0.15">
      <c r="B60" s="2" t="s">
        <v>29</v>
      </c>
      <c r="K60" s="2">
        <v>35700</v>
      </c>
      <c r="L60" s="2">
        <v>36371</v>
      </c>
    </row>
    <row r="61" spans="2:12" s="2" customFormat="1" x14ac:dyDescent="0.15">
      <c r="B61" s="2" t="s">
        <v>31</v>
      </c>
      <c r="K61" s="2">
        <f>SUM(K55:K60)</f>
        <v>1647997</v>
      </c>
      <c r="L61" s="2">
        <f>SUM(L55:L60)</f>
        <v>1688958</v>
      </c>
    </row>
    <row r="62" spans="2:12" s="2" customFormat="1" x14ac:dyDescent="0.15">
      <c r="B62" s="2" t="s">
        <v>30</v>
      </c>
      <c r="K62" s="2">
        <v>1128156</v>
      </c>
      <c r="L62" s="2">
        <v>1140846</v>
      </c>
    </row>
    <row r="63" spans="2:12" x14ac:dyDescent="0.15">
      <c r="B63" s="1" t="s">
        <v>32</v>
      </c>
      <c r="K63" s="2">
        <f>+K61+K62</f>
        <v>2776153</v>
      </c>
      <c r="L63" s="2">
        <f>+L61+L62</f>
        <v>2829804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Microsoft Office User</cp:lastModifiedBy>
  <dcterms:created xsi:type="dcterms:W3CDTF">2016-10-15T09:40:38Z</dcterms:created>
  <dcterms:modified xsi:type="dcterms:W3CDTF">2016-10-15T11:37:58Z</dcterms:modified>
</cp:coreProperties>
</file>