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80" yWindow="-20" windowWidth="16800" windowHeight="20540" tabRatio="500" activeTab="1"/>
  </bookViews>
  <sheets>
    <sheet name="Main" sheetId="1" r:id="rId1"/>
    <sheet name="Mode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  <c r="P24" i="2"/>
  <c r="O24" i="2"/>
  <c r="N24" i="2"/>
  <c r="M24" i="2"/>
  <c r="L24" i="2"/>
  <c r="K24" i="2"/>
  <c r="J24" i="2"/>
  <c r="I24" i="2"/>
  <c r="H24" i="2"/>
  <c r="G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R27" i="2"/>
  <c r="C5" i="2"/>
  <c r="C8" i="2"/>
  <c r="C9" i="2"/>
  <c r="C12" i="2"/>
  <c r="C13" i="2"/>
  <c r="C17" i="2"/>
  <c r="C19" i="2"/>
  <c r="D5" i="2"/>
  <c r="D8" i="2"/>
  <c r="D9" i="2"/>
  <c r="D12" i="2"/>
  <c r="D13" i="2"/>
  <c r="D17" i="2"/>
  <c r="D19" i="2"/>
  <c r="E5" i="2"/>
  <c r="E8" i="2"/>
  <c r="E9" i="2"/>
  <c r="E12" i="2"/>
  <c r="E13" i="2"/>
  <c r="E17" i="2"/>
  <c r="E19" i="2"/>
  <c r="F19" i="2"/>
  <c r="X19" i="2"/>
  <c r="G5" i="2"/>
  <c r="G8" i="2"/>
  <c r="G9" i="2"/>
  <c r="G12" i="2"/>
  <c r="G13" i="2"/>
  <c r="G17" i="2"/>
  <c r="G19" i="2"/>
  <c r="H5" i="2"/>
  <c r="H8" i="2"/>
  <c r="H9" i="2"/>
  <c r="H12" i="2"/>
  <c r="H13" i="2"/>
  <c r="H17" i="2"/>
  <c r="H19" i="2"/>
  <c r="I5" i="2"/>
  <c r="I8" i="2"/>
  <c r="I9" i="2"/>
  <c r="I12" i="2"/>
  <c r="I13" i="2"/>
  <c r="I17" i="2"/>
  <c r="I19" i="2"/>
  <c r="J19" i="2"/>
  <c r="Y19" i="2"/>
  <c r="K5" i="2"/>
  <c r="K8" i="2"/>
  <c r="K9" i="2"/>
  <c r="K12" i="2"/>
  <c r="K13" i="2"/>
  <c r="K17" i="2"/>
  <c r="K19" i="2"/>
  <c r="L5" i="2"/>
  <c r="L8" i="2"/>
  <c r="L9" i="2"/>
  <c r="L12" i="2"/>
  <c r="L13" i="2"/>
  <c r="L17" i="2"/>
  <c r="L19" i="2"/>
  <c r="M5" i="2"/>
  <c r="M8" i="2"/>
  <c r="M9" i="2"/>
  <c r="M12" i="2"/>
  <c r="M13" i="2"/>
  <c r="M17" i="2"/>
  <c r="M19" i="2"/>
  <c r="N19" i="2"/>
  <c r="Z19" i="2"/>
  <c r="N3" i="2"/>
  <c r="Z3" i="2"/>
  <c r="N4" i="2"/>
  <c r="Z4" i="2"/>
  <c r="Z5" i="2"/>
  <c r="AA5" i="2"/>
  <c r="AA9" i="2"/>
  <c r="N10" i="2"/>
  <c r="Z10" i="2"/>
  <c r="AA10" i="2"/>
  <c r="N11" i="2"/>
  <c r="Z11" i="2"/>
  <c r="AA11" i="2"/>
  <c r="AA12" i="2"/>
  <c r="AA13" i="2"/>
  <c r="N14" i="2"/>
  <c r="Z14" i="2"/>
  <c r="AA14" i="2"/>
  <c r="N15" i="2"/>
  <c r="Z15" i="2"/>
  <c r="AA15" i="2"/>
  <c r="N16" i="2"/>
  <c r="Z16" i="2"/>
  <c r="AA16" i="2"/>
  <c r="AA17" i="2"/>
  <c r="AA18" i="2"/>
  <c r="AA19" i="2"/>
  <c r="AB5" i="2"/>
  <c r="AB9" i="2"/>
  <c r="AB10" i="2"/>
  <c r="AB11" i="2"/>
  <c r="AB12" i="2"/>
  <c r="AB13" i="2"/>
  <c r="AB14" i="2"/>
  <c r="AB15" i="2"/>
  <c r="AB16" i="2"/>
  <c r="AB17" i="2"/>
  <c r="AB18" i="2"/>
  <c r="AB19" i="2"/>
  <c r="AC5" i="2"/>
  <c r="AC9" i="2"/>
  <c r="AC10" i="2"/>
  <c r="AC11" i="2"/>
  <c r="AC12" i="2"/>
  <c r="AC13" i="2"/>
  <c r="AC14" i="2"/>
  <c r="AC15" i="2"/>
  <c r="AC16" i="2"/>
  <c r="AC17" i="2"/>
  <c r="AC18" i="2"/>
  <c r="AC19" i="2"/>
  <c r="AD5" i="2"/>
  <c r="AD9" i="2"/>
  <c r="AD10" i="2"/>
  <c r="AD11" i="2"/>
  <c r="AD12" i="2"/>
  <c r="AD13" i="2"/>
  <c r="AD14" i="2"/>
  <c r="AD15" i="2"/>
  <c r="AD16" i="2"/>
  <c r="AD17" i="2"/>
  <c r="AD18" i="2"/>
  <c r="AD19" i="2"/>
  <c r="AE5" i="2"/>
  <c r="AE9" i="2"/>
  <c r="AE10" i="2"/>
  <c r="AE11" i="2"/>
  <c r="AE12" i="2"/>
  <c r="AE13" i="2"/>
  <c r="AE14" i="2"/>
  <c r="AE15" i="2"/>
  <c r="AE16" i="2"/>
  <c r="AE17" i="2"/>
  <c r="AE18" i="2"/>
  <c r="AE19" i="2"/>
  <c r="AF5" i="2"/>
  <c r="AF9" i="2"/>
  <c r="AF10" i="2"/>
  <c r="AF11" i="2"/>
  <c r="AF12" i="2"/>
  <c r="AF13" i="2"/>
  <c r="AF14" i="2"/>
  <c r="AF15" i="2"/>
  <c r="AF16" i="2"/>
  <c r="AF17" i="2"/>
  <c r="AF18" i="2"/>
  <c r="AF19" i="2"/>
  <c r="AG5" i="2"/>
  <c r="AG9" i="2"/>
  <c r="AG10" i="2"/>
  <c r="AG11" i="2"/>
  <c r="AG12" i="2"/>
  <c r="AG13" i="2"/>
  <c r="AG14" i="2"/>
  <c r="AG15" i="2"/>
  <c r="AG16" i="2"/>
  <c r="AG17" i="2"/>
  <c r="AG18" i="2"/>
  <c r="AG19" i="2"/>
  <c r="AH5" i="2"/>
  <c r="AH9" i="2"/>
  <c r="AH10" i="2"/>
  <c r="AH11" i="2"/>
  <c r="AH12" i="2"/>
  <c r="AH13" i="2"/>
  <c r="AH14" i="2"/>
  <c r="AH15" i="2"/>
  <c r="AH16" i="2"/>
  <c r="AH17" i="2"/>
  <c r="AH18" i="2"/>
  <c r="AH19" i="2"/>
  <c r="AI5" i="2"/>
  <c r="AI9" i="2"/>
  <c r="AI10" i="2"/>
  <c r="AI11" i="2"/>
  <c r="AI12" i="2"/>
  <c r="AI13" i="2"/>
  <c r="AI14" i="2"/>
  <c r="AI15" i="2"/>
  <c r="AI16" i="2"/>
  <c r="AI17" i="2"/>
  <c r="AI18" i="2"/>
  <c r="AI19" i="2"/>
  <c r="AJ5" i="2"/>
  <c r="AJ9" i="2"/>
  <c r="AJ10" i="2"/>
  <c r="AJ11" i="2"/>
  <c r="AJ12" i="2"/>
  <c r="AJ13" i="2"/>
  <c r="AJ14" i="2"/>
  <c r="AJ15" i="2"/>
  <c r="AJ16" i="2"/>
  <c r="AJ17" i="2"/>
  <c r="AJ18" i="2"/>
  <c r="AJ19" i="2"/>
  <c r="AK5" i="2"/>
  <c r="AK9" i="2"/>
  <c r="AK10" i="2"/>
  <c r="AK11" i="2"/>
  <c r="AK12" i="2"/>
  <c r="AK13" i="2"/>
  <c r="AK14" i="2"/>
  <c r="AK15" i="2"/>
  <c r="AK16" i="2"/>
  <c r="AK17" i="2"/>
  <c r="AK18" i="2"/>
  <c r="AK19" i="2"/>
  <c r="AL5" i="2"/>
  <c r="AL9" i="2"/>
  <c r="AL10" i="2"/>
  <c r="AL11" i="2"/>
  <c r="AL12" i="2"/>
  <c r="AL13" i="2"/>
  <c r="AL14" i="2"/>
  <c r="AL15" i="2"/>
  <c r="AL16" i="2"/>
  <c r="AL17" i="2"/>
  <c r="AL18" i="2"/>
  <c r="AL19" i="2"/>
  <c r="AM5" i="2"/>
  <c r="AM9" i="2"/>
  <c r="AM10" i="2"/>
  <c r="AM11" i="2"/>
  <c r="AM12" i="2"/>
  <c r="AM13" i="2"/>
  <c r="AM14" i="2"/>
  <c r="AM15" i="2"/>
  <c r="AM16" i="2"/>
  <c r="AM17" i="2"/>
  <c r="AM18" i="2"/>
  <c r="AM19" i="2"/>
  <c r="AN5" i="2"/>
  <c r="AN9" i="2"/>
  <c r="AN10" i="2"/>
  <c r="AN11" i="2"/>
  <c r="AN12" i="2"/>
  <c r="AN13" i="2"/>
  <c r="AN14" i="2"/>
  <c r="AN15" i="2"/>
  <c r="AN16" i="2"/>
  <c r="AN17" i="2"/>
  <c r="AN18" i="2"/>
  <c r="AN19" i="2"/>
  <c r="AO5" i="2"/>
  <c r="AO9" i="2"/>
  <c r="AO10" i="2"/>
  <c r="AO11" i="2"/>
  <c r="AO12" i="2"/>
  <c r="AO13" i="2"/>
  <c r="AO14" i="2"/>
  <c r="AO15" i="2"/>
  <c r="AO16" i="2"/>
  <c r="AO17" i="2"/>
  <c r="AO18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AR26" i="2"/>
  <c r="AR28" i="2"/>
  <c r="AR30" i="2"/>
  <c r="AR31" i="2"/>
  <c r="AR32" i="2"/>
  <c r="W5" i="2"/>
  <c r="V5" i="2"/>
  <c r="W23" i="2"/>
  <c r="F3" i="2"/>
  <c r="F4" i="2"/>
  <c r="F5" i="2"/>
  <c r="X5" i="2"/>
  <c r="X23" i="2"/>
  <c r="V8" i="2"/>
  <c r="V9" i="2"/>
  <c r="V12" i="2"/>
  <c r="V13" i="2"/>
  <c r="V17" i="2"/>
  <c r="V19" i="2"/>
  <c r="V20" i="2"/>
  <c r="W12" i="2"/>
  <c r="W8" i="2"/>
  <c r="W9" i="2"/>
  <c r="W13" i="2"/>
  <c r="W17" i="2"/>
  <c r="W19" i="2"/>
  <c r="W20" i="2"/>
  <c r="N6" i="2"/>
  <c r="Z6" i="2"/>
  <c r="N7" i="2"/>
  <c r="Z7" i="2"/>
  <c r="Z8" i="2"/>
  <c r="Z9" i="2"/>
  <c r="Z12" i="2"/>
  <c r="Z13" i="2"/>
  <c r="Z17" i="2"/>
  <c r="Q5" i="2"/>
  <c r="Q8" i="2"/>
  <c r="Q9" i="2"/>
  <c r="Q12" i="2"/>
  <c r="Q13" i="2"/>
  <c r="Q17" i="2"/>
  <c r="O5" i="2"/>
  <c r="O8" i="2"/>
  <c r="O9" i="2"/>
  <c r="O12" i="2"/>
  <c r="O13" i="2"/>
  <c r="O17" i="2"/>
  <c r="N5" i="2"/>
  <c r="N8" i="2"/>
  <c r="N9" i="2"/>
  <c r="N12" i="2"/>
  <c r="N13" i="2"/>
  <c r="N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F6" i="2"/>
  <c r="F7" i="2"/>
  <c r="F8" i="2"/>
  <c r="F9" i="2"/>
  <c r="F10" i="2"/>
  <c r="F11" i="2"/>
  <c r="F12" i="2"/>
  <c r="F13" i="2"/>
  <c r="F14" i="2"/>
  <c r="F15" i="2"/>
  <c r="F16" i="2"/>
  <c r="F17" i="2"/>
  <c r="P5" i="2"/>
  <c r="P8" i="2"/>
  <c r="P9" i="2"/>
  <c r="P12" i="2"/>
  <c r="P13" i="2"/>
  <c r="P17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A23" i="2"/>
  <c r="X12" i="2"/>
  <c r="Y12" i="2"/>
  <c r="Y5" i="2"/>
  <c r="Y23" i="2"/>
  <c r="Z23" i="2"/>
  <c r="D27" i="2"/>
  <c r="E27" i="2"/>
  <c r="F18" i="2"/>
  <c r="F27" i="2"/>
  <c r="G27" i="2"/>
  <c r="H27" i="2"/>
  <c r="I27" i="2"/>
  <c r="J18" i="2"/>
  <c r="J27" i="2"/>
  <c r="K27" i="2"/>
  <c r="L27" i="2"/>
  <c r="M27" i="2"/>
  <c r="N18" i="2"/>
  <c r="N27" i="2"/>
  <c r="O27" i="2"/>
  <c r="P27" i="2"/>
  <c r="Q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6" i="2"/>
  <c r="G23" i="2"/>
  <c r="X20" i="2"/>
  <c r="Y20" i="2"/>
  <c r="X4" i="2"/>
  <c r="X6" i="2"/>
  <c r="X7" i="2"/>
  <c r="X8" i="2"/>
  <c r="X9" i="2"/>
  <c r="X10" i="2"/>
  <c r="X11" i="2"/>
  <c r="X13" i="2"/>
  <c r="X14" i="2"/>
  <c r="X15" i="2"/>
  <c r="X16" i="2"/>
  <c r="X17" i="2"/>
  <c r="X18" i="2"/>
  <c r="X3" i="2"/>
  <c r="F20" i="2"/>
  <c r="C20" i="2"/>
  <c r="Y6" i="2"/>
  <c r="Y7" i="2"/>
  <c r="Y8" i="2"/>
  <c r="Y9" i="2"/>
  <c r="Y10" i="2"/>
  <c r="Y11" i="2"/>
  <c r="Y13" i="2"/>
  <c r="Y14" i="2"/>
  <c r="Y15" i="2"/>
  <c r="Y16" i="2"/>
  <c r="Y17" i="2"/>
  <c r="Y18" i="2"/>
  <c r="Y4" i="2"/>
  <c r="J20" i="2"/>
  <c r="Y3" i="2"/>
  <c r="Z20" i="2"/>
  <c r="Z18" i="2"/>
  <c r="H23" i="2"/>
  <c r="I23" i="2"/>
  <c r="J23" i="2"/>
  <c r="K23" i="2"/>
  <c r="L23" i="2"/>
  <c r="M23" i="2"/>
  <c r="N23" i="2"/>
  <c r="N20" i="2"/>
  <c r="D20" i="2"/>
  <c r="E20" i="2"/>
  <c r="G20" i="2"/>
  <c r="H20" i="2"/>
  <c r="I20" i="2"/>
  <c r="O23" i="2"/>
  <c r="K20" i="2"/>
  <c r="O19" i="2"/>
  <c r="O20" i="2"/>
  <c r="P23" i="2"/>
  <c r="L20" i="2"/>
  <c r="P19" i="2"/>
  <c r="P20" i="2"/>
  <c r="Q23" i="2"/>
  <c r="M20" i="2"/>
  <c r="Q19" i="2"/>
  <c r="Q20" i="2"/>
  <c r="K4" i="1"/>
  <c r="K5" i="1"/>
  <c r="K6" i="1"/>
  <c r="K7" i="1"/>
</calcChain>
</file>

<file path=xl/sharedStrings.xml><?xml version="1.0" encoding="utf-8"?>
<sst xmlns="http://schemas.openxmlformats.org/spreadsheetml/2006/main" count="58" uniqueCount="56">
  <si>
    <t>Name</t>
  </si>
  <si>
    <t>Description</t>
  </si>
  <si>
    <t>% of Revenue</t>
  </si>
  <si>
    <t>Notes</t>
  </si>
  <si>
    <t>Competition</t>
  </si>
  <si>
    <t>Price</t>
  </si>
  <si>
    <t>Shares</t>
  </si>
  <si>
    <t>MC</t>
  </si>
  <si>
    <t>Cash</t>
  </si>
  <si>
    <t>Debt</t>
  </si>
  <si>
    <t>EV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</si>
  <si>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</si>
  <si>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</si>
  <si>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</si>
  <si>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</si>
  <si>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</si>
  <si>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</si>
  <si>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</si>
  <si>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</si>
  <si>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</si>
  <si>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</si>
  <si>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</si>
  <si>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</si>
  <si>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</si>
  <si>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</si>
  <si>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</si>
  <si>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</si>
  <si>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Revenues before reimbursements</t>
  </si>
  <si>
    <t>Reimbursements</t>
  </si>
  <si>
    <t>Cost of Services</t>
  </si>
  <si>
    <t>Cost of Services before reimbursable expenses</t>
  </si>
  <si>
    <t>Reimbursable expenses</t>
  </si>
  <si>
    <t>Sales and marketing</t>
  </si>
  <si>
    <t>G&amp;A</t>
  </si>
  <si>
    <t>Interest Income</t>
  </si>
  <si>
    <t>Interest Expense</t>
  </si>
  <si>
    <t>Operating Income</t>
  </si>
  <si>
    <t>Other Expense</t>
  </si>
  <si>
    <t>Pretax Income</t>
  </si>
  <si>
    <t>Taxes</t>
  </si>
  <si>
    <t>Net Income</t>
  </si>
  <si>
    <t>Revenue</t>
  </si>
  <si>
    <t>EPS</t>
  </si>
  <si>
    <t>Operating Expenses</t>
  </si>
  <si>
    <t>Gross Profit</t>
  </si>
  <si>
    <t>Revenue Y/Y</t>
  </si>
  <si>
    <t>Net Income Y/Y</t>
  </si>
  <si>
    <t>Gross Margin</t>
  </si>
  <si>
    <t>Tax Rate</t>
  </si>
  <si>
    <t>ROIC</t>
  </si>
  <si>
    <t>Maturity</t>
  </si>
  <si>
    <t>Discount</t>
  </si>
  <si>
    <t>NPV</t>
  </si>
  <si>
    <t>Net</t>
  </si>
  <si>
    <t>Share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</si>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</sst>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Fon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14" fontId="6" fillId="0" borderId="0" xfId="0" applyNumberFormat="1" applyFont="1"/>
    <xf numFmtId="0" fontId="5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right" vertical="center"/>
    </xf>
    <xf numFmtId="14" fontId="6" fillId="0" borderId="0" xfId="0" applyNumberFormat="1" applyFont="1" applyFill="1" applyAlignment="1">
      <alignment horizontal="right" vertical="center"/>
    </xf>
    <xf numFmtId="14" fontId="6" fillId="0" borderId="0" xfId="0" applyNumberFormat="1" applyFont="1" applyFill="1"/>
    <xf numFmtId="0" fontId="0" fillId="0" borderId="0" xfId="0" applyFill="1"/>
    <xf numFmtId="3" fontId="4" fillId="0" borderId="0" xfId="0" applyNumberFormat="1" applyFont="1" applyFill="1"/>
    <xf numFmtId="3" fontId="0" fillId="0" borderId="0" xfId="0" applyNumberFormat="1" applyFill="1"/>
    <xf numFmtId="3" fontId="1" fillId="0" borderId="0" xfId="0" applyNumberFormat="1" applyFont="1" applyFill="1"/>
    <xf numFmtId="4" fontId="0" fillId="0" borderId="0" xfId="0" applyNumberFormat="1" applyFill="1"/>
    <xf numFmtId="9" fontId="0" fillId="0" borderId="0" xfId="0" applyNumberFormat="1"/>
    <xf numFmtId="164" fontId="0" fillId="0" borderId="0" xfId="0" applyNumberFormat="1"/>
    <xf numFmtId="9" fontId="4" fillId="0" borderId="0" xfId="0" applyNumberFormat="1" applyFont="1"/>
    <xf numFmtId="38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9" fontId="0" fillId="0" borderId="0" xfId="0" applyNumberFormat="1" applyFont="1"/>
    <xf numFmtId="1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100853</xdr:colOff>
      <xdr:row>0</xdr:row>
      <xdr:rowOff>0</xdr:rowOff>
    </xdr:from>
    <xdr:to>
      <xdr:col>17</xdr:col>
      <xdr:colOff>100853</xdr:colOff>
      <xdr:row>72</xdr:row>
      <xdr:rowOff>145676</xdr:rowOff>
    </xdr:to>
    <xdr:cxnSp macro="">
      <xdr:nvCxnSpPr>
        <xdr:cNvPr id="3" name="Straight Connector 2"/>
        <xdr:cNvCxnSpPr/>
      </xdr:nvCxnSpPr>
      <xdr:spPr>
        <a:xfrm>
          <a:off x="16472647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51546</xdr:colOff>
      <xdr:row>0</xdr:row>
      <xdr:rowOff>0</xdr:rowOff>
    </xdr:from>
    <xdr:to>
      <xdr:col>26</xdr:col>
      <xdr:colOff>51546</xdr:colOff>
      <xdr:row>72</xdr:row>
      <xdr:rowOff>145676</xdr:rowOff>
    </xdr:to>
    <xdr:cxnSp macro="">
      <xdr:nvCxnSpPr>
        <xdr:cNvPr id="5" name="Straight Connector 4"/>
        <xdr:cNvCxnSpPr/>
      </xdr:nvCxnSpPr>
      <xdr:spPr>
        <a:xfrm>
          <a:off x="23987311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topLeftCell="E1" workbookViewId="0">
      <selection activeCell="K6" sqref="K6"/>
    </sheetView>
  </sheetViews>
  <sheetFormatPr baseColWidth="10" defaultColWidth="11" defaultRowHeight="15" x14ac:dyDescent="0"/>
  <cols>
    <col min="2" max="2" width="22" customWidth="1"/>
    <col min="3" max="3" width="20.6640625" customWidth="1"/>
    <col min="4" max="4" width="18" customWidth="1"/>
    <col min="6" max="6" width="14.6640625" customWidth="1"/>
  </cols>
  <sheetData>
    <row r="2" spans="2:1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J2" t="s">
        <v>5</v>
      </c>
      <c r="K2">
        <v>110.53</v>
      </c>
    </row>
    <row r="3" spans="2:11">
      <c r="D3" s="1"/>
      <c r="J3" t="s">
        <v>6</v>
      </c>
      <c r="K3">
        <v>644.73</v>
      </c>
    </row>
    <row r="4" spans="2:11">
      <c r="J4" t="s">
        <v>7</v>
      </c>
      <c r="K4" s="3">
        <f>(K2*K3)</f>
        <v>71262.006900000008</v>
      </c>
    </row>
    <row r="5" spans="2:11">
      <c r="J5" t="s">
        <v>8</v>
      </c>
      <c r="K5" s="4">
        <f>3497.878+2.869+132.427</f>
        <v>3633.1740000000004</v>
      </c>
    </row>
    <row r="6" spans="2:11">
      <c r="J6" t="s">
        <v>9</v>
      </c>
      <c r="K6" s="3">
        <f>2.072+26.801</f>
        <v>28.872999999999998</v>
      </c>
    </row>
    <row r="7" spans="2:11">
      <c r="J7" t="s">
        <v>10</v>
      </c>
      <c r="K7" s="3">
        <f>(K4-K5+K6)</f>
        <v>67657.705900000015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N35"/>
  <sheetViews>
    <sheetView tabSelected="1" workbookViewId="0">
      <pane xSplit="2" ySplit="2" topLeftCell="AO5" activePane="bottomRight" state="frozen"/>
      <selection pane="topRight" activeCell="C1" sqref="C1"/>
      <selection pane="bottomLeft" activeCell="A3" sqref="A3"/>
      <selection pane="bottomRight" activeCell="AR35" sqref="AR35"/>
    </sheetView>
  </sheetViews>
  <sheetFormatPr baseColWidth="10" defaultColWidth="11" defaultRowHeight="15" x14ac:dyDescent="0"/>
  <cols>
    <col min="2" max="2" width="39.1640625" bestFit="1" customWidth="1"/>
    <col min="3" max="3" width="10.1640625" customWidth="1"/>
    <col min="44" max="44" width="12" bestFit="1" customWidth="1"/>
  </cols>
  <sheetData>
    <row r="1" spans="2:41" s="9" customFormat="1" ht="12.75">
      <c r="C1" s="8">
        <v>41243</v>
      </c>
      <c r="D1" s="8">
        <v>41333</v>
      </c>
      <c r="E1" s="8">
        <v>41425</v>
      </c>
      <c r="F1" s="12">
        <v>41517</v>
      </c>
      <c r="G1" s="8">
        <v>41607</v>
      </c>
      <c r="H1" s="10">
        <v>41698</v>
      </c>
      <c r="I1" s="10">
        <v>41790</v>
      </c>
      <c r="J1" s="12">
        <v>41882</v>
      </c>
      <c r="K1" s="11">
        <v>41973</v>
      </c>
      <c r="L1" s="11">
        <v>42086</v>
      </c>
      <c r="M1" s="11">
        <v>42155</v>
      </c>
      <c r="N1" s="12">
        <v>42247</v>
      </c>
      <c r="O1" s="10">
        <v>42338</v>
      </c>
      <c r="P1" s="10">
        <v>42453</v>
      </c>
      <c r="Q1" s="10">
        <v>42521</v>
      </c>
    </row>
    <row r="2" spans="2:41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13" t="s">
        <v>19</v>
      </c>
      <c r="L2" s="13" t="s">
        <v>20</v>
      </c>
      <c r="M2" s="13" t="s">
        <v>21</v>
      </c>
      <c r="N2" s="13" t="s">
        <v>22</v>
      </c>
      <c r="O2" t="s">
        <v>23</v>
      </c>
      <c r="P2" t="s">
        <v>24</v>
      </c>
      <c r="Q2" t="s">
        <v>25</v>
      </c>
      <c r="R2" t="s">
        <v>26</v>
      </c>
      <c r="V2">
        <v>2011</v>
      </c>
      <c r="W2">
        <v>2012</v>
      </c>
      <c r="X2">
        <v>2013</v>
      </c>
      <c r="Y2">
        <v>2014</v>
      </c>
      <c r="Z2">
        <v>2015</v>
      </c>
      <c r="AA2">
        <v>2016</v>
      </c>
      <c r="AB2">
        <v>2017</v>
      </c>
      <c r="AC2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2025</v>
      </c>
      <c r="AK2">
        <v>2026</v>
      </c>
      <c r="AL2">
        <v>2027</v>
      </c>
      <c r="AM2">
        <v>2028</v>
      </c>
      <c r="AN2">
        <v>2029</v>
      </c>
      <c r="AO2">
        <v>2030</v>
      </c>
    </row>
    <row r="3" spans="2:41" s="3" customFormat="1">
      <c r="B3" s="3" t="s">
        <v>27</v>
      </c>
      <c r="C3" s="3">
        <v>7219.9610000000002</v>
      </c>
      <c r="D3" s="3">
        <v>7058.0420000000004</v>
      </c>
      <c r="E3" s="3">
        <v>7198.14</v>
      </c>
      <c r="F3" s="3">
        <f>28562.81-C3-D3-E3</f>
        <v>7086.6670000000004</v>
      </c>
      <c r="G3" s="3">
        <v>7358.7489999999998</v>
      </c>
      <c r="H3" s="3">
        <v>7130.6670000000004</v>
      </c>
      <c r="I3" s="3">
        <v>7735.6379999999999</v>
      </c>
      <c r="J3" s="3">
        <f>30002.394-G3-H3-I3</f>
        <v>7777.3399999999992</v>
      </c>
      <c r="K3" s="14">
        <v>7895.7150000000001</v>
      </c>
      <c r="L3" s="15">
        <v>7493.3289999999997</v>
      </c>
      <c r="M3" s="15">
        <v>7770.3819999999996</v>
      </c>
      <c r="N3" s="15">
        <f>31047.931-M3-L3-K3</f>
        <v>7888.5049999999992</v>
      </c>
      <c r="O3" s="3">
        <v>8013.1620000000003</v>
      </c>
      <c r="P3" s="3">
        <v>7945.5649999999996</v>
      </c>
      <c r="Q3" s="3">
        <v>8434.7569999999996</v>
      </c>
      <c r="V3" s="3">
        <v>25507.036</v>
      </c>
      <c r="W3" s="3">
        <v>27862.33</v>
      </c>
      <c r="X3" s="3">
        <f>SUM(C3:F3)</f>
        <v>28562.81</v>
      </c>
      <c r="Y3" s="3">
        <f>SUM(G3:J3)</f>
        <v>30002.394</v>
      </c>
      <c r="Z3" s="3">
        <f>SUM(K3:N3)</f>
        <v>31047.930999999997</v>
      </c>
    </row>
    <row r="4" spans="2:41" s="3" customFormat="1">
      <c r="B4" s="3" t="s">
        <v>28</v>
      </c>
      <c r="C4" s="3">
        <v>448.07499999999999</v>
      </c>
      <c r="D4" s="3">
        <v>435.27800000000002</v>
      </c>
      <c r="E4" s="3">
        <v>509.79500000000002</v>
      </c>
      <c r="F4" s="3">
        <f>1831.475-C4-D4-E4</f>
        <v>438.32699999999983</v>
      </c>
      <c r="G4" s="3">
        <v>440.947</v>
      </c>
      <c r="H4" s="3">
        <v>436.81599999999997</v>
      </c>
      <c r="I4" s="3">
        <v>504.54199999999997</v>
      </c>
      <c r="J4" s="3">
        <f>1872.284-G4-H4-I4</f>
        <v>489.97899999999998</v>
      </c>
      <c r="K4" s="14">
        <v>447.54199999999997</v>
      </c>
      <c r="L4" s="15">
        <v>438.26100000000002</v>
      </c>
      <c r="M4" s="15">
        <v>504.68400000000003</v>
      </c>
      <c r="N4" s="15">
        <f>1866.493-K4-L4-M4</f>
        <v>476.00600000000003</v>
      </c>
      <c r="O4" s="3">
        <v>452.82100000000003</v>
      </c>
      <c r="P4" s="3">
        <v>451.488</v>
      </c>
      <c r="Q4" s="3">
        <v>534.28700000000003</v>
      </c>
      <c r="V4" s="3">
        <v>1845.8779999999999</v>
      </c>
      <c r="W4" s="3">
        <v>1915.655</v>
      </c>
      <c r="X4" s="3">
        <f t="shared" ref="X4:X19" si="0">SUM(C4:F4)</f>
        <v>1831.4749999999999</v>
      </c>
      <c r="Y4" s="3">
        <f>SUM(G4:J4)</f>
        <v>1872.2839999999999</v>
      </c>
      <c r="Z4" s="3">
        <f t="shared" ref="Z4:Z19" si="1">SUM(K4:N4)</f>
        <v>1866.4930000000002</v>
      </c>
    </row>
    <row r="5" spans="2:41" s="5" customFormat="1">
      <c r="B5" s="5" t="s">
        <v>41</v>
      </c>
      <c r="C5" s="5">
        <f t="shared" ref="C5:Q5" si="2">+C3+C4</f>
        <v>7668.0360000000001</v>
      </c>
      <c r="D5" s="5">
        <f t="shared" si="2"/>
        <v>7493.3200000000006</v>
      </c>
      <c r="E5" s="5">
        <f t="shared" si="2"/>
        <v>7707.9350000000004</v>
      </c>
      <c r="F5" s="5">
        <f t="shared" si="2"/>
        <v>7524.9940000000006</v>
      </c>
      <c r="G5" s="5">
        <f t="shared" si="2"/>
        <v>7799.6959999999999</v>
      </c>
      <c r="H5" s="5">
        <f t="shared" si="2"/>
        <v>7567.4830000000002</v>
      </c>
      <c r="I5" s="5">
        <f t="shared" si="2"/>
        <v>8240.18</v>
      </c>
      <c r="J5" s="5">
        <f t="shared" si="2"/>
        <v>8267.3189999999995</v>
      </c>
      <c r="K5" s="16">
        <f t="shared" si="2"/>
        <v>8343.2569999999996</v>
      </c>
      <c r="L5" s="16">
        <f t="shared" si="2"/>
        <v>7931.59</v>
      </c>
      <c r="M5" s="16">
        <f t="shared" si="2"/>
        <v>8275.0659999999989</v>
      </c>
      <c r="N5" s="16">
        <f t="shared" si="2"/>
        <v>8364.5109999999986</v>
      </c>
      <c r="O5" s="5">
        <f t="shared" si="2"/>
        <v>8465.9830000000002</v>
      </c>
      <c r="P5" s="5">
        <f t="shared" si="2"/>
        <v>8397.0529999999999</v>
      </c>
      <c r="Q5" s="5">
        <f t="shared" si="2"/>
        <v>8969.0439999999999</v>
      </c>
      <c r="V5" s="5">
        <f>+V3+V4</f>
        <v>27352.914000000001</v>
      </c>
      <c r="W5" s="5">
        <f>+W3+W4</f>
        <v>29777.985000000001</v>
      </c>
      <c r="X5" s="5">
        <f t="shared" si="0"/>
        <v>30394.285000000003</v>
      </c>
      <c r="Y5" s="5">
        <f t="shared" ref="Y5:Y19" si="3">SUM(G5:J5)</f>
        <v>31874.678</v>
      </c>
      <c r="Z5" s="5">
        <f>+Z3+Z4</f>
        <v>32914.423999999999</v>
      </c>
      <c r="AA5" s="5">
        <f>+Z5*1.02</f>
        <v>33572.712480000002</v>
      </c>
      <c r="AB5" s="5">
        <f t="shared" ref="AB5:AO5" si="4">+AA5*1.02</f>
        <v>34244.166729600001</v>
      </c>
      <c r="AC5" s="5">
        <f t="shared" si="4"/>
        <v>34929.050064192001</v>
      </c>
      <c r="AD5" s="5">
        <f t="shared" si="4"/>
        <v>35627.631065475842</v>
      </c>
      <c r="AE5" s="5">
        <f t="shared" si="4"/>
        <v>36340.183686785356</v>
      </c>
      <c r="AF5" s="5">
        <f t="shared" si="4"/>
        <v>37066.987360521067</v>
      </c>
      <c r="AG5" s="5">
        <f t="shared" si="4"/>
        <v>37808.327107731486</v>
      </c>
      <c r="AH5" s="5">
        <f t="shared" si="4"/>
        <v>38564.493649886113</v>
      </c>
      <c r="AI5" s="5">
        <f t="shared" si="4"/>
        <v>39335.783522883838</v>
      </c>
      <c r="AJ5" s="5">
        <f t="shared" si="4"/>
        <v>40122.499193341515</v>
      </c>
      <c r="AK5" s="5">
        <f t="shared" si="4"/>
        <v>40924.949177208349</v>
      </c>
      <c r="AL5" s="5">
        <f t="shared" si="4"/>
        <v>41743.448160752516</v>
      </c>
      <c r="AM5" s="5">
        <f t="shared" si="4"/>
        <v>42578.317123967565</v>
      </c>
      <c r="AN5" s="5">
        <f t="shared" si="4"/>
        <v>43429.883466446918</v>
      </c>
      <c r="AO5" s="5">
        <f t="shared" si="4"/>
        <v>44298.481135775859</v>
      </c>
    </row>
    <row r="6" spans="2:41" s="3" customFormat="1">
      <c r="B6" s="3" t="s">
        <v>30</v>
      </c>
      <c r="C6" s="3">
        <v>4853.768</v>
      </c>
      <c r="D6" s="3">
        <v>4827.6790000000001</v>
      </c>
      <c r="E6" s="3">
        <v>4760.1210000000001</v>
      </c>
      <c r="F6" s="3">
        <f>19178.635-C6-D6-E6</f>
        <v>4737.0669999999982</v>
      </c>
      <c r="G6" s="3">
        <v>4909.402</v>
      </c>
      <c r="H6" s="3">
        <v>4900.5249999999996</v>
      </c>
      <c r="I6" s="3">
        <v>5199.2809999999999</v>
      </c>
      <c r="J6" s="3">
        <f>20317.928-G6-H6-I6</f>
        <v>5308.72</v>
      </c>
      <c r="K6" s="15">
        <v>5356.4250000000002</v>
      </c>
      <c r="L6" s="15">
        <v>5252.69</v>
      </c>
      <c r="M6" s="15">
        <v>5245.4769999999999</v>
      </c>
      <c r="N6" s="15">
        <f>21238.692-K6-L6-M6</f>
        <v>5384.1000000000013</v>
      </c>
      <c r="O6" s="3">
        <v>5450.6440000000002</v>
      </c>
      <c r="P6" s="3">
        <v>5575.7489999999998</v>
      </c>
      <c r="Q6" s="3">
        <v>5745.2049999999999</v>
      </c>
      <c r="V6" s="3">
        <v>17120.316999999999</v>
      </c>
      <c r="W6" s="3">
        <v>18874.629000000001</v>
      </c>
      <c r="X6" s="3">
        <f t="shared" si="0"/>
        <v>19178.634999999998</v>
      </c>
      <c r="Y6" s="3">
        <f t="shared" si="3"/>
        <v>20317.928</v>
      </c>
      <c r="Z6" s="3">
        <f t="shared" si="1"/>
        <v>21238.692000000003</v>
      </c>
    </row>
    <row r="7" spans="2:41" s="3" customFormat="1">
      <c r="B7" s="3" t="s">
        <v>31</v>
      </c>
      <c r="C7" s="3">
        <v>448.07499999999999</v>
      </c>
      <c r="D7" s="3">
        <v>435.27800000000002</v>
      </c>
      <c r="E7" s="3">
        <v>509.79500000000002</v>
      </c>
      <c r="F7" s="3">
        <f>1831.475-C7-D7-E7</f>
        <v>438.32699999999983</v>
      </c>
      <c r="G7" s="3">
        <v>440.947</v>
      </c>
      <c r="H7" s="3">
        <v>436.81599999999997</v>
      </c>
      <c r="I7" s="3">
        <v>504.54199999999997</v>
      </c>
      <c r="J7" s="3">
        <f>1872.284-G7-H7-I7</f>
        <v>489.97899999999998</v>
      </c>
      <c r="K7" s="15">
        <v>447.54199999999997</v>
      </c>
      <c r="L7" s="15">
        <v>438.26100000000002</v>
      </c>
      <c r="M7" s="15">
        <v>504.68400000000003</v>
      </c>
      <c r="N7" s="15">
        <f>1866.493-K7-L7-M7</f>
        <v>476.00600000000003</v>
      </c>
      <c r="O7" s="3">
        <v>452.82100000000003</v>
      </c>
      <c r="P7" s="3">
        <v>451.488</v>
      </c>
      <c r="Q7" s="3">
        <v>534.28700000000003</v>
      </c>
      <c r="V7" s="3">
        <v>1845.8779999999999</v>
      </c>
      <c r="W7" s="3">
        <v>1915.655</v>
      </c>
      <c r="X7" s="3">
        <f t="shared" si="0"/>
        <v>1831.4749999999999</v>
      </c>
      <c r="Y7" s="3">
        <f t="shared" si="3"/>
        <v>1872.2839999999999</v>
      </c>
      <c r="Z7" s="3">
        <f t="shared" si="1"/>
        <v>1866.4930000000002</v>
      </c>
    </row>
    <row r="8" spans="2:41" s="3" customFormat="1">
      <c r="B8" s="3" t="s">
        <v>29</v>
      </c>
      <c r="C8" s="3">
        <f t="shared" ref="C8:Q8" si="5">+C6+C7</f>
        <v>5301.8429999999998</v>
      </c>
      <c r="D8" s="3">
        <f t="shared" si="5"/>
        <v>5262.9570000000003</v>
      </c>
      <c r="E8" s="3">
        <f t="shared" si="5"/>
        <v>5269.9160000000002</v>
      </c>
      <c r="F8" s="3">
        <f t="shared" si="5"/>
        <v>5175.3939999999984</v>
      </c>
      <c r="G8" s="3">
        <f t="shared" si="5"/>
        <v>5350.3490000000002</v>
      </c>
      <c r="H8" s="3">
        <f t="shared" si="5"/>
        <v>5337.3409999999994</v>
      </c>
      <c r="I8" s="3">
        <f t="shared" si="5"/>
        <v>5703.8230000000003</v>
      </c>
      <c r="J8" s="3">
        <f t="shared" si="5"/>
        <v>5798.6990000000005</v>
      </c>
      <c r="K8" s="15">
        <f t="shared" si="5"/>
        <v>5803.9670000000006</v>
      </c>
      <c r="L8" s="15">
        <f t="shared" si="5"/>
        <v>5690.951</v>
      </c>
      <c r="M8" s="15">
        <f t="shared" si="5"/>
        <v>5750.1610000000001</v>
      </c>
      <c r="N8" s="15">
        <f t="shared" si="5"/>
        <v>5860.1060000000016</v>
      </c>
      <c r="O8" s="3">
        <f t="shared" si="5"/>
        <v>5903.4650000000001</v>
      </c>
      <c r="P8" s="3">
        <f t="shared" si="5"/>
        <v>6027.2370000000001</v>
      </c>
      <c r="Q8" s="3">
        <f t="shared" si="5"/>
        <v>6279.4920000000002</v>
      </c>
      <c r="V8" s="3">
        <f>+V6+V7</f>
        <v>18966.195</v>
      </c>
      <c r="W8" s="3">
        <f>+W6+W7</f>
        <v>20790.284</v>
      </c>
      <c r="X8" s="3">
        <f t="shared" si="0"/>
        <v>21010.11</v>
      </c>
      <c r="Y8" s="3">
        <f t="shared" si="3"/>
        <v>22190.212</v>
      </c>
      <c r="Z8" s="3">
        <f>+Z6+Z7</f>
        <v>23105.185000000001</v>
      </c>
    </row>
    <row r="9" spans="2:41" s="3" customFormat="1">
      <c r="B9" s="3" t="s">
        <v>44</v>
      </c>
      <c r="C9" s="3">
        <f t="shared" ref="C9:Q9" si="6">+C5-C8</f>
        <v>2366.1930000000002</v>
      </c>
      <c r="D9" s="3">
        <f t="shared" si="6"/>
        <v>2230.3630000000003</v>
      </c>
      <c r="E9" s="3">
        <f t="shared" si="6"/>
        <v>2438.0190000000002</v>
      </c>
      <c r="F9" s="3">
        <f t="shared" si="6"/>
        <v>2349.6000000000022</v>
      </c>
      <c r="G9" s="3">
        <f t="shared" si="6"/>
        <v>2449.3469999999998</v>
      </c>
      <c r="H9" s="3">
        <f t="shared" si="6"/>
        <v>2230.1420000000007</v>
      </c>
      <c r="I9" s="3">
        <f t="shared" si="6"/>
        <v>2536.357</v>
      </c>
      <c r="J9" s="3">
        <f t="shared" si="6"/>
        <v>2468.619999999999</v>
      </c>
      <c r="K9" s="15">
        <f t="shared" si="6"/>
        <v>2539.2899999999991</v>
      </c>
      <c r="L9" s="15">
        <f t="shared" si="6"/>
        <v>2240.6390000000001</v>
      </c>
      <c r="M9" s="15">
        <f t="shared" si="6"/>
        <v>2524.9049999999988</v>
      </c>
      <c r="N9" s="15">
        <f t="shared" si="6"/>
        <v>2504.404999999997</v>
      </c>
      <c r="O9" s="3">
        <f t="shared" si="6"/>
        <v>2562.518</v>
      </c>
      <c r="P9" s="3">
        <f t="shared" si="6"/>
        <v>2369.8159999999998</v>
      </c>
      <c r="Q9" s="3">
        <f t="shared" si="6"/>
        <v>2689.5519999999997</v>
      </c>
      <c r="V9" s="3">
        <f>+V5-V8</f>
        <v>8386.719000000001</v>
      </c>
      <c r="W9" s="3">
        <f>+W5-W8</f>
        <v>8987.7010000000009</v>
      </c>
      <c r="X9" s="3">
        <f t="shared" si="0"/>
        <v>9384.1750000000029</v>
      </c>
      <c r="Y9" s="3">
        <f t="shared" si="3"/>
        <v>9684.4660000000003</v>
      </c>
      <c r="Z9" s="3">
        <f>+Z5-Z8</f>
        <v>9809.2389999999978</v>
      </c>
      <c r="AA9" s="3">
        <f>(AA5*0.295)</f>
        <v>9903.9501815999993</v>
      </c>
      <c r="AB9" s="3">
        <f t="shared" ref="AB9:AO9" si="7">(AB5*0.295)</f>
        <v>10102.029185232001</v>
      </c>
      <c r="AC9" s="3">
        <f t="shared" si="7"/>
        <v>10304.069768936639</v>
      </c>
      <c r="AD9" s="3">
        <f t="shared" si="7"/>
        <v>10510.151164315374</v>
      </c>
      <c r="AE9" s="3">
        <f t="shared" si="7"/>
        <v>10720.354187601679</v>
      </c>
      <c r="AF9" s="3">
        <f t="shared" si="7"/>
        <v>10934.761271353715</v>
      </c>
      <c r="AG9" s="3">
        <f t="shared" si="7"/>
        <v>11153.456496780787</v>
      </c>
      <c r="AH9" s="3">
        <f t="shared" si="7"/>
        <v>11376.525626716402</v>
      </c>
      <c r="AI9" s="3">
        <f t="shared" si="7"/>
        <v>11604.056139250732</v>
      </c>
      <c r="AJ9" s="3">
        <f t="shared" si="7"/>
        <v>11836.137262035747</v>
      </c>
      <c r="AK9" s="3">
        <f t="shared" si="7"/>
        <v>12072.860007276462</v>
      </c>
      <c r="AL9" s="3">
        <f t="shared" si="7"/>
        <v>12314.317207421991</v>
      </c>
      <c r="AM9" s="3">
        <f t="shared" si="7"/>
        <v>12560.603551570432</v>
      </c>
      <c r="AN9" s="3">
        <f t="shared" si="7"/>
        <v>12811.81562260184</v>
      </c>
      <c r="AO9" s="3">
        <f t="shared" si="7"/>
        <v>13068.051935053878</v>
      </c>
    </row>
    <row r="10" spans="2:41" s="3" customFormat="1">
      <c r="B10" s="3" t="s">
        <v>32</v>
      </c>
      <c r="C10" s="3">
        <v>868.202</v>
      </c>
      <c r="D10" s="3">
        <v>834.04700000000003</v>
      </c>
      <c r="E10" s="3">
        <v>886.64099999999996</v>
      </c>
      <c r="F10" s="3">
        <f>3481.891-C10-D10-E10</f>
        <v>893.00100000000032</v>
      </c>
      <c r="G10" s="3">
        <v>928.21</v>
      </c>
      <c r="H10" s="3">
        <v>837.255</v>
      </c>
      <c r="I10" s="3">
        <v>899.25</v>
      </c>
      <c r="J10" s="3">
        <f>3582.833-G10-H10-I10</f>
        <v>918.11799999999994</v>
      </c>
      <c r="K10" s="15">
        <v>907.57399999999996</v>
      </c>
      <c r="L10" s="15">
        <v>798.64400000000001</v>
      </c>
      <c r="M10" s="15">
        <v>874.71299999999997</v>
      </c>
      <c r="N10" s="15">
        <f>3505.045-K10-L10-M10</f>
        <v>924.11400000000003</v>
      </c>
      <c r="O10" s="3">
        <v>875.79300000000001</v>
      </c>
      <c r="P10" s="3">
        <v>830.33199999999999</v>
      </c>
      <c r="Q10" s="3">
        <v>933.77</v>
      </c>
      <c r="V10" s="3">
        <v>3094.4650000000001</v>
      </c>
      <c r="W10" s="3">
        <v>3303.4780000000001</v>
      </c>
      <c r="X10" s="3">
        <f t="shared" si="0"/>
        <v>3481.8910000000001</v>
      </c>
      <c r="Y10" s="3">
        <f t="shared" si="3"/>
        <v>3582.8330000000001</v>
      </c>
      <c r="Z10" s="3">
        <f t="shared" si="1"/>
        <v>3505.0449999999996</v>
      </c>
      <c r="AA10" s="3">
        <f>Z10*0.99</f>
        <v>3469.9945499999994</v>
      </c>
      <c r="AB10" s="3">
        <f t="shared" ref="AB10:AO10" si="8">AA10*0.99</f>
        <v>3435.2946044999994</v>
      </c>
      <c r="AC10" s="3">
        <f t="shared" si="8"/>
        <v>3400.9416584549995</v>
      </c>
      <c r="AD10" s="3">
        <f t="shared" si="8"/>
        <v>3366.9322418704496</v>
      </c>
      <c r="AE10" s="3">
        <f t="shared" si="8"/>
        <v>3333.2629194517449</v>
      </c>
      <c r="AF10" s="3">
        <f t="shared" si="8"/>
        <v>3299.9302902572276</v>
      </c>
      <c r="AG10" s="3">
        <f t="shared" si="8"/>
        <v>3266.9309873546554</v>
      </c>
      <c r="AH10" s="3">
        <f t="shared" si="8"/>
        <v>3234.2616774811086</v>
      </c>
      <c r="AI10" s="3">
        <f t="shared" si="8"/>
        <v>3201.9190607062974</v>
      </c>
      <c r="AJ10" s="3">
        <f t="shared" si="8"/>
        <v>3169.8998700992342</v>
      </c>
      <c r="AK10" s="3">
        <f t="shared" si="8"/>
        <v>3138.2008713982418</v>
      </c>
      <c r="AL10" s="3">
        <f t="shared" si="8"/>
        <v>3106.8188626842593</v>
      </c>
      <c r="AM10" s="3">
        <f t="shared" si="8"/>
        <v>3075.7506740574167</v>
      </c>
      <c r="AN10" s="3">
        <f t="shared" si="8"/>
        <v>3044.9931673168426</v>
      </c>
      <c r="AO10" s="3">
        <f t="shared" si="8"/>
        <v>3014.5432356436741</v>
      </c>
    </row>
    <row r="11" spans="2:41" s="3" customFormat="1">
      <c r="B11" s="3" t="s">
        <v>33</v>
      </c>
      <c r="C11" s="3">
        <v>448.85199999999998</v>
      </c>
      <c r="D11" s="3">
        <v>455.55099999999999</v>
      </c>
      <c r="E11" s="3">
        <v>458.64100000000002</v>
      </c>
      <c r="F11" s="3">
        <f>1835.646-C11-D11-E11</f>
        <v>472.60199999999992</v>
      </c>
      <c r="G11" s="3">
        <v>448.053</v>
      </c>
      <c r="H11" s="3">
        <v>441.60500000000002</v>
      </c>
      <c r="I11" s="3">
        <v>458.34100000000001</v>
      </c>
      <c r="J11" s="3">
        <f>1819.136-G11-H11-I11</f>
        <v>471.13700000000006</v>
      </c>
      <c r="K11" s="15">
        <v>444.00700000000001</v>
      </c>
      <c r="L11" s="15">
        <v>420.96199999999999</v>
      </c>
      <c r="M11" s="15">
        <v>452.291</v>
      </c>
      <c r="N11" s="15">
        <f>1803.493-K11-L11-M11</f>
        <v>486.23299999999989</v>
      </c>
      <c r="O11" s="3">
        <v>465.46600000000001</v>
      </c>
      <c r="P11" s="3">
        <v>451.44</v>
      </c>
      <c r="Q11" s="3">
        <v>449.839</v>
      </c>
      <c r="V11" s="3">
        <v>1820.277</v>
      </c>
      <c r="W11" s="3">
        <v>1810.9839999999999</v>
      </c>
      <c r="X11" s="3">
        <f t="shared" si="0"/>
        <v>1835.646</v>
      </c>
      <c r="Y11" s="3">
        <f t="shared" si="3"/>
        <v>1819.136</v>
      </c>
      <c r="Z11" s="3">
        <f t="shared" si="1"/>
        <v>1803.4929999999999</v>
      </c>
      <c r="AA11" s="3">
        <f>Z11*0.99</f>
        <v>1785.4580699999999</v>
      </c>
      <c r="AB11" s="3">
        <f t="shared" ref="AB11:AO11" si="9">AA11*0.99</f>
        <v>1767.6034892999999</v>
      </c>
      <c r="AC11" s="3">
        <f t="shared" si="9"/>
        <v>1749.9274544069999</v>
      </c>
      <c r="AD11" s="3">
        <f t="shared" si="9"/>
        <v>1732.4281798629299</v>
      </c>
      <c r="AE11" s="3">
        <f t="shared" si="9"/>
        <v>1715.1038980643007</v>
      </c>
      <c r="AF11" s="3">
        <f t="shared" si="9"/>
        <v>1697.9528590836576</v>
      </c>
      <c r="AG11" s="3">
        <f t="shared" si="9"/>
        <v>1680.9733304928211</v>
      </c>
      <c r="AH11" s="3">
        <f t="shared" si="9"/>
        <v>1664.1635971878929</v>
      </c>
      <c r="AI11" s="3">
        <f t="shared" si="9"/>
        <v>1647.521961216014</v>
      </c>
      <c r="AJ11" s="3">
        <f t="shared" si="9"/>
        <v>1631.0467416038539</v>
      </c>
      <c r="AK11" s="3">
        <f t="shared" si="9"/>
        <v>1614.7362741878153</v>
      </c>
      <c r="AL11" s="3">
        <f t="shared" si="9"/>
        <v>1598.5889114459371</v>
      </c>
      <c r="AM11" s="3">
        <f t="shared" si="9"/>
        <v>1582.6030223314776</v>
      </c>
      <c r="AN11" s="3">
        <f t="shared" si="9"/>
        <v>1566.7769921081629</v>
      </c>
      <c r="AO11" s="3">
        <f t="shared" si="9"/>
        <v>1551.1092221870813</v>
      </c>
    </row>
    <row r="12" spans="2:41" s="3" customFormat="1">
      <c r="B12" s="3" t="s">
        <v>43</v>
      </c>
      <c r="C12" s="3">
        <f>+C10+C11+0.465</f>
        <v>1317.519</v>
      </c>
      <c r="D12" s="3">
        <f>+D10+D11-223.767</f>
        <v>1065.8309999999999</v>
      </c>
      <c r="E12" s="3">
        <f>+E10+E11-49.224</f>
        <v>1296.058</v>
      </c>
      <c r="F12" s="3">
        <f>+F10+F11</f>
        <v>1365.6030000000003</v>
      </c>
      <c r="G12" s="3">
        <f>+G10+G11-18.015</f>
        <v>1358.2479999999998</v>
      </c>
      <c r="H12" s="3">
        <f>+H10+H11</f>
        <v>1278.8600000000001</v>
      </c>
      <c r="I12" s="3">
        <f>+I10+I11</f>
        <v>1357.5909999999999</v>
      </c>
      <c r="J12" s="3">
        <f>+J10+J11</f>
        <v>1389.2550000000001</v>
      </c>
      <c r="K12" s="15">
        <f>+K10+K11</f>
        <v>1351.5809999999999</v>
      </c>
      <c r="L12" s="15">
        <f>+L10+L11</f>
        <v>1219.606</v>
      </c>
      <c r="M12" s="15">
        <f>+M10+M11+64.382</f>
        <v>1391.386</v>
      </c>
      <c r="N12" s="15">
        <f>+N10+N11</f>
        <v>1410.347</v>
      </c>
      <c r="O12" s="3">
        <f>+O10+O11</f>
        <v>1341.259</v>
      </c>
      <c r="P12" s="3">
        <f>+P10+P11</f>
        <v>1281.7719999999999</v>
      </c>
      <c r="Q12" s="3">
        <f>+Q10+Q11</f>
        <v>1383.6089999999999</v>
      </c>
      <c r="V12" s="3">
        <f>+V10+V11+1.52</f>
        <v>4916.2620000000006</v>
      </c>
      <c r="W12" s="3">
        <f>+W10+W11+1.691</f>
        <v>5116.1529999999993</v>
      </c>
      <c r="X12" s="3">
        <f t="shared" si="0"/>
        <v>5045.0110000000004</v>
      </c>
      <c r="Y12" s="3">
        <f t="shared" si="3"/>
        <v>5383.9539999999997</v>
      </c>
      <c r="Z12" s="3">
        <f>+Z10+Z11</f>
        <v>5308.5379999999996</v>
      </c>
      <c r="AA12" s="3">
        <f>+AA10+AA11</f>
        <v>5255.4526199999991</v>
      </c>
      <c r="AB12" s="3">
        <f t="shared" ref="AB12:AO12" si="10">+AB10+AB11</f>
        <v>5202.8980937999995</v>
      </c>
      <c r="AC12" s="3">
        <f t="shared" si="10"/>
        <v>5150.8691128619994</v>
      </c>
      <c r="AD12" s="3">
        <f t="shared" si="10"/>
        <v>5099.3604217333796</v>
      </c>
      <c r="AE12" s="3">
        <f t="shared" si="10"/>
        <v>5048.3668175160456</v>
      </c>
      <c r="AF12" s="3">
        <f t="shared" si="10"/>
        <v>4997.8831493408852</v>
      </c>
      <c r="AG12" s="3">
        <f t="shared" si="10"/>
        <v>4947.9043178474767</v>
      </c>
      <c r="AH12" s="3">
        <f t="shared" si="10"/>
        <v>4898.4252746690017</v>
      </c>
      <c r="AI12" s="3">
        <f t="shared" si="10"/>
        <v>4849.4410219223118</v>
      </c>
      <c r="AJ12" s="3">
        <f t="shared" si="10"/>
        <v>4800.9466117030879</v>
      </c>
      <c r="AK12" s="3">
        <f t="shared" si="10"/>
        <v>4752.9371455860573</v>
      </c>
      <c r="AL12" s="3">
        <f t="shared" si="10"/>
        <v>4705.4077741301962</v>
      </c>
      <c r="AM12" s="3">
        <f t="shared" si="10"/>
        <v>4658.3536963888946</v>
      </c>
      <c r="AN12" s="3">
        <f t="shared" si="10"/>
        <v>4611.7701594250057</v>
      </c>
      <c r="AO12" s="3">
        <f t="shared" si="10"/>
        <v>4565.6524578307553</v>
      </c>
    </row>
    <row r="13" spans="2:41" s="3" customFormat="1">
      <c r="B13" s="3" t="s">
        <v>36</v>
      </c>
      <c r="C13" s="3">
        <f t="shared" ref="C13:Q13" si="11">(C9-C12)</f>
        <v>1048.6740000000002</v>
      </c>
      <c r="D13" s="3">
        <f t="shared" si="11"/>
        <v>1164.5320000000004</v>
      </c>
      <c r="E13" s="3">
        <f t="shared" si="11"/>
        <v>1141.9610000000002</v>
      </c>
      <c r="F13" s="3">
        <f t="shared" si="11"/>
        <v>983.99700000000189</v>
      </c>
      <c r="G13" s="3">
        <f t="shared" si="11"/>
        <v>1091.0989999999999</v>
      </c>
      <c r="H13" s="3">
        <f t="shared" si="11"/>
        <v>951.28200000000061</v>
      </c>
      <c r="I13" s="3">
        <f t="shared" si="11"/>
        <v>1178.7660000000001</v>
      </c>
      <c r="J13" s="3">
        <f t="shared" si="11"/>
        <v>1079.3649999999989</v>
      </c>
      <c r="K13" s="15">
        <f t="shared" si="11"/>
        <v>1187.7089999999992</v>
      </c>
      <c r="L13" s="15">
        <f t="shared" si="11"/>
        <v>1021.0330000000001</v>
      </c>
      <c r="M13" s="15">
        <f t="shared" si="11"/>
        <v>1133.5189999999989</v>
      </c>
      <c r="N13" s="15">
        <f t="shared" si="11"/>
        <v>1094.057999999997</v>
      </c>
      <c r="O13" s="3">
        <f t="shared" si="11"/>
        <v>1221.259</v>
      </c>
      <c r="P13" s="3">
        <f t="shared" si="11"/>
        <v>1088.0439999999999</v>
      </c>
      <c r="Q13" s="3">
        <f t="shared" si="11"/>
        <v>1305.9429999999998</v>
      </c>
      <c r="V13" s="3">
        <f>(V9-V12)</f>
        <v>3470.4570000000003</v>
      </c>
      <c r="W13" s="3">
        <f>(W9-W12)</f>
        <v>3871.5480000000016</v>
      </c>
      <c r="X13" s="3">
        <f t="shared" si="0"/>
        <v>4339.1640000000025</v>
      </c>
      <c r="Y13" s="3">
        <f t="shared" si="3"/>
        <v>4300.5119999999997</v>
      </c>
      <c r="Z13" s="3">
        <f>(Z9-Z12)</f>
        <v>4500.7009999999982</v>
      </c>
      <c r="AA13" s="3">
        <f>(AA9-AA12)</f>
        <v>4648.4975616000002</v>
      </c>
      <c r="AB13" s="3">
        <f t="shared" ref="AB13:AO13" si="12">(AB9-AB12)</f>
        <v>4899.1310914320011</v>
      </c>
      <c r="AC13" s="3">
        <f t="shared" si="12"/>
        <v>5153.2006560746395</v>
      </c>
      <c r="AD13" s="3">
        <f t="shared" si="12"/>
        <v>5410.790742581994</v>
      </c>
      <c r="AE13" s="3">
        <f t="shared" si="12"/>
        <v>5671.9873700856333</v>
      </c>
      <c r="AF13" s="3">
        <f t="shared" si="12"/>
        <v>5936.8781220128294</v>
      </c>
      <c r="AG13" s="3">
        <f t="shared" si="12"/>
        <v>6205.5521789333106</v>
      </c>
      <c r="AH13" s="3">
        <f t="shared" si="12"/>
        <v>6478.1003520474005</v>
      </c>
      <c r="AI13" s="3">
        <f t="shared" si="12"/>
        <v>6754.6151173284197</v>
      </c>
      <c r="AJ13" s="3">
        <f t="shared" si="12"/>
        <v>7035.1906503326591</v>
      </c>
      <c r="AK13" s="3">
        <f t="shared" si="12"/>
        <v>7319.9228616904047</v>
      </c>
      <c r="AL13" s="3">
        <f t="shared" si="12"/>
        <v>7608.9094332917948</v>
      </c>
      <c r="AM13" s="3">
        <f t="shared" si="12"/>
        <v>7902.249855181537</v>
      </c>
      <c r="AN13" s="3">
        <f t="shared" si="12"/>
        <v>8200.0454631768334</v>
      </c>
      <c r="AO13" s="3">
        <f t="shared" si="12"/>
        <v>8502.3994772231235</v>
      </c>
    </row>
    <row r="14" spans="2:41" s="3" customFormat="1">
      <c r="B14" s="3" t="s">
        <v>34</v>
      </c>
      <c r="C14" s="3">
        <v>8.7669999999999995</v>
      </c>
      <c r="D14" s="3">
        <v>9.859</v>
      </c>
      <c r="E14" s="3">
        <v>7.2510000000000003</v>
      </c>
      <c r="F14" s="3">
        <f>32.893-C14-D14-E14</f>
        <v>7.0160000000000009</v>
      </c>
      <c r="G14" s="3">
        <v>6.7560000000000002</v>
      </c>
      <c r="H14" s="3">
        <v>7.96</v>
      </c>
      <c r="I14" s="3">
        <v>7.5129999999999999</v>
      </c>
      <c r="J14" s="3">
        <f>30.37-G14-H14-I14</f>
        <v>8.141</v>
      </c>
      <c r="K14" s="15">
        <v>10.099</v>
      </c>
      <c r="L14" s="15">
        <v>9.34</v>
      </c>
      <c r="M14" s="15">
        <v>6.4409999999999998</v>
      </c>
      <c r="N14" s="15">
        <f>30.37-K14-L14-M14</f>
        <v>4.4900000000000011</v>
      </c>
      <c r="O14" s="3">
        <v>7.1260000000000003</v>
      </c>
      <c r="P14" s="3">
        <v>6.7270000000000003</v>
      </c>
      <c r="Q14" s="3">
        <v>7.6970000000000001</v>
      </c>
      <c r="V14" s="3">
        <v>41.082999999999998</v>
      </c>
      <c r="W14" s="3">
        <v>42.55</v>
      </c>
      <c r="X14" s="3">
        <f t="shared" si="0"/>
        <v>32.893000000000001</v>
      </c>
      <c r="Y14" s="3">
        <f t="shared" si="3"/>
        <v>30.369999999999997</v>
      </c>
      <c r="Z14" s="3">
        <f t="shared" si="1"/>
        <v>30.37</v>
      </c>
      <c r="AA14" s="3">
        <f>Z14</f>
        <v>30.37</v>
      </c>
      <c r="AB14" s="3">
        <f t="shared" ref="AB14:AO14" si="13">AA14</f>
        <v>30.37</v>
      </c>
      <c r="AC14" s="3">
        <f t="shared" si="13"/>
        <v>30.37</v>
      </c>
      <c r="AD14" s="3">
        <f t="shared" si="13"/>
        <v>30.37</v>
      </c>
      <c r="AE14" s="3">
        <f t="shared" si="13"/>
        <v>30.37</v>
      </c>
      <c r="AF14" s="3">
        <f t="shared" si="13"/>
        <v>30.37</v>
      </c>
      <c r="AG14" s="3">
        <f t="shared" si="13"/>
        <v>30.37</v>
      </c>
      <c r="AH14" s="3">
        <f t="shared" si="13"/>
        <v>30.37</v>
      </c>
      <c r="AI14" s="3">
        <f t="shared" si="13"/>
        <v>30.37</v>
      </c>
      <c r="AJ14" s="3">
        <f t="shared" si="13"/>
        <v>30.37</v>
      </c>
      <c r="AK14" s="3">
        <f t="shared" si="13"/>
        <v>30.37</v>
      </c>
      <c r="AL14" s="3">
        <f t="shared" si="13"/>
        <v>30.37</v>
      </c>
      <c r="AM14" s="3">
        <f t="shared" si="13"/>
        <v>30.37</v>
      </c>
      <c r="AN14" s="3">
        <f t="shared" si="13"/>
        <v>30.37</v>
      </c>
      <c r="AO14" s="3">
        <f t="shared" si="13"/>
        <v>30.37</v>
      </c>
    </row>
    <row r="15" spans="2:41" s="3" customFormat="1">
      <c r="B15" s="3" t="s">
        <v>35</v>
      </c>
      <c r="C15" s="3">
        <v>-4.5490000000000004</v>
      </c>
      <c r="D15" s="3">
        <v>-3.641</v>
      </c>
      <c r="E15" s="3">
        <v>-3.5880000000000001</v>
      </c>
      <c r="F15" s="3">
        <f>-14.035-C15-D15-E15</f>
        <v>-2.2570000000000006</v>
      </c>
      <c r="G15" s="3">
        <v>-3.6579999999999999</v>
      </c>
      <c r="H15" s="3">
        <v>-4.3479999999999999</v>
      </c>
      <c r="I15" s="3">
        <v>-4.29</v>
      </c>
      <c r="J15" s="3">
        <f>-17.621-G15-H15-I15</f>
        <v>-5.3249999999999984</v>
      </c>
      <c r="K15" s="15">
        <v>-2.8109999999999999</v>
      </c>
      <c r="L15" s="15">
        <v>-3.9049999999999998</v>
      </c>
      <c r="M15" s="15">
        <v>-4.03</v>
      </c>
      <c r="N15" s="15">
        <f>-17.621-K15-L15-M15</f>
        <v>-6.8749999999999991</v>
      </c>
      <c r="O15" s="3">
        <v>-4.0519999999999996</v>
      </c>
      <c r="P15" s="3">
        <v>-4.5430000000000001</v>
      </c>
      <c r="Q15" s="3">
        <v>-3.7109999999999999</v>
      </c>
      <c r="V15" s="3">
        <v>-15</v>
      </c>
      <c r="W15" s="3">
        <v>-15.061</v>
      </c>
      <c r="X15" s="3">
        <f t="shared" si="0"/>
        <v>-14.035000000000004</v>
      </c>
      <c r="Y15" s="3">
        <f t="shared" si="3"/>
        <v>-17.620999999999999</v>
      </c>
      <c r="Z15" s="3">
        <f t="shared" si="1"/>
        <v>-17.620999999999999</v>
      </c>
      <c r="AA15" s="3">
        <f>Z15</f>
        <v>-17.620999999999999</v>
      </c>
      <c r="AB15" s="3">
        <f t="shared" ref="AB15:AO15" si="14">AA15</f>
        <v>-17.620999999999999</v>
      </c>
      <c r="AC15" s="3">
        <f t="shared" si="14"/>
        <v>-17.620999999999999</v>
      </c>
      <c r="AD15" s="3">
        <f t="shared" si="14"/>
        <v>-17.620999999999999</v>
      </c>
      <c r="AE15" s="3">
        <f t="shared" si="14"/>
        <v>-17.620999999999999</v>
      </c>
      <c r="AF15" s="3">
        <f t="shared" si="14"/>
        <v>-17.620999999999999</v>
      </c>
      <c r="AG15" s="3">
        <f t="shared" si="14"/>
        <v>-17.620999999999999</v>
      </c>
      <c r="AH15" s="3">
        <f t="shared" si="14"/>
        <v>-17.620999999999999</v>
      </c>
      <c r="AI15" s="3">
        <f t="shared" si="14"/>
        <v>-17.620999999999999</v>
      </c>
      <c r="AJ15" s="3">
        <f t="shared" si="14"/>
        <v>-17.620999999999999</v>
      </c>
      <c r="AK15" s="3">
        <f t="shared" si="14"/>
        <v>-17.620999999999999</v>
      </c>
      <c r="AL15" s="3">
        <f t="shared" si="14"/>
        <v>-17.620999999999999</v>
      </c>
      <c r="AM15" s="3">
        <f t="shared" si="14"/>
        <v>-17.620999999999999</v>
      </c>
      <c r="AN15" s="3">
        <f t="shared" si="14"/>
        <v>-17.620999999999999</v>
      </c>
      <c r="AO15" s="3">
        <f t="shared" si="14"/>
        <v>-17.620999999999999</v>
      </c>
    </row>
    <row r="16" spans="2:41" s="3" customFormat="1">
      <c r="B16" s="3" t="s">
        <v>37</v>
      </c>
      <c r="C16" s="3">
        <v>-6.4359999999999999</v>
      </c>
      <c r="D16" s="3">
        <v>10.599</v>
      </c>
      <c r="E16" s="3">
        <v>0.95099999999999996</v>
      </c>
      <c r="F16" s="3">
        <f>-18.244-C16-D16-E16</f>
        <v>-23.358000000000001</v>
      </c>
      <c r="G16" s="3">
        <v>-10.62</v>
      </c>
      <c r="H16" s="3">
        <v>-4.766</v>
      </c>
      <c r="I16" s="3">
        <v>-6.0510000000000002</v>
      </c>
      <c r="J16" s="3">
        <f>-15.56-G16-H16-I16</f>
        <v>5.8769999999999989</v>
      </c>
      <c r="K16" s="15">
        <v>-2.9790000000000001</v>
      </c>
      <c r="L16" s="15">
        <v>-21.597999999999999</v>
      </c>
      <c r="M16" s="15">
        <v>-3.839</v>
      </c>
      <c r="N16" s="15">
        <f>-15.56-K16-L16-M16</f>
        <v>12.856</v>
      </c>
      <c r="O16" s="3">
        <v>4.0289999999999999</v>
      </c>
      <c r="P16" s="3">
        <v>-21.213000000000001</v>
      </c>
      <c r="Q16" s="3">
        <v>-16.207000000000001</v>
      </c>
      <c r="V16" s="3">
        <v>15.481999999999999</v>
      </c>
      <c r="W16" s="3">
        <v>5.1369999999999996</v>
      </c>
      <c r="X16" s="3">
        <f t="shared" si="0"/>
        <v>-18.244</v>
      </c>
      <c r="Y16" s="3">
        <f t="shared" si="3"/>
        <v>-15.559999999999999</v>
      </c>
      <c r="Z16" s="3">
        <f t="shared" si="1"/>
        <v>-15.559999999999997</v>
      </c>
      <c r="AA16" s="3">
        <f>Z16</f>
        <v>-15.559999999999997</v>
      </c>
      <c r="AB16" s="3">
        <f t="shared" ref="AB16:AO16" si="15">AA16</f>
        <v>-15.559999999999997</v>
      </c>
      <c r="AC16" s="3">
        <f t="shared" si="15"/>
        <v>-15.559999999999997</v>
      </c>
      <c r="AD16" s="3">
        <f t="shared" si="15"/>
        <v>-15.559999999999997</v>
      </c>
      <c r="AE16" s="3">
        <f t="shared" si="15"/>
        <v>-15.559999999999997</v>
      </c>
      <c r="AF16" s="3">
        <f t="shared" si="15"/>
        <v>-15.559999999999997</v>
      </c>
      <c r="AG16" s="3">
        <f t="shared" si="15"/>
        <v>-15.559999999999997</v>
      </c>
      <c r="AH16" s="3">
        <f t="shared" si="15"/>
        <v>-15.559999999999997</v>
      </c>
      <c r="AI16" s="3">
        <f t="shared" si="15"/>
        <v>-15.559999999999997</v>
      </c>
      <c r="AJ16" s="3">
        <f t="shared" si="15"/>
        <v>-15.559999999999997</v>
      </c>
      <c r="AK16" s="3">
        <f t="shared" si="15"/>
        <v>-15.559999999999997</v>
      </c>
      <c r="AL16" s="3">
        <f t="shared" si="15"/>
        <v>-15.559999999999997</v>
      </c>
      <c r="AM16" s="3">
        <f t="shared" si="15"/>
        <v>-15.559999999999997</v>
      </c>
      <c r="AN16" s="3">
        <f t="shared" si="15"/>
        <v>-15.559999999999997</v>
      </c>
      <c r="AO16" s="3">
        <f t="shared" si="15"/>
        <v>-15.559999999999997</v>
      </c>
    </row>
    <row r="17" spans="2:196" s="3" customFormat="1">
      <c r="B17" s="3" t="s">
        <v>38</v>
      </c>
      <c r="C17" s="3">
        <f t="shared" ref="C17:O17" si="16">(C13+C14+C15+C16)</f>
        <v>1046.4560000000004</v>
      </c>
      <c r="D17" s="3">
        <f t="shared" si="16"/>
        <v>1181.3490000000002</v>
      </c>
      <c r="E17" s="3">
        <f t="shared" si="16"/>
        <v>1146.5750000000003</v>
      </c>
      <c r="F17" s="3">
        <f t="shared" si="16"/>
        <v>965.39800000000196</v>
      </c>
      <c r="G17" s="3">
        <f t="shared" si="16"/>
        <v>1083.5770000000002</v>
      </c>
      <c r="H17" s="3">
        <f t="shared" si="16"/>
        <v>950.12800000000072</v>
      </c>
      <c r="I17" s="3">
        <f t="shared" si="16"/>
        <v>1175.9380000000001</v>
      </c>
      <c r="J17" s="3">
        <f t="shared" si="16"/>
        <v>1088.0579999999989</v>
      </c>
      <c r="K17" s="15">
        <f t="shared" si="16"/>
        <v>1192.0179999999991</v>
      </c>
      <c r="L17" s="15">
        <f t="shared" si="16"/>
        <v>1004.8700000000001</v>
      </c>
      <c r="M17" s="15">
        <f t="shared" si="16"/>
        <v>1132.090999999999</v>
      </c>
      <c r="N17" s="15">
        <f t="shared" si="16"/>
        <v>1104.528999999997</v>
      </c>
      <c r="O17" s="3">
        <f t="shared" si="16"/>
        <v>1228.3620000000001</v>
      </c>
      <c r="P17" s="3">
        <f>(P13+P14+P15+P16+553.577)</f>
        <v>1622.5920000000001</v>
      </c>
      <c r="Q17" s="3">
        <f>(Q13+Q14+Q15+Q16)</f>
        <v>1293.7219999999995</v>
      </c>
      <c r="V17" s="3">
        <f>(V13+V14+V15+V16)</f>
        <v>3512.0220000000004</v>
      </c>
      <c r="W17" s="3">
        <f>(W13+W14+W15+W16)</f>
        <v>3904.1740000000018</v>
      </c>
      <c r="X17" s="3">
        <f t="shared" si="0"/>
        <v>4339.7780000000021</v>
      </c>
      <c r="Y17" s="3">
        <f t="shared" si="3"/>
        <v>4297.701</v>
      </c>
      <c r="Z17" s="3">
        <f t="shared" ref="Z17:AO17" si="17">(Z13+Z14+Z15+Z16)</f>
        <v>4497.8899999999976</v>
      </c>
      <c r="AA17" s="3">
        <f t="shared" si="17"/>
        <v>4645.6865615999995</v>
      </c>
      <c r="AB17" s="3">
        <f t="shared" si="17"/>
        <v>4896.3200914320005</v>
      </c>
      <c r="AC17" s="3">
        <f t="shared" si="17"/>
        <v>5150.3896560746389</v>
      </c>
      <c r="AD17" s="3">
        <f t="shared" si="17"/>
        <v>5407.9797425819934</v>
      </c>
      <c r="AE17" s="3">
        <f t="shared" si="17"/>
        <v>5669.1763700856327</v>
      </c>
      <c r="AF17" s="3">
        <f t="shared" si="17"/>
        <v>5934.0671220128288</v>
      </c>
      <c r="AG17" s="3">
        <f t="shared" si="17"/>
        <v>6202.74117893331</v>
      </c>
      <c r="AH17" s="3">
        <f t="shared" si="17"/>
        <v>6475.2893520473999</v>
      </c>
      <c r="AI17" s="3">
        <f t="shared" si="17"/>
        <v>6751.8041173284191</v>
      </c>
      <c r="AJ17" s="3">
        <f t="shared" si="17"/>
        <v>7032.3796503326585</v>
      </c>
      <c r="AK17" s="3">
        <f t="shared" si="17"/>
        <v>7317.1118616904041</v>
      </c>
      <c r="AL17" s="3">
        <f t="shared" si="17"/>
        <v>7606.0984332917942</v>
      </c>
      <c r="AM17" s="3">
        <f t="shared" si="17"/>
        <v>7899.4388551815364</v>
      </c>
      <c r="AN17" s="3">
        <f t="shared" si="17"/>
        <v>8197.2344631768356</v>
      </c>
      <c r="AO17" s="3">
        <f t="shared" si="17"/>
        <v>8499.5884772231257</v>
      </c>
    </row>
    <row r="18" spans="2:196" s="3" customFormat="1">
      <c r="B18" s="3" t="s">
        <v>39</v>
      </c>
      <c r="C18" s="3">
        <v>280.42500000000001</v>
      </c>
      <c r="D18" s="3">
        <v>-5.7489999999999997</v>
      </c>
      <c r="E18" s="3">
        <v>272.52199999999999</v>
      </c>
      <c r="F18" s="3">
        <f>784.775-C18-D18-E18</f>
        <v>237.577</v>
      </c>
      <c r="G18" s="3">
        <v>271.93099999999998</v>
      </c>
      <c r="H18" s="3">
        <v>227.797</v>
      </c>
      <c r="I18" s="3">
        <v>294.125</v>
      </c>
      <c r="J18" s="3">
        <f>1121.743-G18-H18-I18</f>
        <v>327.88999999999987</v>
      </c>
      <c r="K18" s="15">
        <v>299.77600000000001</v>
      </c>
      <c r="L18" s="15">
        <v>261.76799999999997</v>
      </c>
      <c r="M18" s="15">
        <v>281.86099999999999</v>
      </c>
      <c r="N18" s="15">
        <f>1136.741-K18-L18-M18</f>
        <v>293.3359999999999</v>
      </c>
      <c r="O18" s="3">
        <v>359.68200000000002</v>
      </c>
      <c r="P18" s="3">
        <v>222.73400000000001</v>
      </c>
      <c r="Q18" s="3">
        <v>343.42099999999999</v>
      </c>
      <c r="V18" s="3">
        <v>958.78200000000004</v>
      </c>
      <c r="W18" s="3">
        <v>1079.241</v>
      </c>
      <c r="X18" s="3">
        <f t="shared" si="0"/>
        <v>784.77499999999998</v>
      </c>
      <c r="Y18" s="3">
        <f t="shared" si="3"/>
        <v>1121.7429999999999</v>
      </c>
      <c r="Z18" s="3">
        <f t="shared" si="1"/>
        <v>1136.741</v>
      </c>
      <c r="AA18" s="3">
        <f>AA17*0.2</f>
        <v>929.13731231999998</v>
      </c>
      <c r="AB18" s="3">
        <f t="shared" ref="AB18:AO18" si="18">AB17*0.2</f>
        <v>979.26401828640019</v>
      </c>
      <c r="AC18" s="3">
        <f t="shared" si="18"/>
        <v>1030.0779312149277</v>
      </c>
      <c r="AD18" s="3">
        <f t="shared" si="18"/>
        <v>1081.5959485163987</v>
      </c>
      <c r="AE18" s="3">
        <f t="shared" si="18"/>
        <v>1133.8352740171265</v>
      </c>
      <c r="AF18" s="3">
        <f t="shared" si="18"/>
        <v>1186.8134244025657</v>
      </c>
      <c r="AG18" s="3">
        <f t="shared" si="18"/>
        <v>1240.5482357866622</v>
      </c>
      <c r="AH18" s="3">
        <f t="shared" si="18"/>
        <v>1295.0578704094801</v>
      </c>
      <c r="AI18" s="3">
        <f t="shared" si="18"/>
        <v>1350.360823465684</v>
      </c>
      <c r="AJ18" s="3">
        <f t="shared" si="18"/>
        <v>1406.4759300665319</v>
      </c>
      <c r="AK18" s="3">
        <f t="shared" si="18"/>
        <v>1463.422372338081</v>
      </c>
      <c r="AL18" s="3">
        <f t="shared" si="18"/>
        <v>1521.219686658359</v>
      </c>
      <c r="AM18" s="3">
        <f t="shared" si="18"/>
        <v>1579.8877710363074</v>
      </c>
      <c r="AN18" s="3">
        <f t="shared" si="18"/>
        <v>1639.4468926353672</v>
      </c>
      <c r="AO18" s="3">
        <f t="shared" si="18"/>
        <v>1699.9176954446252</v>
      </c>
    </row>
    <row r="19" spans="2:196" s="5" customFormat="1">
      <c r="B19" s="5" t="s">
        <v>40</v>
      </c>
      <c r="C19" s="5">
        <f>(C17-C18)-58.955-8.259</f>
        <v>698.81700000000035</v>
      </c>
      <c r="D19" s="5">
        <f>(D17-D18)-78.363-6.933</f>
        <v>1101.8020000000001</v>
      </c>
      <c r="E19" s="5">
        <f>(E17-E18)-53.177-10.628</f>
        <v>810.24800000000027</v>
      </c>
      <c r="F19" s="5">
        <f>3281.878-C19-D19-E19</f>
        <v>671.01099999999929</v>
      </c>
      <c r="G19" s="5">
        <f>(G17-G18)-49.098-10.702</f>
        <v>751.84600000000023</v>
      </c>
      <c r="H19" s="5">
        <f>(H17-H18)-42.849-8.182</f>
        <v>671.30000000000064</v>
      </c>
      <c r="I19" s="5">
        <f>(I17-I18)-51.523-12.954</f>
        <v>817.33600000000013</v>
      </c>
      <c r="J19" s="5">
        <f>2941.498-G19-H19-I19</f>
        <v>701.01599999999928</v>
      </c>
      <c r="K19" s="16">
        <f>(K17-K18)-50.636-10.076</f>
        <v>831.52999999999906</v>
      </c>
      <c r="L19" s="16">
        <f>(L17-L18)-41.053-11.413</f>
        <v>690.63600000000008</v>
      </c>
      <c r="M19" s="16">
        <f>(M17-M18)-46.283-10.25</f>
        <v>793.69699999999898</v>
      </c>
      <c r="N19" s="16">
        <f>3053.581-K19-L19-M19</f>
        <v>737.71800000000235</v>
      </c>
      <c r="O19" s="5">
        <f>(O17-O18)-39.576-10.206</f>
        <v>818.89800000000002</v>
      </c>
      <c r="P19" s="5">
        <f>(P17-P18)-63.379-9.959</f>
        <v>1326.5200000000002</v>
      </c>
      <c r="Q19" s="5">
        <f>(Q17-Q18)-42.574-10.462</f>
        <v>897.26499999999953</v>
      </c>
      <c r="V19" s="5">
        <f>(V17-V18)-243.575-31.988</f>
        <v>2277.6770000000006</v>
      </c>
      <c r="W19" s="5">
        <f>(W17-W18)-237.52-33.903</f>
        <v>2553.510000000002</v>
      </c>
      <c r="X19" s="5">
        <f t="shared" si="0"/>
        <v>3281.8780000000006</v>
      </c>
      <c r="Y19" s="5">
        <f t="shared" si="3"/>
        <v>2941.498</v>
      </c>
      <c r="Z19" s="5">
        <f t="shared" si="1"/>
        <v>3053.581000000001</v>
      </c>
      <c r="AA19" s="5">
        <f>AA17-AA18</f>
        <v>3716.5492492799995</v>
      </c>
      <c r="AB19" s="5">
        <f t="shared" ref="AB19:AO19" si="19">AB17-AB18</f>
        <v>3917.0560731456003</v>
      </c>
      <c r="AC19" s="5">
        <f t="shared" si="19"/>
        <v>4120.3117248597109</v>
      </c>
      <c r="AD19" s="5">
        <f t="shared" si="19"/>
        <v>4326.3837940655949</v>
      </c>
      <c r="AE19" s="5">
        <f t="shared" si="19"/>
        <v>4535.341096068506</v>
      </c>
      <c r="AF19" s="5">
        <f t="shared" si="19"/>
        <v>4747.2536976102629</v>
      </c>
      <c r="AG19" s="5">
        <f t="shared" si="19"/>
        <v>4962.1929431466478</v>
      </c>
      <c r="AH19" s="5">
        <f t="shared" si="19"/>
        <v>5180.2314816379203</v>
      </c>
      <c r="AI19" s="5">
        <f t="shared" si="19"/>
        <v>5401.4432938627351</v>
      </c>
      <c r="AJ19" s="5">
        <f t="shared" si="19"/>
        <v>5625.9037202661266</v>
      </c>
      <c r="AK19" s="5">
        <f t="shared" si="19"/>
        <v>5853.6894893523231</v>
      </c>
      <c r="AL19" s="5">
        <f t="shared" si="19"/>
        <v>6084.8787466334352</v>
      </c>
      <c r="AM19" s="5">
        <f t="shared" si="19"/>
        <v>6319.5510841452287</v>
      </c>
      <c r="AN19" s="5">
        <f t="shared" si="19"/>
        <v>6557.7875705414681</v>
      </c>
      <c r="AO19" s="5">
        <f t="shared" si="19"/>
        <v>6799.6707817785009</v>
      </c>
      <c r="AP19" s="5">
        <f>AO19*(1+$AR$24)</f>
        <v>6595.6806583251455</v>
      </c>
      <c r="AQ19" s="5">
        <f t="shared" ref="AQ19:DB19" si="20">AP19*(1+$AR$24)</f>
        <v>6397.8102385753909</v>
      </c>
      <c r="AR19" s="5">
        <f t="shared" si="20"/>
        <v>6205.8759314181289</v>
      </c>
      <c r="AS19" s="5">
        <f t="shared" si="20"/>
        <v>6019.6996534755845</v>
      </c>
      <c r="AT19" s="5">
        <f t="shared" si="20"/>
        <v>5839.1086638713168</v>
      </c>
      <c r="AU19" s="5">
        <f t="shared" si="20"/>
        <v>5663.9354039551772</v>
      </c>
      <c r="AV19" s="5">
        <f t="shared" si="20"/>
        <v>5494.0173418365221</v>
      </c>
      <c r="AW19" s="5">
        <f t="shared" si="20"/>
        <v>5329.1968215814259</v>
      </c>
      <c r="AX19" s="5">
        <f t="shared" si="20"/>
        <v>5169.3209169339825</v>
      </c>
      <c r="AY19" s="5">
        <f t="shared" si="20"/>
        <v>5014.2412894259633</v>
      </c>
      <c r="AZ19" s="5">
        <f t="shared" si="20"/>
        <v>4863.8140507431845</v>
      </c>
      <c r="BA19" s="5">
        <f t="shared" si="20"/>
        <v>4717.8996292208885</v>
      </c>
      <c r="BB19" s="5">
        <f t="shared" si="20"/>
        <v>4576.3626403442613</v>
      </c>
      <c r="BC19" s="5">
        <f t="shared" si="20"/>
        <v>4439.0717611339333</v>
      </c>
      <c r="BD19" s="5">
        <f t="shared" si="20"/>
        <v>4305.8996082999147</v>
      </c>
      <c r="BE19" s="5">
        <f t="shared" si="20"/>
        <v>4176.7226200509167</v>
      </c>
      <c r="BF19" s="5">
        <f t="shared" si="20"/>
        <v>4051.4209414493889</v>
      </c>
      <c r="BG19" s="5">
        <f t="shared" si="20"/>
        <v>3929.878313205907</v>
      </c>
      <c r="BH19" s="5">
        <f t="shared" si="20"/>
        <v>3811.9819638097297</v>
      </c>
      <c r="BI19" s="5">
        <f t="shared" si="20"/>
        <v>3697.6225048954375</v>
      </c>
      <c r="BJ19" s="5">
        <f t="shared" si="20"/>
        <v>3586.6938297485744</v>
      </c>
      <c r="BK19" s="5">
        <f t="shared" si="20"/>
        <v>3479.093014856117</v>
      </c>
      <c r="BL19" s="5">
        <f t="shared" si="20"/>
        <v>3374.7202244104333</v>
      </c>
      <c r="BM19" s="5">
        <f t="shared" si="20"/>
        <v>3273.4786176781204</v>
      </c>
      <c r="BN19" s="5">
        <f t="shared" si="20"/>
        <v>3175.2742591477768</v>
      </c>
      <c r="BO19" s="5">
        <f t="shared" si="20"/>
        <v>3080.0160313733436</v>
      </c>
      <c r="BP19" s="5">
        <f t="shared" si="20"/>
        <v>2987.6155504321432</v>
      </c>
      <c r="BQ19" s="5">
        <f t="shared" si="20"/>
        <v>2897.987083919179</v>
      </c>
      <c r="BR19" s="5">
        <f t="shared" si="20"/>
        <v>2811.0474714016036</v>
      </c>
      <c r="BS19" s="5">
        <f t="shared" si="20"/>
        <v>2726.7160472595556</v>
      </c>
      <c r="BT19" s="5">
        <f t="shared" si="20"/>
        <v>2644.9145658417688</v>
      </c>
      <c r="BU19" s="5">
        <f t="shared" si="20"/>
        <v>2565.5671288665158</v>
      </c>
      <c r="BV19" s="5">
        <f t="shared" si="20"/>
        <v>2488.6001150005204</v>
      </c>
      <c r="BW19" s="5">
        <f t="shared" si="20"/>
        <v>2413.9421115505047</v>
      </c>
      <c r="BX19" s="5">
        <f t="shared" si="20"/>
        <v>2341.5238482039895</v>
      </c>
      <c r="BY19" s="5">
        <f t="shared" si="20"/>
        <v>2271.2781327578696</v>
      </c>
      <c r="BZ19" s="5">
        <f t="shared" si="20"/>
        <v>2203.1397887751336</v>
      </c>
      <c r="CA19" s="5">
        <f t="shared" si="20"/>
        <v>2137.0455951118797</v>
      </c>
      <c r="CB19" s="5">
        <f t="shared" si="20"/>
        <v>2072.9342272585232</v>
      </c>
      <c r="CC19" s="5">
        <f t="shared" si="20"/>
        <v>2010.7462004407673</v>
      </c>
      <c r="CD19" s="5">
        <f t="shared" si="20"/>
        <v>1950.4238144275444</v>
      </c>
      <c r="CE19" s="5">
        <f t="shared" si="20"/>
        <v>1891.9110999947179</v>
      </c>
      <c r="CF19" s="5">
        <f t="shared" si="20"/>
        <v>1835.1537669948764</v>
      </c>
      <c r="CG19" s="5">
        <f t="shared" si="20"/>
        <v>1780.0991539850299</v>
      </c>
      <c r="CH19" s="5">
        <f t="shared" si="20"/>
        <v>1726.6961793654791</v>
      </c>
      <c r="CI19" s="5">
        <f t="shared" si="20"/>
        <v>1674.8952939845146</v>
      </c>
      <c r="CJ19" s="5">
        <f t="shared" si="20"/>
        <v>1624.6484351649792</v>
      </c>
      <c r="CK19" s="5">
        <f t="shared" si="20"/>
        <v>1575.9089821100299</v>
      </c>
      <c r="CL19" s="5">
        <f t="shared" si="20"/>
        <v>1528.6317126467291</v>
      </c>
      <c r="CM19" s="5">
        <f t="shared" si="20"/>
        <v>1482.772761267327</v>
      </c>
      <c r="CN19" s="5">
        <f t="shared" si="20"/>
        <v>1438.2895784293071</v>
      </c>
      <c r="CO19" s="5">
        <f t="shared" si="20"/>
        <v>1395.1408910764278</v>
      </c>
      <c r="CP19" s="5">
        <f t="shared" si="20"/>
        <v>1353.286664344135</v>
      </c>
      <c r="CQ19" s="5">
        <f t="shared" si="20"/>
        <v>1312.6880644138109</v>
      </c>
      <c r="CR19" s="5">
        <f t="shared" si="20"/>
        <v>1273.3074224813965</v>
      </c>
      <c r="CS19" s="5">
        <f t="shared" si="20"/>
        <v>1235.1081998069546</v>
      </c>
      <c r="CT19" s="5">
        <f t="shared" si="20"/>
        <v>1198.0549538127459</v>
      </c>
      <c r="CU19" s="5">
        <f t="shared" si="20"/>
        <v>1162.1133051983636</v>
      </c>
      <c r="CV19" s="5">
        <f t="shared" si="20"/>
        <v>1127.2499060424127</v>
      </c>
      <c r="CW19" s="5">
        <f t="shared" si="20"/>
        <v>1093.4324088611404</v>
      </c>
      <c r="CX19" s="5">
        <f t="shared" si="20"/>
        <v>1060.6294365953061</v>
      </c>
      <c r="CY19" s="5">
        <f>CX19*(1+$AR$24)</f>
        <v>1028.8105534974468</v>
      </c>
      <c r="CZ19" s="5">
        <f t="shared" si="20"/>
        <v>997.9462368925233</v>
      </c>
      <c r="DA19" s="5">
        <f t="shared" si="20"/>
        <v>968.00784978574757</v>
      </c>
      <c r="DB19" s="5">
        <f t="shared" si="20"/>
        <v>938.96761429217509</v>
      </c>
      <c r="DC19" s="5">
        <f t="shared" ref="DC19:FN19" si="21">DB19*(1+$AR$24)</f>
        <v>910.79858586340981</v>
      </c>
      <c r="DD19" s="5">
        <f t="shared" si="21"/>
        <v>883.47462828750747</v>
      </c>
      <c r="DE19" s="5">
        <f t="shared" si="21"/>
        <v>856.97038943888219</v>
      </c>
      <c r="DF19" s="5">
        <f t="shared" si="21"/>
        <v>831.2612777557157</v>
      </c>
      <c r="DG19" s="5">
        <f t="shared" si="21"/>
        <v>806.32343942304419</v>
      </c>
      <c r="DH19" s="5">
        <f t="shared" si="21"/>
        <v>782.13373624035285</v>
      </c>
      <c r="DI19" s="5">
        <f t="shared" si="21"/>
        <v>758.66972415314228</v>
      </c>
      <c r="DJ19" s="5">
        <f t="shared" si="21"/>
        <v>735.90963242854798</v>
      </c>
      <c r="DK19" s="5">
        <f t="shared" si="21"/>
        <v>713.83234345569156</v>
      </c>
      <c r="DL19" s="5">
        <f t="shared" si="21"/>
        <v>692.41737315202079</v>
      </c>
      <c r="DM19" s="5">
        <f t="shared" si="21"/>
        <v>671.64485195746011</v>
      </c>
      <c r="DN19" s="5">
        <f t="shared" si="21"/>
        <v>651.49550639873632</v>
      </c>
      <c r="DO19" s="5">
        <f t="shared" si="21"/>
        <v>631.95064120677421</v>
      </c>
      <c r="DP19" s="5">
        <f t="shared" si="21"/>
        <v>612.99212197057102</v>
      </c>
      <c r="DQ19" s="5">
        <f t="shared" si="21"/>
        <v>594.60235831145383</v>
      </c>
      <c r="DR19" s="5">
        <f t="shared" si="21"/>
        <v>576.76428756211021</v>
      </c>
      <c r="DS19" s="5">
        <f t="shared" si="21"/>
        <v>559.46135893524684</v>
      </c>
      <c r="DT19" s="5">
        <f t="shared" si="21"/>
        <v>542.67751816718942</v>
      </c>
      <c r="DU19" s="5">
        <f t="shared" si="21"/>
        <v>526.39719262217375</v>
      </c>
      <c r="DV19" s="5">
        <f t="shared" si="21"/>
        <v>510.60527684350853</v>
      </c>
      <c r="DW19" s="5">
        <f t="shared" si="21"/>
        <v>495.28711853820329</v>
      </c>
      <c r="DX19" s="5">
        <f t="shared" si="21"/>
        <v>480.42850498205718</v>
      </c>
      <c r="DY19" s="5">
        <f t="shared" si="21"/>
        <v>466.01564983259544</v>
      </c>
      <c r="DZ19" s="5">
        <f t="shared" si="21"/>
        <v>452.03518033761759</v>
      </c>
      <c r="EA19" s="5">
        <f t="shared" si="21"/>
        <v>438.47412492748907</v>
      </c>
      <c r="EB19" s="5">
        <f t="shared" si="21"/>
        <v>425.31990117966438</v>
      </c>
      <c r="EC19" s="5">
        <f t="shared" si="21"/>
        <v>412.56030414427443</v>
      </c>
      <c r="ED19" s="5">
        <f t="shared" si="21"/>
        <v>400.18349501994618</v>
      </c>
      <c r="EE19" s="5">
        <f t="shared" si="21"/>
        <v>388.17799016934777</v>
      </c>
      <c r="EF19" s="5">
        <f t="shared" si="21"/>
        <v>376.53265046426731</v>
      </c>
      <c r="EG19" s="5">
        <f t="shared" si="21"/>
        <v>365.23667095033926</v>
      </c>
      <c r="EH19" s="5">
        <f t="shared" si="21"/>
        <v>354.27957082182905</v>
      </c>
      <c r="EI19" s="5">
        <f t="shared" si="21"/>
        <v>343.65118369717419</v>
      </c>
      <c r="EJ19" s="5">
        <f t="shared" si="21"/>
        <v>333.34164818625896</v>
      </c>
      <c r="EK19" s="5">
        <f t="shared" si="21"/>
        <v>323.3413987406712</v>
      </c>
      <c r="EL19" s="5">
        <f t="shared" si="21"/>
        <v>313.64115677845103</v>
      </c>
      <c r="EM19" s="5">
        <f t="shared" si="21"/>
        <v>304.23192207509749</v>
      </c>
      <c r="EN19" s="5">
        <f t="shared" si="21"/>
        <v>295.10496441284454</v>
      </c>
      <c r="EO19" s="5">
        <f t="shared" si="21"/>
        <v>286.25181548045919</v>
      </c>
      <c r="EP19" s="5">
        <f t="shared" si="21"/>
        <v>277.66426101604543</v>
      </c>
      <c r="EQ19" s="5">
        <f t="shared" si="21"/>
        <v>269.33433318556405</v>
      </c>
      <c r="ER19" s="5">
        <f t="shared" si="21"/>
        <v>261.25430318999713</v>
      </c>
      <c r="ES19" s="5">
        <f t="shared" si="21"/>
        <v>253.41667409429721</v>
      </c>
      <c r="ET19" s="5">
        <f t="shared" si="21"/>
        <v>245.81417387146828</v>
      </c>
      <c r="EU19" s="5">
        <f t="shared" si="21"/>
        <v>238.43974865532422</v>
      </c>
      <c r="EV19" s="5">
        <f t="shared" si="21"/>
        <v>231.2865561956645</v>
      </c>
      <c r="EW19" s="5">
        <f t="shared" si="21"/>
        <v>224.34795950979455</v>
      </c>
      <c r="EX19" s="5">
        <f t="shared" si="21"/>
        <v>217.61752072450071</v>
      </c>
      <c r="EY19" s="5">
        <f t="shared" si="21"/>
        <v>211.08899510276569</v>
      </c>
      <c r="EZ19" s="5">
        <f t="shared" si="21"/>
        <v>204.7563252496827</v>
      </c>
      <c r="FA19" s="5">
        <f t="shared" si="21"/>
        <v>198.61363549219223</v>
      </c>
      <c r="FB19" s="5">
        <f t="shared" si="21"/>
        <v>192.65522642742647</v>
      </c>
      <c r="FC19" s="5">
        <f t="shared" si="21"/>
        <v>186.87556963460366</v>
      </c>
      <c r="FD19" s="5">
        <f t="shared" si="21"/>
        <v>181.26930254556555</v>
      </c>
      <c r="FE19" s="5">
        <f t="shared" si="21"/>
        <v>175.83122346919859</v>
      </c>
      <c r="FF19" s="5">
        <f t="shared" si="21"/>
        <v>170.55628676512262</v>
      </c>
      <c r="FG19" s="5">
        <f t="shared" si="21"/>
        <v>165.43959816216895</v>
      </c>
      <c r="FH19" s="5">
        <f t="shared" si="21"/>
        <v>160.47641021730388</v>
      </c>
      <c r="FI19" s="5">
        <f t="shared" si="21"/>
        <v>155.66211791078476</v>
      </c>
      <c r="FJ19" s="5">
        <f t="shared" si="21"/>
        <v>150.99225437346121</v>
      </c>
      <c r="FK19" s="5">
        <f t="shared" si="21"/>
        <v>146.46248674225737</v>
      </c>
      <c r="FL19" s="5">
        <f t="shared" si="21"/>
        <v>142.06861213998965</v>
      </c>
      <c r="FM19" s="5">
        <f t="shared" si="21"/>
        <v>137.80655377578995</v>
      </c>
      <c r="FN19" s="5">
        <f t="shared" si="21"/>
        <v>133.67235716251625</v>
      </c>
      <c r="FO19" s="5">
        <f t="shared" ref="FO19:GN19" si="22">FN19*(1+$AR$24)</f>
        <v>129.66218644764075</v>
      </c>
      <c r="FP19" s="5">
        <f t="shared" si="22"/>
        <v>125.77232085421153</v>
      </c>
      <c r="FQ19" s="5">
        <f t="shared" si="22"/>
        <v>121.99915122858518</v>
      </c>
      <c r="FR19" s="5">
        <f t="shared" si="22"/>
        <v>118.33917669172762</v>
      </c>
      <c r="FS19" s="5">
        <f t="shared" si="22"/>
        <v>114.78900139097578</v>
      </c>
      <c r="FT19" s="5">
        <f t="shared" si="22"/>
        <v>111.34533134924651</v>
      </c>
      <c r="FU19" s="5">
        <f t="shared" si="22"/>
        <v>108.00497140876911</v>
      </c>
      <c r="FV19" s="5">
        <f t="shared" si="22"/>
        <v>104.76482226650603</v>
      </c>
      <c r="FW19" s="5">
        <f t="shared" si="22"/>
        <v>101.62187759851085</v>
      </c>
      <c r="FX19" s="5">
        <f t="shared" si="22"/>
        <v>98.573221270555521</v>
      </c>
      <c r="FY19" s="5">
        <f t="shared" si="22"/>
        <v>95.616024632438851</v>
      </c>
      <c r="FZ19" s="5">
        <f t="shared" si="22"/>
        <v>92.747543893465689</v>
      </c>
      <c r="GA19" s="5">
        <f t="shared" si="22"/>
        <v>89.965117576661711</v>
      </c>
      <c r="GB19" s="5">
        <f t="shared" si="22"/>
        <v>87.266164049361862</v>
      </c>
      <c r="GC19" s="5">
        <f t="shared" si="22"/>
        <v>84.648179127881008</v>
      </c>
      <c r="GD19" s="5">
        <f t="shared" si="22"/>
        <v>82.108733754044579</v>
      </c>
      <c r="GE19" s="5">
        <f t="shared" si="22"/>
        <v>79.645471741423236</v>
      </c>
      <c r="GF19" s="5">
        <f t="shared" si="22"/>
        <v>77.25610758918053</v>
      </c>
      <c r="GG19" s="5">
        <f t="shared" si="22"/>
        <v>74.938424361505113</v>
      </c>
      <c r="GH19" s="5">
        <f t="shared" si="22"/>
        <v>72.690271630659964</v>
      </c>
      <c r="GI19" s="5">
        <f t="shared" si="22"/>
        <v>70.509563481740159</v>
      </c>
      <c r="GJ19" s="5">
        <f t="shared" si="22"/>
        <v>68.394276577287954</v>
      </c>
      <c r="GK19" s="5">
        <f t="shared" si="22"/>
        <v>66.342448279969318</v>
      </c>
      <c r="GL19" s="5">
        <f t="shared" si="22"/>
        <v>64.352174831570238</v>
      </c>
      <c r="GM19" s="5">
        <f t="shared" si="22"/>
        <v>62.421609586623127</v>
      </c>
      <c r="GN19" s="5">
        <f t="shared" si="22"/>
        <v>60.548961299024434</v>
      </c>
    </row>
    <row r="20" spans="2:196" s="3" customFormat="1">
      <c r="B20" s="3" t="s">
        <v>42</v>
      </c>
      <c r="C20" s="6">
        <f t="shared" ref="C20:Q20" si="23">(C19/C21)</f>
        <v>1.0924832449617501</v>
      </c>
      <c r="D20" s="6">
        <f t="shared" si="23"/>
        <v>1.696331796305248</v>
      </c>
      <c r="E20" s="6">
        <f t="shared" si="23"/>
        <v>1.2453361622932306</v>
      </c>
      <c r="F20" s="6">
        <f t="shared" si="23"/>
        <v>1.0394617275188067</v>
      </c>
      <c r="G20" s="6">
        <f t="shared" si="23"/>
        <v>1.1808563856057768</v>
      </c>
      <c r="H20" s="6">
        <f t="shared" si="23"/>
        <v>1.0556204064875765</v>
      </c>
      <c r="I20" s="6">
        <f t="shared" si="23"/>
        <v>1.2909482153286449</v>
      </c>
      <c r="J20" s="6">
        <f t="shared" si="23"/>
        <v>1.1053264560786631</v>
      </c>
      <c r="K20" s="17">
        <f t="shared" si="23"/>
        <v>1.3231669446829448</v>
      </c>
      <c r="L20" s="17">
        <f t="shared" si="23"/>
        <v>1.099292906430654</v>
      </c>
      <c r="M20" s="17">
        <f t="shared" si="23"/>
        <v>1.2679485246034798</v>
      </c>
      <c r="N20" s="17">
        <f t="shared" si="23"/>
        <v>1.1769599350054492</v>
      </c>
      <c r="O20" s="6">
        <f t="shared" si="23"/>
        <v>1.3071787880347576</v>
      </c>
      <c r="P20" s="6">
        <f t="shared" si="23"/>
        <v>2.1172699501932568</v>
      </c>
      <c r="Q20" s="6">
        <f t="shared" si="23"/>
        <v>1.4385565539265956</v>
      </c>
      <c r="V20" s="6">
        <f>(V19/V21)</f>
        <v>3.5278299837970968</v>
      </c>
      <c r="W20" s="6">
        <f>(W19/W21)</f>
        <v>3.970425377332103</v>
      </c>
      <c r="X20" s="6">
        <f t="shared" ref="X20:Y20" si="24">(X19/X21)</f>
        <v>5.0839503009428615</v>
      </c>
      <c r="Y20" s="6">
        <f t="shared" si="24"/>
        <v>4.6380047814921177</v>
      </c>
      <c r="Z20" s="6">
        <f>(Z19/Z21)</f>
        <v>4.8717023243215749</v>
      </c>
    </row>
    <row r="21" spans="2:196" s="3" customFormat="1">
      <c r="B21" s="3" t="s">
        <v>6</v>
      </c>
      <c r="C21" s="3">
        <v>639.65923799999996</v>
      </c>
      <c r="D21" s="3">
        <v>649.52033700000004</v>
      </c>
      <c r="E21" s="3">
        <v>650.62593100000004</v>
      </c>
      <c r="F21" s="3">
        <v>645.53699500000005</v>
      </c>
      <c r="G21" s="3">
        <v>636.69554500000004</v>
      </c>
      <c r="H21" s="3">
        <v>635.929351</v>
      </c>
      <c r="I21" s="3">
        <v>633.12841700000001</v>
      </c>
      <c r="J21" s="3">
        <v>634.21624999999995</v>
      </c>
      <c r="K21" s="15">
        <v>628.43921799999998</v>
      </c>
      <c r="L21" s="15">
        <v>628.25475900000004</v>
      </c>
      <c r="M21" s="15">
        <v>625.96941800000002</v>
      </c>
      <c r="N21" s="15">
        <v>626.79958599999998</v>
      </c>
      <c r="O21" s="3">
        <v>626.46212400000002</v>
      </c>
      <c r="P21" s="3">
        <v>626.52379299999996</v>
      </c>
      <c r="Q21" s="3">
        <v>623.72591299999999</v>
      </c>
      <c r="V21" s="3">
        <v>645.63117</v>
      </c>
      <c r="W21" s="3">
        <v>643.13260100000002</v>
      </c>
      <c r="X21" s="3">
        <v>645.53699500000005</v>
      </c>
      <c r="Y21" s="3">
        <v>634.21624999999995</v>
      </c>
      <c r="Z21" s="3">
        <v>626.79958599999998</v>
      </c>
    </row>
    <row r="22" spans="2:196" s="3" customFormat="1"/>
    <row r="23" spans="2:196" s="7" customFormat="1">
      <c r="B23" s="7" t="s">
        <v>45</v>
      </c>
      <c r="G23" s="7">
        <f t="shared" ref="G23:Q23" si="25">G5/C5-1</f>
        <v>1.7169976771105322E-2</v>
      </c>
      <c r="H23" s="7">
        <f t="shared" si="25"/>
        <v>9.8972151195997338E-3</v>
      </c>
      <c r="I23" s="7">
        <f t="shared" si="25"/>
        <v>6.9051568286447651E-2</v>
      </c>
      <c r="J23" s="7">
        <f t="shared" si="25"/>
        <v>9.8647919187709432E-2</v>
      </c>
      <c r="K23" s="7">
        <f t="shared" si="25"/>
        <v>6.9690023816312729E-2</v>
      </c>
      <c r="L23" s="7">
        <f t="shared" si="25"/>
        <v>4.8114676967229375E-2</v>
      </c>
      <c r="M23" s="7">
        <f t="shared" si="25"/>
        <v>4.2336453815328134E-3</v>
      </c>
      <c r="N23" s="7">
        <f t="shared" si="25"/>
        <v>1.1756169079722101E-2</v>
      </c>
      <c r="O23" s="7">
        <f t="shared" si="25"/>
        <v>1.470960321610626E-2</v>
      </c>
      <c r="P23" s="7">
        <f t="shared" si="25"/>
        <v>5.8684702562790125E-2</v>
      </c>
      <c r="Q23" s="7">
        <f t="shared" si="25"/>
        <v>8.3863741993115415E-2</v>
      </c>
      <c r="W23" s="7">
        <f t="shared" ref="W23:AO23" si="26">W5/V5-1</f>
        <v>8.8658597764026181E-2</v>
      </c>
      <c r="X23" s="7">
        <f t="shared" si="26"/>
        <v>2.0696497765043675E-2</v>
      </c>
      <c r="Y23" s="7">
        <f t="shared" si="26"/>
        <v>4.870629462084719E-2</v>
      </c>
      <c r="Z23" s="7">
        <f t="shared" si="26"/>
        <v>3.2619811877001581E-2</v>
      </c>
      <c r="AA23" s="7">
        <f t="shared" si="26"/>
        <v>2.0000000000000018E-2</v>
      </c>
      <c r="AB23" s="7">
        <f t="shared" si="26"/>
        <v>2.0000000000000018E-2</v>
      </c>
      <c r="AC23" s="7">
        <f t="shared" si="26"/>
        <v>2.0000000000000018E-2</v>
      </c>
      <c r="AD23" s="7">
        <f t="shared" si="26"/>
        <v>2.0000000000000018E-2</v>
      </c>
      <c r="AE23" s="7">
        <f t="shared" si="26"/>
        <v>2.0000000000000018E-2</v>
      </c>
      <c r="AF23" s="7">
        <f t="shared" si="26"/>
        <v>2.0000000000000018E-2</v>
      </c>
      <c r="AG23" s="7">
        <f t="shared" si="26"/>
        <v>2.0000000000000018E-2</v>
      </c>
      <c r="AH23" s="7">
        <f t="shared" si="26"/>
        <v>2.0000000000000018E-2</v>
      </c>
      <c r="AI23" s="7">
        <f t="shared" si="26"/>
        <v>2.0000000000000018E-2</v>
      </c>
      <c r="AJ23" s="7">
        <f t="shared" si="26"/>
        <v>2.0000000000000018E-2</v>
      </c>
      <c r="AK23" s="7">
        <f t="shared" si="26"/>
        <v>2.0000000000000018E-2</v>
      </c>
      <c r="AL23" s="7">
        <f t="shared" si="26"/>
        <v>2.0000000000000018E-2</v>
      </c>
      <c r="AM23" s="7">
        <f t="shared" si="26"/>
        <v>2.0000000000000018E-2</v>
      </c>
      <c r="AN23" s="7">
        <f t="shared" si="26"/>
        <v>2.0000000000000018E-2</v>
      </c>
      <c r="AO23" s="7">
        <f t="shared" si="26"/>
        <v>2.0000000000000018E-2</v>
      </c>
      <c r="AQ23" s="24" t="s">
        <v>49</v>
      </c>
      <c r="AR23" s="24">
        <v>0</v>
      </c>
    </row>
    <row r="24" spans="2:196" s="3" customFormat="1">
      <c r="B24" s="3" t="s">
        <v>46</v>
      </c>
      <c r="G24" s="20">
        <f>G19/C19-1</f>
        <v>7.5883958175029909E-2</v>
      </c>
      <c r="H24" s="20">
        <f t="shared" ref="H24:Q24" si="27">H19/D19-1</f>
        <v>-0.39072537533967033</v>
      </c>
      <c r="I24" s="20">
        <f t="shared" si="27"/>
        <v>8.7479389026567933E-3</v>
      </c>
      <c r="J24" s="20">
        <f t="shared" si="27"/>
        <v>4.4716107485570422E-2</v>
      </c>
      <c r="K24" s="20">
        <f t="shared" si="27"/>
        <v>0.10598447022395385</v>
      </c>
      <c r="L24" s="20">
        <f t="shared" si="27"/>
        <v>2.8803813496200537E-2</v>
      </c>
      <c r="M24" s="20">
        <f t="shared" si="27"/>
        <v>-2.892201004238304E-2</v>
      </c>
      <c r="N24" s="20">
        <f t="shared" si="27"/>
        <v>5.2355438392280851E-2</v>
      </c>
      <c r="O24" s="20">
        <f t="shared" si="27"/>
        <v>-1.5191273916754677E-2</v>
      </c>
      <c r="P24" s="20">
        <f t="shared" si="27"/>
        <v>0.92072234867571345</v>
      </c>
      <c r="Q24" s="20">
        <f t="shared" si="27"/>
        <v>0.13048808298380954</v>
      </c>
      <c r="W24" s="18">
        <f>W19/V19-1</f>
        <v>0.12110277269340708</v>
      </c>
      <c r="X24" s="18">
        <f t="shared" ref="X24:AO24" si="28">X19/W19-1</f>
        <v>0.28524188274179374</v>
      </c>
      <c r="Y24" s="18">
        <f t="shared" si="28"/>
        <v>-0.10371500707826453</v>
      </c>
      <c r="Z24" s="18">
        <f t="shared" si="28"/>
        <v>3.8104054464766168E-2</v>
      </c>
      <c r="AA24" s="18">
        <f t="shared" si="28"/>
        <v>0.21711172858358707</v>
      </c>
      <c r="AB24" s="18">
        <f t="shared" si="28"/>
        <v>5.3949728744868475E-2</v>
      </c>
      <c r="AC24" s="18">
        <f t="shared" si="28"/>
        <v>5.1889900966080926E-2</v>
      </c>
      <c r="AD24" s="18">
        <f t="shared" si="28"/>
        <v>5.0013708419816227E-2</v>
      </c>
      <c r="AE24" s="18">
        <f t="shared" si="28"/>
        <v>4.8298373872778688E-2</v>
      </c>
      <c r="AF24" s="18">
        <f t="shared" si="28"/>
        <v>4.6724732947970526E-2</v>
      </c>
      <c r="AG24" s="18">
        <f t="shared" si="28"/>
        <v>4.5276544972640442E-2</v>
      </c>
      <c r="AH24" s="18">
        <f t="shared" si="28"/>
        <v>4.3939955779512374E-2</v>
      </c>
      <c r="AI24" s="18">
        <f t="shared" si="28"/>
        <v>4.2703074758132287E-2</v>
      </c>
      <c r="AJ24" s="18">
        <f t="shared" si="28"/>
        <v>4.1555638778699944E-2</v>
      </c>
      <c r="AK24" s="18">
        <f t="shared" si="28"/>
        <v>4.0488742860217641E-2</v>
      </c>
      <c r="AL24" s="18">
        <f t="shared" si="28"/>
        <v>3.9494622613932329E-2</v>
      </c>
      <c r="AM24" s="18">
        <f t="shared" si="28"/>
        <v>3.8566477210680628E-2</v>
      </c>
      <c r="AN24" s="18">
        <f t="shared" si="28"/>
        <v>3.7698324330969868E-2</v>
      </c>
      <c r="AO24" s="18">
        <f t="shared" si="28"/>
        <v>3.6884880553863519E-2</v>
      </c>
      <c r="AQ24" s="3" t="s">
        <v>50</v>
      </c>
      <c r="AR24" s="18">
        <v>-0.03</v>
      </c>
    </row>
    <row r="25" spans="2:196" s="3" customFormat="1">
      <c r="AQ25" s="3" t="s">
        <v>51</v>
      </c>
      <c r="AR25" s="19">
        <v>4.4999999999999998E-2</v>
      </c>
    </row>
    <row r="26" spans="2:196" s="18" customFormat="1">
      <c r="B26" s="18" t="s">
        <v>47</v>
      </c>
      <c r="C26" s="18">
        <f t="shared" ref="C26:Q26" si="29">(C9/C5)</f>
        <v>0.30857875471633156</v>
      </c>
      <c r="D26" s="18">
        <f t="shared" si="29"/>
        <v>0.29764683744988873</v>
      </c>
      <c r="E26" s="18">
        <f t="shared" si="29"/>
        <v>0.31629989095652727</v>
      </c>
      <c r="F26" s="18">
        <f t="shared" si="29"/>
        <v>0.31223945161949657</v>
      </c>
      <c r="G26" s="18">
        <f t="shared" si="29"/>
        <v>0.31403108531409424</v>
      </c>
      <c r="H26" s="18">
        <f t="shared" si="29"/>
        <v>0.29470062899381483</v>
      </c>
      <c r="I26" s="18">
        <f t="shared" si="29"/>
        <v>0.30780359166911403</v>
      </c>
      <c r="J26" s="18">
        <f t="shared" si="29"/>
        <v>0.29859982419935643</v>
      </c>
      <c r="K26" s="18">
        <f t="shared" si="29"/>
        <v>0.30435236502962804</v>
      </c>
      <c r="L26" s="18">
        <f t="shared" si="29"/>
        <v>0.28249556520193303</v>
      </c>
      <c r="M26" s="18">
        <f t="shared" si="29"/>
        <v>0.30512203769734275</v>
      </c>
      <c r="N26" s="18">
        <f t="shared" si="29"/>
        <v>0.29940841730018614</v>
      </c>
      <c r="O26" s="18">
        <f t="shared" si="29"/>
        <v>0.30268404744020866</v>
      </c>
      <c r="P26" s="18">
        <f t="shared" si="29"/>
        <v>0.28221996455184928</v>
      </c>
      <c r="Q26" s="18">
        <f t="shared" si="29"/>
        <v>0.29987053246700535</v>
      </c>
      <c r="AQ26" s="7" t="s">
        <v>52</v>
      </c>
      <c r="AR26" s="21">
        <f>NPV(AR25,X19:GN19)</f>
        <v>95675.17694796274</v>
      </c>
    </row>
    <row r="27" spans="2:196" s="18" customFormat="1">
      <c r="B27" s="18" t="s">
        <v>48</v>
      </c>
      <c r="C27" s="18">
        <f>(C18/C17)</f>
        <v>0.26797591107509527</v>
      </c>
      <c r="D27" s="18">
        <f t="shared" ref="D27:Q27" si="30">(D18/D17)</f>
        <v>-4.8664704503072328E-3</v>
      </c>
      <c r="E27" s="18">
        <f t="shared" si="30"/>
        <v>0.23768353574777046</v>
      </c>
      <c r="F27" s="18">
        <f t="shared" si="30"/>
        <v>0.24609228525437127</v>
      </c>
      <c r="G27" s="18">
        <f t="shared" si="30"/>
        <v>0.25095678479701944</v>
      </c>
      <c r="H27" s="18">
        <f t="shared" si="30"/>
        <v>0.23975401209100228</v>
      </c>
      <c r="I27" s="18">
        <f t="shared" si="30"/>
        <v>0.25011947908818322</v>
      </c>
      <c r="J27" s="18">
        <f t="shared" si="30"/>
        <v>0.30135342049780456</v>
      </c>
      <c r="K27" s="18">
        <f t="shared" si="30"/>
        <v>0.25148613527648089</v>
      </c>
      <c r="L27" s="18">
        <f t="shared" si="30"/>
        <v>0.26049936807746271</v>
      </c>
      <c r="M27" s="18">
        <f t="shared" si="30"/>
        <v>0.24897380157602192</v>
      </c>
      <c r="N27" s="18">
        <f t="shared" si="30"/>
        <v>0.26557564355485525</v>
      </c>
      <c r="O27" s="18">
        <f t="shared" si="30"/>
        <v>0.29281433323401407</v>
      </c>
      <c r="P27" s="18">
        <f t="shared" si="30"/>
        <v>0.13727049067171537</v>
      </c>
      <c r="Q27" s="18">
        <f t="shared" si="30"/>
        <v>0.26545192862145045</v>
      </c>
      <c r="AQ27" s="18" t="s">
        <v>8</v>
      </c>
      <c r="AR27" s="3">
        <f>Main!K5-Main!K6</f>
        <v>3604.3010000000004</v>
      </c>
    </row>
    <row r="28" spans="2:196" s="3" customFormat="1">
      <c r="AQ28" s="5" t="s">
        <v>53</v>
      </c>
      <c r="AR28" s="5">
        <f>AR26+AR27</f>
        <v>99279.477947962747</v>
      </c>
    </row>
    <row r="29" spans="2:196" s="3" customFormat="1"/>
    <row r="30" spans="2:196">
      <c r="AQ30" s="5" t="s">
        <v>54</v>
      </c>
      <c r="AR30" s="22">
        <f>AR28/Main!K3</f>
        <v>153.98613054761333</v>
      </c>
    </row>
    <row r="31" spans="2:196">
      <c r="AQ31" s="5" t="s">
        <v>55</v>
      </c>
      <c r="AR31" s="23">
        <f>Main!K2</f>
        <v>110.53</v>
      </c>
    </row>
    <row r="32" spans="2:196">
      <c r="AR32" s="18">
        <f>AR30/AR31-1</f>
        <v>0.39316140909810304</v>
      </c>
    </row>
    <row r="35" spans="44:44">
      <c r="AR35" s="2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Editor 1</cp:lastModifiedBy>
  <dcterms:created xsi:type="dcterms:W3CDTF">2016-09-14T08:26:01Z</dcterms:created>
  <dcterms:modified xsi:type="dcterms:W3CDTF">2016-09-16T05:23:09Z</dcterms:modified>
</cp:coreProperties>
</file>