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480" yWindow="465" windowWidth="27960" windowHeight="14385" activeTab="1"/>
  </bookViews>
  <sheets>
    <sheet name="Main" sheetId="1" r:id="rId1"/>
    <sheet name="Model" sheetId="4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4" l="1"/>
  <c r="N5" i="4"/>
  <c r="R5" i="4"/>
  <c r="AD5" i="4"/>
  <c r="Q6" i="4"/>
  <c r="N6" i="4"/>
  <c r="R6" i="4"/>
  <c r="AD6" i="4"/>
  <c r="AD7" i="4"/>
  <c r="Q8" i="4"/>
  <c r="N8" i="4"/>
  <c r="R8" i="4"/>
  <c r="AD8" i="4"/>
  <c r="Q9" i="4"/>
  <c r="N9" i="4"/>
  <c r="R9" i="4"/>
  <c r="AD9" i="4"/>
  <c r="AD10" i="4"/>
  <c r="AD11" i="4"/>
  <c r="O12" i="4"/>
  <c r="P12" i="4"/>
  <c r="M12" i="4"/>
  <c r="Q12" i="4"/>
  <c r="K12" i="4"/>
  <c r="L12" i="4"/>
  <c r="N12" i="4"/>
  <c r="R12" i="4"/>
  <c r="AD12" i="4"/>
  <c r="Q13" i="4"/>
  <c r="N13" i="4"/>
  <c r="R13" i="4"/>
  <c r="AD13" i="4"/>
  <c r="Q14" i="4"/>
  <c r="N14" i="4"/>
  <c r="R14" i="4"/>
  <c r="AD14" i="4"/>
  <c r="AD15" i="4"/>
  <c r="Q16" i="4"/>
  <c r="N16" i="4"/>
  <c r="R16" i="4"/>
  <c r="AD16" i="4"/>
  <c r="AD17" i="4"/>
  <c r="AY22" i="4"/>
  <c r="K7" i="1"/>
  <c r="K11" i="1"/>
  <c r="S6" i="4"/>
  <c r="T6" i="4"/>
  <c r="AA26" i="4"/>
  <c r="Z26" i="4"/>
  <c r="S13" i="4"/>
  <c r="T13" i="4"/>
  <c r="U5" i="4"/>
  <c r="T5" i="4"/>
  <c r="T7" i="4"/>
  <c r="S5" i="4"/>
  <c r="S7" i="4"/>
  <c r="O10" i="4"/>
  <c r="S10" i="4"/>
  <c r="S11" i="4"/>
  <c r="S22" i="4"/>
  <c r="Q26" i="4"/>
  <c r="T9" i="4"/>
  <c r="S9" i="4"/>
  <c r="T8" i="4"/>
  <c r="S8" i="4"/>
  <c r="T16" i="4"/>
  <c r="S16" i="4"/>
  <c r="U16" i="4"/>
  <c r="T14" i="4"/>
  <c r="S14" i="4"/>
  <c r="U14" i="4"/>
  <c r="U9" i="4"/>
  <c r="J5" i="4"/>
  <c r="F5" i="4"/>
  <c r="J26" i="4"/>
  <c r="I26" i="4"/>
  <c r="H26" i="4"/>
  <c r="G26" i="4"/>
  <c r="F16" i="4"/>
  <c r="F14" i="4"/>
  <c r="F13" i="4"/>
  <c r="F9" i="4"/>
  <c r="F8" i="4"/>
  <c r="F6" i="4"/>
  <c r="C12" i="4"/>
  <c r="D12" i="4"/>
  <c r="E12" i="4"/>
  <c r="F12" i="4"/>
  <c r="C10" i="4"/>
  <c r="C7" i="4"/>
  <c r="C21" i="4"/>
  <c r="D10" i="4"/>
  <c r="D7" i="4"/>
  <c r="D21" i="4"/>
  <c r="E10" i="4"/>
  <c r="E7" i="4"/>
  <c r="E21" i="4"/>
  <c r="U6" i="4"/>
  <c r="Y12" i="4"/>
  <c r="Y10" i="4"/>
  <c r="Y7" i="4"/>
  <c r="Z12" i="4"/>
  <c r="Z10" i="4"/>
  <c r="Z7" i="4"/>
  <c r="Z21" i="4"/>
  <c r="AA12" i="4"/>
  <c r="AA10" i="4"/>
  <c r="AA7" i="4"/>
  <c r="AA21" i="4"/>
  <c r="O26" i="4"/>
  <c r="M26" i="4"/>
  <c r="L26" i="4"/>
  <c r="K26" i="4"/>
  <c r="J16" i="4"/>
  <c r="AB16" i="4"/>
  <c r="J14" i="4"/>
  <c r="AB14" i="4"/>
  <c r="J13" i="4"/>
  <c r="AB13" i="4"/>
  <c r="J9" i="4"/>
  <c r="AB9" i="4"/>
  <c r="J8" i="4"/>
  <c r="AB8" i="4"/>
  <c r="J6" i="4"/>
  <c r="AB6" i="4"/>
  <c r="AB5" i="4"/>
  <c r="AB26" i="4"/>
  <c r="G12" i="4"/>
  <c r="G10" i="4"/>
  <c r="G7" i="4"/>
  <c r="G21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C16" i="4"/>
  <c r="AC14" i="4"/>
  <c r="AC13" i="4"/>
  <c r="V9" i="4"/>
  <c r="AC8" i="4"/>
  <c r="H12" i="4"/>
  <c r="H10" i="4"/>
  <c r="H7" i="4"/>
  <c r="H21" i="4"/>
  <c r="I12" i="4"/>
  <c r="I10" i="4"/>
  <c r="I7" i="4"/>
  <c r="I21" i="4"/>
  <c r="U12" i="4"/>
  <c r="M10" i="4"/>
  <c r="Q10" i="4"/>
  <c r="U10" i="4"/>
  <c r="M7" i="4"/>
  <c r="M21" i="4"/>
  <c r="K10" i="4"/>
  <c r="K7" i="4"/>
  <c r="K21" i="4"/>
  <c r="S12" i="4"/>
  <c r="O7" i="4"/>
  <c r="O21" i="4"/>
  <c r="P26" i="4"/>
  <c r="L10" i="4"/>
  <c r="L7" i="4"/>
  <c r="L21" i="4"/>
  <c r="T12" i="4"/>
  <c r="P10" i="4"/>
  <c r="T10" i="4"/>
  <c r="P7" i="4"/>
  <c r="P11" i="4"/>
  <c r="P15" i="4"/>
  <c r="P17" i="4"/>
  <c r="P18" i="4"/>
  <c r="O44" i="4"/>
  <c r="O50" i="4"/>
  <c r="O39" i="4"/>
  <c r="O30" i="4"/>
  <c r="O40" i="4"/>
  <c r="P44" i="4"/>
  <c r="P50" i="4"/>
  <c r="P39" i="4"/>
  <c r="P30" i="4"/>
  <c r="P29" i="4"/>
  <c r="H6" i="1"/>
  <c r="H5" i="1"/>
  <c r="AV25" i="4"/>
  <c r="H4" i="1"/>
  <c r="V5" i="4"/>
  <c r="AE5" i="4"/>
  <c r="R26" i="4"/>
  <c r="V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C6" i="4"/>
  <c r="T11" i="4"/>
  <c r="T22" i="4"/>
  <c r="O29" i="4"/>
  <c r="J12" i="4"/>
  <c r="AB12" i="4"/>
  <c r="U8" i="4"/>
  <c r="V8" i="4"/>
  <c r="AE8" i="4"/>
  <c r="Y11" i="4"/>
  <c r="Y22" i="4"/>
  <c r="V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T21" i="4"/>
  <c r="U13" i="4"/>
  <c r="V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S26" i="4"/>
  <c r="Y21" i="4"/>
  <c r="H7" i="1"/>
  <c r="AY21" i="4"/>
  <c r="S21" i="4"/>
  <c r="S15" i="4"/>
  <c r="T15" i="4"/>
  <c r="AD21" i="4"/>
  <c r="T26" i="4"/>
  <c r="U26" i="4"/>
  <c r="V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F7" i="4"/>
  <c r="F21" i="4"/>
  <c r="F10" i="4"/>
  <c r="C11" i="4"/>
  <c r="D11" i="4"/>
  <c r="E11" i="4"/>
  <c r="P24" i="4"/>
  <c r="Q7" i="4"/>
  <c r="P22" i="4"/>
  <c r="P23" i="4"/>
  <c r="P21" i="4"/>
  <c r="P40" i="4"/>
  <c r="N7" i="4"/>
  <c r="N21" i="4"/>
  <c r="Z11" i="4"/>
  <c r="N26" i="4"/>
  <c r="N10" i="4"/>
  <c r="R10" i="4"/>
  <c r="V10" i="4"/>
  <c r="AA11" i="4"/>
  <c r="AC9" i="4"/>
  <c r="AC10" i="4"/>
  <c r="AC5" i="4"/>
  <c r="Y15" i="4"/>
  <c r="AB10" i="4"/>
  <c r="AB7" i="4"/>
  <c r="AB21" i="4"/>
  <c r="J10" i="4"/>
  <c r="J7" i="4"/>
  <c r="J21" i="4"/>
  <c r="G11" i="4"/>
  <c r="H11" i="4"/>
  <c r="I11" i="4"/>
  <c r="M11" i="4"/>
  <c r="K11" i="4"/>
  <c r="O11" i="4"/>
  <c r="L11" i="4"/>
  <c r="L22" i="4"/>
  <c r="AF8" i="4"/>
  <c r="AE10" i="4"/>
  <c r="AE26" i="4"/>
  <c r="AF5" i="4"/>
  <c r="AE7" i="4"/>
  <c r="AE11" i="4"/>
  <c r="AA15" i="4"/>
  <c r="AA22" i="4"/>
  <c r="AC12" i="4"/>
  <c r="Z15" i="4"/>
  <c r="Z22" i="4"/>
  <c r="AD26" i="4"/>
  <c r="AC7" i="4"/>
  <c r="AC21" i="4"/>
  <c r="AC26" i="4"/>
  <c r="D15" i="4"/>
  <c r="D22" i="4"/>
  <c r="V26" i="4"/>
  <c r="Q11" i="4"/>
  <c r="Q21" i="4"/>
  <c r="Y17" i="4"/>
  <c r="Y24" i="4"/>
  <c r="C15" i="4"/>
  <c r="C22" i="4"/>
  <c r="V7" i="4"/>
  <c r="R7" i="4"/>
  <c r="V11" i="4"/>
  <c r="V21" i="4"/>
  <c r="AE22" i="4"/>
  <c r="AE21" i="4"/>
  <c r="S17" i="4"/>
  <c r="S24" i="4"/>
  <c r="T17" i="4"/>
  <c r="T24" i="4"/>
  <c r="U7" i="4"/>
  <c r="F11" i="4"/>
  <c r="E15" i="4"/>
  <c r="E22" i="4"/>
  <c r="K15" i="4"/>
  <c r="K22" i="4"/>
  <c r="M15" i="4"/>
  <c r="M22" i="4"/>
  <c r="I15" i="4"/>
  <c r="I22" i="4"/>
  <c r="O15" i="4"/>
  <c r="O22" i="4"/>
  <c r="H15" i="4"/>
  <c r="H22" i="4"/>
  <c r="G15" i="4"/>
  <c r="G22" i="4"/>
  <c r="N11" i="4"/>
  <c r="J11" i="4"/>
  <c r="AC11" i="4"/>
  <c r="L15" i="4"/>
  <c r="AB11" i="4"/>
  <c r="C17" i="4"/>
  <c r="C24" i="4"/>
  <c r="AC15" i="4"/>
  <c r="AC22" i="4"/>
  <c r="AA17" i="4"/>
  <c r="AA24" i="4"/>
  <c r="Y18" i="4"/>
  <c r="Y23" i="4"/>
  <c r="Q15" i="4"/>
  <c r="Q22" i="4"/>
  <c r="AF26" i="4"/>
  <c r="AG5" i="4"/>
  <c r="F15" i="4"/>
  <c r="F22" i="4"/>
  <c r="R11" i="4"/>
  <c r="R21" i="4"/>
  <c r="Z17" i="4"/>
  <c r="Z24" i="4"/>
  <c r="AB15" i="4"/>
  <c r="AB22" i="4"/>
  <c r="AF7" i="4"/>
  <c r="AF21" i="4"/>
  <c r="D17" i="4"/>
  <c r="D24" i="4"/>
  <c r="V12" i="4"/>
  <c r="AE12" i="4"/>
  <c r="AE15" i="4"/>
  <c r="AE17" i="4"/>
  <c r="AE18" i="4"/>
  <c r="AF10" i="4"/>
  <c r="AG8" i="4"/>
  <c r="U11" i="4"/>
  <c r="U21" i="4"/>
  <c r="AD22" i="4"/>
  <c r="V22" i="4"/>
  <c r="S18" i="4"/>
  <c r="S23" i="4"/>
  <c r="T18" i="4"/>
  <c r="T23" i="4"/>
  <c r="E17" i="4"/>
  <c r="E24" i="4"/>
  <c r="G17" i="4"/>
  <c r="G24" i="4"/>
  <c r="H17" i="4"/>
  <c r="H24" i="4"/>
  <c r="K17" i="4"/>
  <c r="K24" i="4"/>
  <c r="L17" i="4"/>
  <c r="L24" i="4"/>
  <c r="M17" i="4"/>
  <c r="M24" i="4"/>
  <c r="O17" i="4"/>
  <c r="O24" i="4"/>
  <c r="J15" i="4"/>
  <c r="J22" i="4"/>
  <c r="N15" i="4"/>
  <c r="N22" i="4"/>
  <c r="I17" i="4"/>
  <c r="I24" i="4"/>
  <c r="R15" i="4"/>
  <c r="R22" i="4"/>
  <c r="D18" i="4"/>
  <c r="D23" i="4"/>
  <c r="F17" i="4"/>
  <c r="F24" i="4"/>
  <c r="AA18" i="4"/>
  <c r="AA23" i="4"/>
  <c r="V15" i="4"/>
  <c r="AE24" i="4"/>
  <c r="AG26" i="4"/>
  <c r="AH5" i="4"/>
  <c r="AE23" i="4"/>
  <c r="AF11" i="4"/>
  <c r="AF22" i="4"/>
  <c r="AG10" i="4"/>
  <c r="AH8" i="4"/>
  <c r="AB17" i="4"/>
  <c r="AB24" i="4"/>
  <c r="AC17" i="4"/>
  <c r="AC24" i="4"/>
  <c r="AG7" i="4"/>
  <c r="AG11" i="4"/>
  <c r="AG22" i="4"/>
  <c r="Z18" i="4"/>
  <c r="Z23" i="4"/>
  <c r="Q24" i="4"/>
  <c r="Q17" i="4"/>
  <c r="C18" i="4"/>
  <c r="C23" i="4"/>
  <c r="AD24" i="4"/>
  <c r="U15" i="4"/>
  <c r="U22" i="4"/>
  <c r="V24" i="4"/>
  <c r="V17" i="4"/>
  <c r="AY24" i="4"/>
  <c r="AY23" i="4"/>
  <c r="AD18" i="4"/>
  <c r="AD23" i="4"/>
  <c r="E18" i="4"/>
  <c r="E23" i="4"/>
  <c r="O18" i="4"/>
  <c r="O23" i="4"/>
  <c r="H18" i="4"/>
  <c r="H23" i="4"/>
  <c r="I18" i="4"/>
  <c r="I23" i="4"/>
  <c r="M18" i="4"/>
  <c r="M23" i="4"/>
  <c r="G18" i="4"/>
  <c r="G23" i="4"/>
  <c r="N17" i="4"/>
  <c r="N24" i="4"/>
  <c r="L18" i="4"/>
  <c r="L23" i="4"/>
  <c r="J17" i="4"/>
  <c r="J24" i="4"/>
  <c r="K18" i="4"/>
  <c r="K23" i="4"/>
  <c r="AH10" i="4"/>
  <c r="AI8" i="4"/>
  <c r="F18" i="4"/>
  <c r="F23" i="4"/>
  <c r="AI5" i="4"/>
  <c r="AH26" i="4"/>
  <c r="AH7" i="4"/>
  <c r="AI7" i="4"/>
  <c r="AC18" i="4"/>
  <c r="AC23" i="4"/>
  <c r="AG21" i="4"/>
  <c r="Q18" i="4"/>
  <c r="Q23" i="4"/>
  <c r="Q29" i="4"/>
  <c r="R17" i="4"/>
  <c r="R29" i="4"/>
  <c r="S29" i="4"/>
  <c r="T29" i="4"/>
  <c r="AB18" i="4"/>
  <c r="AB23" i="4"/>
  <c r="R24" i="4"/>
  <c r="U17" i="4"/>
  <c r="U24" i="4"/>
  <c r="V18" i="4"/>
  <c r="V23" i="4"/>
  <c r="J18" i="4"/>
  <c r="J23" i="4"/>
  <c r="N18" i="4"/>
  <c r="N23" i="4"/>
  <c r="AH21" i="4"/>
  <c r="AH11" i="4"/>
  <c r="AH22" i="4"/>
  <c r="AJ8" i="4"/>
  <c r="AI10" i="4"/>
  <c r="AJ5" i="4"/>
  <c r="AI26" i="4"/>
  <c r="R18" i="4"/>
  <c r="R23" i="4"/>
  <c r="U29" i="4"/>
  <c r="V29" i="4"/>
  <c r="AD29" i="4"/>
  <c r="AE29" i="4"/>
  <c r="AF12" i="4"/>
  <c r="AF15" i="4"/>
  <c r="AF24" i="4"/>
  <c r="U18" i="4"/>
  <c r="U23" i="4"/>
  <c r="AI21" i="4"/>
  <c r="AJ7" i="4"/>
  <c r="AI11" i="4"/>
  <c r="AI22" i="4"/>
  <c r="AK5" i="4"/>
  <c r="AJ26" i="4"/>
  <c r="AK8" i="4"/>
  <c r="AJ10" i="4"/>
  <c r="AF17" i="4"/>
  <c r="AF29" i="4"/>
  <c r="AG12" i="4"/>
  <c r="AG15" i="4"/>
  <c r="AJ21" i="4"/>
  <c r="AK7" i="4"/>
  <c r="AJ11" i="4"/>
  <c r="AJ22" i="4"/>
  <c r="AK10" i="4"/>
  <c r="AL8" i="4"/>
  <c r="AL5" i="4"/>
  <c r="AK26" i="4"/>
  <c r="AG24" i="4"/>
  <c r="AG17" i="4"/>
  <c r="AG18" i="4"/>
  <c r="AF18" i="4"/>
  <c r="AF23" i="4"/>
  <c r="AK21" i="4"/>
  <c r="AL7" i="4"/>
  <c r="AK11" i="4"/>
  <c r="AK22" i="4"/>
  <c r="AG29" i="4"/>
  <c r="AH12" i="4"/>
  <c r="AH15" i="4"/>
  <c r="AM5" i="4"/>
  <c r="AL26" i="4"/>
  <c r="AG23" i="4"/>
  <c r="AM8" i="4"/>
  <c r="AL10" i="4"/>
  <c r="AL11" i="4"/>
  <c r="AL22" i="4"/>
  <c r="AL21" i="4"/>
  <c r="AM7" i="4"/>
  <c r="AH17" i="4"/>
  <c r="AH24" i="4"/>
  <c r="AM10" i="4"/>
  <c r="AN8" i="4"/>
  <c r="AN5" i="4"/>
  <c r="AM26" i="4"/>
  <c r="AM21" i="4"/>
  <c r="AN7" i="4"/>
  <c r="AM11" i="4"/>
  <c r="AM22" i="4"/>
  <c r="AH29" i="4"/>
  <c r="AI12" i="4"/>
  <c r="AI15" i="4"/>
  <c r="AH18" i="4"/>
  <c r="AH23" i="4"/>
  <c r="AO5" i="4"/>
  <c r="AN26" i="4"/>
  <c r="AO8" i="4"/>
  <c r="AN10" i="4"/>
  <c r="AN21" i="4"/>
  <c r="AO7" i="4"/>
  <c r="AN11" i="4"/>
  <c r="AN22" i="4"/>
  <c r="AI24" i="4"/>
  <c r="AI17" i="4"/>
  <c r="AP8" i="4"/>
  <c r="AO10" i="4"/>
  <c r="AP5" i="4"/>
  <c r="AO26" i="4"/>
  <c r="AO21" i="4"/>
  <c r="AP7" i="4"/>
  <c r="AO11" i="4"/>
  <c r="AO22" i="4"/>
  <c r="AI29" i="4"/>
  <c r="AI18" i="4"/>
  <c r="AI23" i="4"/>
  <c r="AQ5" i="4"/>
  <c r="AP26" i="4"/>
  <c r="AQ8" i="4"/>
  <c r="AP10" i="4"/>
  <c r="AP21" i="4"/>
  <c r="AQ7" i="4"/>
  <c r="AP11" i="4"/>
  <c r="AP22" i="4"/>
  <c r="AJ12" i="4"/>
  <c r="AJ15" i="4"/>
  <c r="AQ10" i="4"/>
  <c r="AR8" i="4"/>
  <c r="AR10" i="4"/>
  <c r="AR5" i="4"/>
  <c r="AR26" i="4"/>
  <c r="AQ26" i="4"/>
  <c r="AQ21" i="4"/>
  <c r="AR7" i="4"/>
  <c r="AQ11" i="4"/>
  <c r="AQ22" i="4"/>
  <c r="AJ17" i="4"/>
  <c r="AJ24" i="4"/>
  <c r="AR21" i="4"/>
  <c r="AR11" i="4"/>
  <c r="AR22" i="4"/>
  <c r="AJ18" i="4"/>
  <c r="AJ23" i="4"/>
  <c r="AJ29" i="4"/>
  <c r="AK12" i="4"/>
  <c r="AK15" i="4"/>
  <c r="AK24" i="4"/>
  <c r="AK17" i="4"/>
  <c r="AK29" i="4"/>
  <c r="AL12" i="4"/>
  <c r="AL15" i="4"/>
  <c r="AK23" i="4"/>
  <c r="AK18" i="4"/>
  <c r="AL17" i="4"/>
  <c r="AL24" i="4"/>
  <c r="AL29" i="4"/>
  <c r="AM12" i="4"/>
  <c r="AM15" i="4"/>
  <c r="AL23" i="4"/>
  <c r="AL18" i="4"/>
  <c r="AM17" i="4"/>
  <c r="AM24" i="4"/>
  <c r="AM29" i="4"/>
  <c r="AN12" i="4"/>
  <c r="AN15" i="4"/>
  <c r="AM18" i="4"/>
  <c r="AM23" i="4"/>
  <c r="AN17" i="4"/>
  <c r="AN24" i="4"/>
  <c r="AN29" i="4"/>
  <c r="AO12" i="4"/>
  <c r="AO15" i="4"/>
  <c r="AN23" i="4"/>
  <c r="AN18" i="4"/>
  <c r="AO17" i="4"/>
  <c r="AO24" i="4"/>
  <c r="AO29" i="4"/>
  <c r="AP12" i="4"/>
  <c r="AP15" i="4"/>
  <c r="AO18" i="4"/>
  <c r="AO23" i="4"/>
  <c r="AP17" i="4"/>
  <c r="AP24" i="4"/>
  <c r="AP29" i="4"/>
  <c r="AQ12" i="4"/>
  <c r="AQ15" i="4"/>
  <c r="AP23" i="4"/>
  <c r="AP18" i="4"/>
  <c r="AQ24" i="4"/>
  <c r="AQ17" i="4"/>
  <c r="AQ29" i="4"/>
  <c r="AQ23" i="4"/>
  <c r="AQ18" i="4"/>
  <c r="AR12" i="4"/>
  <c r="AR15" i="4"/>
  <c r="AR24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AV24" i="4"/>
  <c r="AV26" i="4"/>
  <c r="AV27" i="4"/>
  <c r="AV30" i="4"/>
  <c r="AR23" i="4"/>
  <c r="AR18" i="4"/>
  <c r="AR29" i="4"/>
</calcChain>
</file>

<file path=xl/sharedStrings.xml><?xml version="1.0" encoding="utf-8"?>
<sst xmlns="http://schemas.openxmlformats.org/spreadsheetml/2006/main" count="89" uniqueCount="81">
  <si>
    <t>Price</t>
  </si>
  <si>
    <t>Cash</t>
  </si>
  <si>
    <t>Shares</t>
  </si>
  <si>
    <t>MC</t>
  </si>
  <si>
    <t>Debt</t>
  </si>
  <si>
    <t>EV</t>
  </si>
  <si>
    <t>Assets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</si>
  <si>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</si>
  <si>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</si>
  <si>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</si>
  <si>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</si>
  <si>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</si>
  <si>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</si>
  <si>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</si>
  <si>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</si>
  <si>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</si>
  <si>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</si>
  <si>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</si>
  <si>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</si>
  <si>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</si>
  <si>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</si>
  <si>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</si>
  <si>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</si>
  <si>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</si>
  <si>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Inventories</t>
  </si>
  <si>
    <t>Prepaids</t>
  </si>
  <si>
    <t>Assets HFS</t>
  </si>
  <si>
    <t>Other</t>
  </si>
  <si>
    <t>PP&amp;E</t>
  </si>
  <si>
    <t>Trademark</t>
  </si>
  <si>
    <t>Franchise</t>
  </si>
  <si>
    <t>Goodwill + Intangibles</t>
  </si>
  <si>
    <t>A/P</t>
  </si>
  <si>
    <t>Loans</t>
  </si>
  <si>
    <t>Taxes</t>
  </si>
  <si>
    <t>Liabilities HFS</t>
  </si>
  <si>
    <t>S/E</t>
  </si>
  <si>
    <t>Accrued Taxes</t>
  </si>
  <si>
    <t>DT</t>
  </si>
  <si>
    <t>L + S/E</t>
  </si>
  <si>
    <t>Net Income</t>
  </si>
  <si>
    <t>Revenue</t>
  </si>
  <si>
    <t>COGS</t>
  </si>
  <si>
    <t>Gross Profit</t>
  </si>
  <si>
    <t>SG&amp;A</t>
  </si>
  <si>
    <t>Other Charges</t>
  </si>
  <si>
    <t>Operating Income</t>
  </si>
  <si>
    <t>Interest Income</t>
  </si>
  <si>
    <t>Equity Income</t>
  </si>
  <si>
    <t>Other Income</t>
  </si>
  <si>
    <t>Pretax Income</t>
  </si>
  <si>
    <t>EPS</t>
  </si>
  <si>
    <t>Operating Expenses</t>
  </si>
  <si>
    <t>Revenue Y/Y</t>
  </si>
  <si>
    <t>Gross Margin %</t>
  </si>
  <si>
    <t>Operating Margin %</t>
  </si>
  <si>
    <t>Net Margin %</t>
  </si>
  <si>
    <t>Tax Rate</t>
  </si>
  <si>
    <t>Q113</t>
  </si>
  <si>
    <t>Q213</t>
  </si>
  <si>
    <t>Q313</t>
  </si>
  <si>
    <t>Q413</t>
  </si>
  <si>
    <t>Net Cash</t>
  </si>
  <si>
    <t>Maturity</t>
  </si>
  <si>
    <t>ROIC</t>
  </si>
  <si>
    <t>Discount</t>
  </si>
  <si>
    <t>NPV</t>
  </si>
  <si>
    <t>Total Value</t>
  </si>
  <si>
    <t>Per Share</t>
  </si>
  <si>
    <t>Current</t>
  </si>
  <si>
    <t>Competition</t>
  </si>
  <si>
    <t>PepsiCo, Nestle, DPSG, Groupe Danone, Kraft, Suntory, Unilever</t>
  </si>
  <si>
    <t>2016 E</t>
  </si>
  <si>
    <t>EV/E</t>
  </si>
  <si>
    <t>Yield</t>
  </si>
  <si>
    <t>WC</t>
  </si>
  <si>
    <t>OA</t>
  </si>
  <si>
    <t>Total WC</t>
  </si>
  <si>
    <t>NI</t>
  </si>
  <si>
    <t>Annual Return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</si>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</sst>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&quot;x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38" fontId="1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4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9525</xdr:rowOff>
    </xdr:from>
    <xdr:to>
      <xdr:col>16</xdr:col>
      <xdr:colOff>28575</xdr:colOff>
      <xdr:row>57</xdr:row>
      <xdr:rowOff>95250</xdr:rowOff>
    </xdr:to>
    <xdr:cxnSp macro="">
      <xdr:nvCxnSpPr>
        <xdr:cNvPr id="5" name="Straight Connector 4"/>
        <xdr:cNvCxnSpPr/>
      </xdr:nvCxnSpPr>
      <xdr:spPr>
        <a:xfrm>
          <a:off x="11744325" y="9525"/>
          <a:ext cx="0" cy="1024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0</xdr:row>
      <xdr:rowOff>0</xdr:rowOff>
    </xdr:from>
    <xdr:to>
      <xdr:col>29</xdr:col>
      <xdr:colOff>66675</xdr:colOff>
      <xdr:row>57</xdr:row>
      <xdr:rowOff>85725</xdr:rowOff>
    </xdr:to>
    <xdr:cxnSp macro="">
      <xdr:nvCxnSpPr>
        <xdr:cNvPr id="7" name="Straight Connector 6"/>
        <xdr:cNvCxnSpPr/>
      </xdr:nvCxnSpPr>
      <xdr:spPr>
        <a:xfrm>
          <a:off x="20697825" y="0"/>
          <a:ext cx="0" cy="1043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H18"/>
  <sheetViews>
    <sheetView topLeftCell="C1" workbookViewId="0">
      <selection activeCell="E6" sqref="E6"/>
    </sheetView>
  </sheetViews>
  <sheetFormatPr defaultColWidth="8.875" defaultRowHeight="12.75" x14ac:dyDescent="0.2"/>
  <cols>
    <col min="1" max="2" width="8.875" style="1"/>
    <col min="3" max="3" width="56.125" style="1" customWidth="1"/>
    <col min="4" max="4" width="8.875" style="1"/>
    <col min="5" max="5" width="11.5" style="1" bestFit="1" customWidth="1"/>
    <col min="6" max="9" width="8.875" style="1"/>
    <col min="10" max="10" width="13.625" style="1" customWidth="1"/>
    <col min="11" max="16384" width="8.875" style="1"/>
  </cols>
  <sheetData>
    <row r="2" spans="3:86" s="1" customFormat="1" x14ac:dyDescent="0.2">
      <c r="C2" s="15" t="s">
        <v>70</v>
      </c>
      <c r="D2" s="16"/>
      <c r="E2" s="16"/>
      <c r="G2" s="1" t="s">
        <v>0</v>
      </c>
      <c r="H2" s="1">
        <v>42.34</v>
      </c>
      <c r="J2" s="2" t="s">
        <v>23</v>
      </c>
      <c r="K2" s="17">
        <v>3.9</v>
      </c>
    </row>
    <row r="3" spans="3:86" s="1" customFormat="1" x14ac:dyDescent="0.2">
      <c r="C3" s="15" t="s">
        <v>71</v>
      </c>
      <c r="D3" s="16"/>
      <c r="E3" s="16"/>
      <c r="G3" s="1" t="s">
        <v>2</v>
      </c>
      <c r="H3" s="2">
        <v>4377</v>
      </c>
      <c r="J3" s="2" t="s">
        <v>80</v>
      </c>
      <c r="K3" s="17">
        <v>2.9</v>
      </c>
    </row>
    <row r="4" spans="3:86" s="1" customFormat="1" x14ac:dyDescent="0.2">
      <c r="C4" s="15"/>
      <c r="D4" s="16"/>
      <c r="E4" s="16"/>
      <c r="G4" s="1" t="s">
        <v>3</v>
      </c>
      <c r="H4" s="2">
        <f>H2*H3</f>
        <v>185322.18000000002</v>
      </c>
      <c r="J4" s="2" t="s">
        <v>75</v>
      </c>
      <c r="K4" s="17">
        <v>2.7</v>
      </c>
    </row>
    <row r="5" spans="3:86" s="1" customFormat="1" x14ac:dyDescent="0.2">
      <c r="C5" s="15"/>
      <c r="D5" s="16"/>
      <c r="E5" s="16"/>
      <c r="G5" s="1" t="s">
        <v>1</v>
      </c>
      <c r="H5" s="2">
        <f>9647+11755+2673+16215+1284</f>
        <v>41574</v>
      </c>
      <c r="I5" s="2"/>
      <c r="J5" s="2" t="s">
        <v>76</v>
      </c>
      <c r="K5" s="17">
        <v>4.2</v>
      </c>
    </row>
    <row r="6" spans="3:86" s="1" customFormat="1" x14ac:dyDescent="0.2">
      <c r="C6" s="15"/>
      <c r="D6" s="16"/>
      <c r="E6" s="16"/>
      <c r="G6" s="1" t="s">
        <v>4</v>
      </c>
      <c r="H6" s="2">
        <f>4895+29252</f>
        <v>34147</v>
      </c>
      <c r="J6" s="2" t="s">
        <v>28</v>
      </c>
      <c r="K6" s="17">
        <v>12.6</v>
      </c>
    </row>
    <row r="7" spans="3:86" s="1" customFormat="1" x14ac:dyDescent="0.2">
      <c r="C7" s="15"/>
      <c r="D7" s="16"/>
      <c r="E7" s="16"/>
      <c r="G7" s="1" t="s">
        <v>5</v>
      </c>
      <c r="H7" s="2">
        <f>H4-H5+H6</f>
        <v>177895.18000000002</v>
      </c>
      <c r="J7" s="2" t="s">
        <v>77</v>
      </c>
      <c r="K7" s="17">
        <f>SUM(K2:K6)</f>
        <v>26.299999999999997</v>
      </c>
    </row>
    <row r="8" spans="3:86" s="1" customFormat="1" x14ac:dyDescent="0.2">
      <c r="C8" s="15"/>
      <c r="D8" s="16"/>
      <c r="E8" s="16"/>
      <c r="J8" s="2"/>
    </row>
    <row r="9" spans="3:86" s="1" customFormat="1" x14ac:dyDescent="0.2">
      <c r="C9" s="15"/>
      <c r="D9" s="16"/>
      <c r="E9" s="16"/>
      <c r="J9" s="2" t="s">
        <v>78</v>
      </c>
      <c r="K9" s="1">
        <v>7</v>
      </c>
    </row>
    <row r="10" spans="3:86" s="1" customFormat="1" x14ac:dyDescent="0.2">
      <c r="C10" s="15"/>
      <c r="D10" s="16"/>
      <c r="E10" s="16"/>
    </row>
    <row r="11" spans="3:86" s="1" customFormat="1" x14ac:dyDescent="0.2">
      <c r="C11" s="18"/>
      <c r="D11" s="19"/>
      <c r="E11" s="19"/>
      <c r="J11" s="1" t="s">
        <v>79</v>
      </c>
      <c r="K11" s="4">
        <f>K9/K7</f>
        <v>0.26615969581749055</v>
      </c>
    </row>
    <row r="13" spans="3:86" s="1" customFormat="1" x14ac:dyDescent="0.2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5" spans="3:86" s="1" customFormat="1" x14ac:dyDescent="0.2">
      <c r="F15" s="4"/>
    </row>
    <row r="18" spans="5:5" s="1" customFormat="1" x14ac:dyDescent="0.2">
      <c r="E18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J50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X27" sqref="AX27"/>
    </sheetView>
  </sheetViews>
  <sheetFormatPr defaultColWidth="8.875" defaultRowHeight="12.75" x14ac:dyDescent="0.2"/>
  <cols>
    <col min="1" max="1" width="8.875" style="1"/>
    <col min="2" max="2" width="18.625" style="1" bestFit="1" customWidth="1"/>
    <col min="3" max="5" width="9" style="1" bestFit="1" customWidth="1"/>
    <col min="6" max="6" width="8.875" style="1"/>
    <col min="7" max="9" width="9" style="1" bestFit="1" customWidth="1"/>
    <col min="10" max="11" width="8.875" style="1"/>
    <col min="12" max="13" width="9" style="1" bestFit="1" customWidth="1"/>
    <col min="14" max="14" width="9.875" style="1" bestFit="1" customWidth="1"/>
    <col min="15" max="16" width="9" style="1" bestFit="1" customWidth="1"/>
    <col min="17" max="30" width="8.875" style="1"/>
    <col min="31" max="31" width="10.875" style="1" bestFit="1" customWidth="1"/>
    <col min="32" max="46" width="8.875" style="1"/>
    <col min="47" max="47" width="11" style="1" customWidth="1"/>
    <col min="48" max="48" width="11.5" style="1" bestFit="1" customWidth="1"/>
    <col min="49" max="16384" width="8.875" style="1"/>
  </cols>
  <sheetData>
    <row r="1" spans="2:44" x14ac:dyDescent="0.2">
      <c r="C1" s="5">
        <v>41362</v>
      </c>
      <c r="D1" s="5">
        <v>41453</v>
      </c>
      <c r="E1" s="5">
        <v>41544</v>
      </c>
      <c r="G1" s="5">
        <v>42097</v>
      </c>
      <c r="H1" s="6">
        <v>41817</v>
      </c>
      <c r="I1" s="6">
        <v>41908</v>
      </c>
      <c r="L1" s="5">
        <v>42188</v>
      </c>
      <c r="M1" s="5">
        <v>42279</v>
      </c>
      <c r="N1" s="5">
        <v>42369</v>
      </c>
      <c r="O1" s="5">
        <v>42461</v>
      </c>
      <c r="P1" s="5">
        <v>42552</v>
      </c>
    </row>
    <row r="2" spans="2:44" x14ac:dyDescent="0.2">
      <c r="C2" s="1" t="s">
        <v>58</v>
      </c>
      <c r="D2" s="1" t="s">
        <v>59</v>
      </c>
      <c r="E2" s="1" t="s">
        <v>60</v>
      </c>
      <c r="F2" s="1" t="s">
        <v>61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Y2" s="1">
        <v>2011</v>
      </c>
      <c r="Z2" s="1">
        <f>Y2+1</f>
        <v>2012</v>
      </c>
      <c r="AA2" s="1">
        <f t="shared" ref="AA2:AR2" si="0">Z2+1</f>
        <v>2013</v>
      </c>
      <c r="AB2" s="1">
        <f t="shared" si="0"/>
        <v>2014</v>
      </c>
      <c r="AC2" s="1">
        <f t="shared" si="0"/>
        <v>2015</v>
      </c>
      <c r="AD2" s="1">
        <f t="shared" si="0"/>
        <v>2016</v>
      </c>
      <c r="AE2" s="1">
        <f t="shared" si="0"/>
        <v>2017</v>
      </c>
      <c r="AF2" s="1">
        <f t="shared" si="0"/>
        <v>2018</v>
      </c>
      <c r="AG2" s="1">
        <f t="shared" si="0"/>
        <v>2019</v>
      </c>
      <c r="AH2" s="1">
        <f t="shared" si="0"/>
        <v>2020</v>
      </c>
      <c r="AI2" s="1">
        <f t="shared" si="0"/>
        <v>2021</v>
      </c>
      <c r="AJ2" s="1">
        <f t="shared" si="0"/>
        <v>2022</v>
      </c>
      <c r="AK2" s="1">
        <f t="shared" si="0"/>
        <v>2023</v>
      </c>
      <c r="AL2" s="1">
        <f t="shared" si="0"/>
        <v>2024</v>
      </c>
      <c r="AM2" s="1">
        <f t="shared" si="0"/>
        <v>2025</v>
      </c>
      <c r="AN2" s="1">
        <f t="shared" si="0"/>
        <v>2026</v>
      </c>
      <c r="AO2" s="1">
        <f t="shared" si="0"/>
        <v>2027</v>
      </c>
      <c r="AP2" s="1">
        <f t="shared" si="0"/>
        <v>2028</v>
      </c>
      <c r="AQ2" s="1">
        <f t="shared" si="0"/>
        <v>2029</v>
      </c>
      <c r="AR2" s="1">
        <f t="shared" si="0"/>
        <v>2030</v>
      </c>
    </row>
    <row r="5" spans="2:44" s="7" customFormat="1" x14ac:dyDescent="0.2">
      <c r="B5" s="7" t="s">
        <v>41</v>
      </c>
      <c r="C5" s="8">
        <v>11035</v>
      </c>
      <c r="D5" s="8">
        <v>12749</v>
      </c>
      <c r="E5" s="8">
        <v>12030</v>
      </c>
      <c r="F5" s="8">
        <f>46854-C5-D5-E5</f>
        <v>11040</v>
      </c>
      <c r="G5" s="8">
        <v>10711</v>
      </c>
      <c r="H5" s="8">
        <v>12574</v>
      </c>
      <c r="I5" s="8">
        <v>11976</v>
      </c>
      <c r="J5" s="8">
        <f>45998-G5-H5-I5</f>
        <v>10737</v>
      </c>
      <c r="K5" s="8">
        <v>10711</v>
      </c>
      <c r="L5" s="8">
        <v>12156</v>
      </c>
      <c r="M5" s="8">
        <v>11427</v>
      </c>
      <c r="N5" s="8">
        <f>44294-K5-L5-M5</f>
        <v>10000</v>
      </c>
      <c r="O5" s="8">
        <v>10282</v>
      </c>
      <c r="P5" s="8">
        <v>11539</v>
      </c>
      <c r="Q5" s="8">
        <f t="shared" ref="Q5:V5" si="1">M5*1</f>
        <v>11427</v>
      </c>
      <c r="R5" s="8">
        <f t="shared" si="1"/>
        <v>10000</v>
      </c>
      <c r="S5" s="8">
        <f t="shared" si="1"/>
        <v>10282</v>
      </c>
      <c r="T5" s="8">
        <f t="shared" si="1"/>
        <v>11539</v>
      </c>
      <c r="U5" s="8">
        <f t="shared" si="1"/>
        <v>11427</v>
      </c>
      <c r="V5" s="8">
        <f t="shared" si="1"/>
        <v>10000</v>
      </c>
      <c r="Y5" s="8">
        <v>46542</v>
      </c>
      <c r="Z5" s="8">
        <v>48017</v>
      </c>
      <c r="AA5" s="8">
        <v>46854</v>
      </c>
      <c r="AB5" s="8">
        <f>SUM(G5:J5)</f>
        <v>45998</v>
      </c>
      <c r="AC5" s="8">
        <f>SUM(K5:N5)</f>
        <v>44294</v>
      </c>
      <c r="AD5" s="8">
        <f>SUM(O5:R5)</f>
        <v>43248</v>
      </c>
      <c r="AE5" s="8">
        <f>SUM(S5:V5)</f>
        <v>43248</v>
      </c>
      <c r="AF5" s="8">
        <f>AE5</f>
        <v>43248</v>
      </c>
      <c r="AG5" s="8">
        <f t="shared" ref="AG5:AR5" si="2">AF5</f>
        <v>43248</v>
      </c>
      <c r="AH5" s="8">
        <f t="shared" si="2"/>
        <v>43248</v>
      </c>
      <c r="AI5" s="8">
        <f t="shared" si="2"/>
        <v>43248</v>
      </c>
      <c r="AJ5" s="8">
        <f t="shared" si="2"/>
        <v>43248</v>
      </c>
      <c r="AK5" s="8">
        <f t="shared" si="2"/>
        <v>43248</v>
      </c>
      <c r="AL5" s="8">
        <f t="shared" si="2"/>
        <v>43248</v>
      </c>
      <c r="AM5" s="8">
        <f t="shared" si="2"/>
        <v>43248</v>
      </c>
      <c r="AN5" s="8">
        <f t="shared" si="2"/>
        <v>43248</v>
      </c>
      <c r="AO5" s="8">
        <f t="shared" si="2"/>
        <v>43248</v>
      </c>
      <c r="AP5" s="8">
        <f t="shared" si="2"/>
        <v>43248</v>
      </c>
      <c r="AQ5" s="8">
        <f t="shared" si="2"/>
        <v>43248</v>
      </c>
      <c r="AR5" s="8">
        <f t="shared" si="2"/>
        <v>43248</v>
      </c>
    </row>
    <row r="6" spans="2:44" x14ac:dyDescent="0.2">
      <c r="B6" s="1" t="s">
        <v>42</v>
      </c>
      <c r="C6" s="2">
        <v>4324</v>
      </c>
      <c r="D6" s="2">
        <v>4989</v>
      </c>
      <c r="E6" s="2">
        <v>4793</v>
      </c>
      <c r="F6" s="2">
        <f>18421-C6-D6-E6</f>
        <v>4315</v>
      </c>
      <c r="G6" s="2">
        <v>4103</v>
      </c>
      <c r="H6" s="2">
        <v>4819</v>
      </c>
      <c r="I6" s="2">
        <v>4630</v>
      </c>
      <c r="J6" s="2">
        <f>17889-G6-H6-I6</f>
        <v>4337</v>
      </c>
      <c r="K6" s="2">
        <v>4103</v>
      </c>
      <c r="L6" s="2">
        <v>4748</v>
      </c>
      <c r="M6" s="2">
        <v>4577</v>
      </c>
      <c r="N6" s="2">
        <f>17482-K6-L6-M6</f>
        <v>4054</v>
      </c>
      <c r="O6" s="2">
        <v>4069</v>
      </c>
      <c r="P6" s="2">
        <v>4471</v>
      </c>
      <c r="Q6" s="2">
        <f>M6</f>
        <v>4577</v>
      </c>
      <c r="R6" s="1">
        <f>N6*1</f>
        <v>4054</v>
      </c>
      <c r="S6" s="1">
        <f t="shared" ref="S6:V6" si="3">O6*0.99</f>
        <v>4028.31</v>
      </c>
      <c r="T6" s="1">
        <f t="shared" si="3"/>
        <v>4426.29</v>
      </c>
      <c r="U6" s="1">
        <f t="shared" si="3"/>
        <v>4531.2299999999996</v>
      </c>
      <c r="V6" s="1">
        <f t="shared" si="3"/>
        <v>4013.46</v>
      </c>
      <c r="Y6" s="2">
        <v>18215</v>
      </c>
      <c r="Z6" s="2">
        <v>19053</v>
      </c>
      <c r="AA6" s="2">
        <v>18421</v>
      </c>
      <c r="AB6" s="2">
        <f>SUM(G6:J6)</f>
        <v>17889</v>
      </c>
      <c r="AC6" s="2">
        <f>SUM(K6:N6)</f>
        <v>17482</v>
      </c>
      <c r="AD6" s="2">
        <f>SUM(O6:R6)</f>
        <v>17171</v>
      </c>
      <c r="AE6" s="2">
        <f>SUM(S6:V6)</f>
        <v>16999.29</v>
      </c>
      <c r="AF6" s="2">
        <f>AE6</f>
        <v>16999.29</v>
      </c>
      <c r="AG6" s="2">
        <f t="shared" ref="AG6:AR6" si="4">AF6</f>
        <v>16999.29</v>
      </c>
      <c r="AH6" s="2">
        <f t="shared" si="4"/>
        <v>16999.29</v>
      </c>
      <c r="AI6" s="2">
        <f t="shared" si="4"/>
        <v>16999.29</v>
      </c>
      <c r="AJ6" s="2">
        <f t="shared" si="4"/>
        <v>16999.29</v>
      </c>
      <c r="AK6" s="2">
        <f t="shared" si="4"/>
        <v>16999.29</v>
      </c>
      <c r="AL6" s="2">
        <f t="shared" si="4"/>
        <v>16999.29</v>
      </c>
      <c r="AM6" s="2">
        <f t="shared" si="4"/>
        <v>16999.29</v>
      </c>
      <c r="AN6" s="2">
        <f t="shared" si="4"/>
        <v>16999.29</v>
      </c>
      <c r="AO6" s="2">
        <f t="shared" si="4"/>
        <v>16999.29</v>
      </c>
      <c r="AP6" s="2">
        <f t="shared" si="4"/>
        <v>16999.29</v>
      </c>
      <c r="AQ6" s="2">
        <f t="shared" si="4"/>
        <v>16999.29</v>
      </c>
      <c r="AR6" s="2">
        <f t="shared" si="4"/>
        <v>16999.29</v>
      </c>
    </row>
    <row r="7" spans="2:44" x14ac:dyDescent="0.2">
      <c r="B7" s="1" t="s">
        <v>43</v>
      </c>
      <c r="C7" s="2">
        <f t="shared" ref="C7:Q7" si="5">C5-C6</f>
        <v>6711</v>
      </c>
      <c r="D7" s="2">
        <f t="shared" si="5"/>
        <v>7760</v>
      </c>
      <c r="E7" s="2">
        <f t="shared" si="5"/>
        <v>7237</v>
      </c>
      <c r="F7" s="2">
        <f t="shared" si="5"/>
        <v>6725</v>
      </c>
      <c r="G7" s="2">
        <f t="shared" si="5"/>
        <v>6608</v>
      </c>
      <c r="H7" s="2">
        <f t="shared" si="5"/>
        <v>7755</v>
      </c>
      <c r="I7" s="2">
        <f t="shared" si="5"/>
        <v>7346</v>
      </c>
      <c r="J7" s="2">
        <f t="shared" si="5"/>
        <v>6400</v>
      </c>
      <c r="K7" s="2">
        <f t="shared" si="5"/>
        <v>6608</v>
      </c>
      <c r="L7" s="2">
        <f t="shared" si="5"/>
        <v>7408</v>
      </c>
      <c r="M7" s="2">
        <f t="shared" si="5"/>
        <v>6850</v>
      </c>
      <c r="N7" s="2">
        <f t="shared" si="5"/>
        <v>5946</v>
      </c>
      <c r="O7" s="2">
        <f t="shared" si="5"/>
        <v>6213</v>
      </c>
      <c r="P7" s="2">
        <f t="shared" si="5"/>
        <v>7068</v>
      </c>
      <c r="Q7" s="2">
        <f t="shared" si="5"/>
        <v>6850</v>
      </c>
      <c r="R7" s="2">
        <f t="shared" ref="R7:V7" si="6">R5-R6</f>
        <v>5946</v>
      </c>
      <c r="S7" s="2">
        <f t="shared" si="6"/>
        <v>6253.6900000000005</v>
      </c>
      <c r="T7" s="2">
        <f t="shared" si="6"/>
        <v>7112.71</v>
      </c>
      <c r="U7" s="2">
        <f t="shared" si="6"/>
        <v>6895.77</v>
      </c>
      <c r="V7" s="2">
        <f t="shared" si="6"/>
        <v>5986.54</v>
      </c>
      <c r="Y7" s="2">
        <f t="shared" ref="Y7:AE7" si="7">Y5-Y6</f>
        <v>28327</v>
      </c>
      <c r="Z7" s="2">
        <f t="shared" si="7"/>
        <v>28964</v>
      </c>
      <c r="AA7" s="2">
        <f t="shared" si="7"/>
        <v>28433</v>
      </c>
      <c r="AB7" s="2">
        <f t="shared" si="7"/>
        <v>28109</v>
      </c>
      <c r="AC7" s="2">
        <f t="shared" si="7"/>
        <v>26812</v>
      </c>
      <c r="AD7" s="2">
        <f t="shared" si="7"/>
        <v>26077</v>
      </c>
      <c r="AE7" s="2">
        <f t="shared" si="7"/>
        <v>26248.71</v>
      </c>
      <c r="AF7" s="2">
        <f>AE7</f>
        <v>26248.71</v>
      </c>
      <c r="AG7" s="2">
        <f t="shared" ref="AG7:AR7" si="8">AF7</f>
        <v>26248.71</v>
      </c>
      <c r="AH7" s="2">
        <f t="shared" si="8"/>
        <v>26248.71</v>
      </c>
      <c r="AI7" s="2">
        <f t="shared" si="8"/>
        <v>26248.71</v>
      </c>
      <c r="AJ7" s="2">
        <f t="shared" si="8"/>
        <v>26248.71</v>
      </c>
      <c r="AK7" s="2">
        <f t="shared" si="8"/>
        <v>26248.71</v>
      </c>
      <c r="AL7" s="2">
        <f t="shared" si="8"/>
        <v>26248.71</v>
      </c>
      <c r="AM7" s="2">
        <f t="shared" si="8"/>
        <v>26248.71</v>
      </c>
      <c r="AN7" s="2">
        <f t="shared" si="8"/>
        <v>26248.71</v>
      </c>
      <c r="AO7" s="2">
        <f t="shared" si="8"/>
        <v>26248.71</v>
      </c>
      <c r="AP7" s="2">
        <f t="shared" si="8"/>
        <v>26248.71</v>
      </c>
      <c r="AQ7" s="2">
        <f t="shared" si="8"/>
        <v>26248.71</v>
      </c>
      <c r="AR7" s="2">
        <f t="shared" si="8"/>
        <v>26248.71</v>
      </c>
    </row>
    <row r="8" spans="2:44" x14ac:dyDescent="0.2">
      <c r="B8" s="1" t="s">
        <v>44</v>
      </c>
      <c r="C8" s="2">
        <v>4182</v>
      </c>
      <c r="D8" s="2">
        <v>4385</v>
      </c>
      <c r="E8" s="2">
        <v>4424</v>
      </c>
      <c r="F8" s="2">
        <f>17310-C8-D8-E8</f>
        <v>4319</v>
      </c>
      <c r="G8" s="2">
        <v>4079</v>
      </c>
      <c r="H8" s="2">
        <v>4384</v>
      </c>
      <c r="I8" s="2">
        <v>4507</v>
      </c>
      <c r="J8" s="2">
        <f>17218-G8-H8-I8</f>
        <v>4248</v>
      </c>
      <c r="K8" s="2">
        <v>4079</v>
      </c>
      <c r="L8" s="2">
        <v>4204</v>
      </c>
      <c r="M8" s="2">
        <v>4207</v>
      </c>
      <c r="N8" s="2">
        <f>16427-K8-L8-M8</f>
        <v>3937</v>
      </c>
      <c r="O8" s="2">
        <v>3761</v>
      </c>
      <c r="P8" s="2">
        <v>3912</v>
      </c>
      <c r="Q8" s="2">
        <f t="shared" ref="Q8:V10" si="9">M8</f>
        <v>4207</v>
      </c>
      <c r="R8" s="2">
        <f t="shared" si="9"/>
        <v>3937</v>
      </c>
      <c r="S8" s="2">
        <f t="shared" si="9"/>
        <v>3761</v>
      </c>
      <c r="T8" s="2">
        <f t="shared" si="9"/>
        <v>3912</v>
      </c>
      <c r="U8" s="2">
        <f t="shared" si="9"/>
        <v>4207</v>
      </c>
      <c r="V8" s="2">
        <f t="shared" si="9"/>
        <v>3937</v>
      </c>
      <c r="Y8" s="2">
        <v>17422</v>
      </c>
      <c r="Z8" s="2">
        <v>17738</v>
      </c>
      <c r="AA8" s="2">
        <v>17310</v>
      </c>
      <c r="AB8" s="2">
        <f>SUM(G8:J8)</f>
        <v>17218</v>
      </c>
      <c r="AC8" s="2">
        <f>SUM(K8:N8)</f>
        <v>16427</v>
      </c>
      <c r="AD8" s="2">
        <f>SUM(O8:R8)</f>
        <v>15817</v>
      </c>
      <c r="AE8" s="2">
        <f>SUM(S8:V8)</f>
        <v>15817</v>
      </c>
      <c r="AF8" s="2">
        <f>AE8</f>
        <v>15817</v>
      </c>
      <c r="AG8" s="2">
        <f t="shared" ref="AG8:AR8" si="10">AF8</f>
        <v>15817</v>
      </c>
      <c r="AH8" s="2">
        <f t="shared" si="10"/>
        <v>15817</v>
      </c>
      <c r="AI8" s="2">
        <f t="shared" si="10"/>
        <v>15817</v>
      </c>
      <c r="AJ8" s="2">
        <f t="shared" si="10"/>
        <v>15817</v>
      </c>
      <c r="AK8" s="2">
        <f t="shared" si="10"/>
        <v>15817</v>
      </c>
      <c r="AL8" s="2">
        <f t="shared" si="10"/>
        <v>15817</v>
      </c>
      <c r="AM8" s="2">
        <f t="shared" si="10"/>
        <v>15817</v>
      </c>
      <c r="AN8" s="2">
        <f t="shared" si="10"/>
        <v>15817</v>
      </c>
      <c r="AO8" s="2">
        <f t="shared" si="10"/>
        <v>15817</v>
      </c>
      <c r="AP8" s="2">
        <f t="shared" si="10"/>
        <v>15817</v>
      </c>
      <c r="AQ8" s="2">
        <f t="shared" si="10"/>
        <v>15817</v>
      </c>
      <c r="AR8" s="2">
        <f t="shared" si="10"/>
        <v>15817</v>
      </c>
    </row>
    <row r="9" spans="2:44" x14ac:dyDescent="0.2">
      <c r="B9" s="1" t="s">
        <v>45</v>
      </c>
      <c r="C9" s="2">
        <v>121</v>
      </c>
      <c r="D9" s="2">
        <v>132</v>
      </c>
      <c r="E9" s="2">
        <v>341</v>
      </c>
      <c r="F9" s="2">
        <f>895-C9-D9-E9</f>
        <v>301</v>
      </c>
      <c r="G9" s="2">
        <v>233</v>
      </c>
      <c r="H9" s="2">
        <v>201</v>
      </c>
      <c r="I9" s="2">
        <v>128</v>
      </c>
      <c r="J9" s="2">
        <f>1183-G9-H9-I9</f>
        <v>621</v>
      </c>
      <c r="K9" s="2">
        <v>233</v>
      </c>
      <c r="L9" s="2">
        <v>669</v>
      </c>
      <c r="M9" s="2">
        <v>264</v>
      </c>
      <c r="N9" s="2">
        <f>1657-K9-L9-M9</f>
        <v>491</v>
      </c>
      <c r="O9" s="2">
        <v>311</v>
      </c>
      <c r="P9" s="2">
        <v>297</v>
      </c>
      <c r="Q9" s="2">
        <f t="shared" si="9"/>
        <v>264</v>
      </c>
      <c r="R9" s="2">
        <f t="shared" si="9"/>
        <v>491</v>
      </c>
      <c r="S9" s="2">
        <f t="shared" si="9"/>
        <v>311</v>
      </c>
      <c r="T9" s="2">
        <f t="shared" si="9"/>
        <v>297</v>
      </c>
      <c r="U9" s="2">
        <f t="shared" si="9"/>
        <v>264</v>
      </c>
      <c r="V9" s="2">
        <f t="shared" si="9"/>
        <v>491</v>
      </c>
      <c r="Y9" s="2">
        <v>732</v>
      </c>
      <c r="Z9" s="2">
        <v>447</v>
      </c>
      <c r="AA9" s="2">
        <v>895</v>
      </c>
      <c r="AB9" s="2">
        <f>SUM(G9:J9)</f>
        <v>1183</v>
      </c>
      <c r="AC9" s="2">
        <f>SUM(K9:N9)</f>
        <v>1657</v>
      </c>
      <c r="AD9" s="2">
        <f>SUM(O9:R9)</f>
        <v>1363</v>
      </c>
      <c r="AE9" s="2">
        <f>SUM(S9:V9)</f>
        <v>1363</v>
      </c>
      <c r="AF9" s="2">
        <f>AE9</f>
        <v>1363</v>
      </c>
      <c r="AG9" s="2">
        <f t="shared" ref="AG9:AR9" si="11">AF9</f>
        <v>1363</v>
      </c>
      <c r="AH9" s="2">
        <f t="shared" si="11"/>
        <v>1363</v>
      </c>
      <c r="AI9" s="2">
        <f t="shared" si="11"/>
        <v>1363</v>
      </c>
      <c r="AJ9" s="2">
        <f t="shared" si="11"/>
        <v>1363</v>
      </c>
      <c r="AK9" s="2">
        <f t="shared" si="11"/>
        <v>1363</v>
      </c>
      <c r="AL9" s="2">
        <f t="shared" si="11"/>
        <v>1363</v>
      </c>
      <c r="AM9" s="2">
        <f t="shared" si="11"/>
        <v>1363</v>
      </c>
      <c r="AN9" s="2">
        <f t="shared" si="11"/>
        <v>1363</v>
      </c>
      <c r="AO9" s="2">
        <f t="shared" si="11"/>
        <v>1363</v>
      </c>
      <c r="AP9" s="2">
        <f t="shared" si="11"/>
        <v>1363</v>
      </c>
      <c r="AQ9" s="2">
        <f t="shared" si="11"/>
        <v>1363</v>
      </c>
      <c r="AR9" s="2">
        <f t="shared" si="11"/>
        <v>1363</v>
      </c>
    </row>
    <row r="10" spans="2:44" x14ac:dyDescent="0.2">
      <c r="B10" s="1" t="s">
        <v>52</v>
      </c>
      <c r="C10" s="2">
        <f t="shared" ref="C10:P10" si="12">+C8+C9</f>
        <v>4303</v>
      </c>
      <c r="D10" s="2">
        <f t="shared" si="12"/>
        <v>4517</v>
      </c>
      <c r="E10" s="2">
        <f t="shared" si="12"/>
        <v>4765</v>
      </c>
      <c r="F10" s="2">
        <f t="shared" si="12"/>
        <v>4620</v>
      </c>
      <c r="G10" s="2">
        <f t="shared" si="12"/>
        <v>4312</v>
      </c>
      <c r="H10" s="2">
        <f t="shared" si="12"/>
        <v>4585</v>
      </c>
      <c r="I10" s="2">
        <f t="shared" si="12"/>
        <v>4635</v>
      </c>
      <c r="J10" s="2">
        <f t="shared" si="12"/>
        <v>4869</v>
      </c>
      <c r="K10" s="2">
        <f t="shared" si="12"/>
        <v>4312</v>
      </c>
      <c r="L10" s="2">
        <f t="shared" si="12"/>
        <v>4873</v>
      </c>
      <c r="M10" s="2">
        <f t="shared" si="12"/>
        <v>4471</v>
      </c>
      <c r="N10" s="2">
        <f t="shared" si="12"/>
        <v>4428</v>
      </c>
      <c r="O10" s="2">
        <f t="shared" si="12"/>
        <v>4072</v>
      </c>
      <c r="P10" s="2">
        <f t="shared" si="12"/>
        <v>4209</v>
      </c>
      <c r="Q10" s="2">
        <f t="shared" si="9"/>
        <v>4471</v>
      </c>
      <c r="R10" s="2">
        <f t="shared" si="9"/>
        <v>4428</v>
      </c>
      <c r="S10" s="2">
        <f t="shared" si="9"/>
        <v>4072</v>
      </c>
      <c r="T10" s="2">
        <f t="shared" si="9"/>
        <v>4209</v>
      </c>
      <c r="U10" s="2">
        <f t="shared" si="9"/>
        <v>4471</v>
      </c>
      <c r="V10" s="2">
        <f t="shared" si="9"/>
        <v>4428</v>
      </c>
      <c r="Y10" s="2">
        <f t="shared" ref="Y10:AF10" si="13">+Y8+Y9</f>
        <v>18154</v>
      </c>
      <c r="Z10" s="2">
        <f t="shared" si="13"/>
        <v>18185</v>
      </c>
      <c r="AA10" s="2">
        <f t="shared" si="13"/>
        <v>18205</v>
      </c>
      <c r="AB10" s="2">
        <f t="shared" si="13"/>
        <v>18401</v>
      </c>
      <c r="AC10" s="2">
        <f t="shared" si="13"/>
        <v>18084</v>
      </c>
      <c r="AD10" s="2">
        <f t="shared" si="13"/>
        <v>17180</v>
      </c>
      <c r="AE10" s="2">
        <f t="shared" si="13"/>
        <v>17180</v>
      </c>
      <c r="AF10" s="2">
        <f t="shared" si="13"/>
        <v>17180</v>
      </c>
      <c r="AG10" s="2">
        <f t="shared" ref="AG10:AR10" si="14">+AG8+AG9</f>
        <v>17180</v>
      </c>
      <c r="AH10" s="2">
        <f t="shared" si="14"/>
        <v>17180</v>
      </c>
      <c r="AI10" s="2">
        <f t="shared" si="14"/>
        <v>17180</v>
      </c>
      <c r="AJ10" s="2">
        <f t="shared" si="14"/>
        <v>17180</v>
      </c>
      <c r="AK10" s="2">
        <f t="shared" si="14"/>
        <v>17180</v>
      </c>
      <c r="AL10" s="2">
        <f t="shared" si="14"/>
        <v>17180</v>
      </c>
      <c r="AM10" s="2">
        <f t="shared" si="14"/>
        <v>17180</v>
      </c>
      <c r="AN10" s="2">
        <f t="shared" si="14"/>
        <v>17180</v>
      </c>
      <c r="AO10" s="2">
        <f t="shared" si="14"/>
        <v>17180</v>
      </c>
      <c r="AP10" s="2">
        <f t="shared" si="14"/>
        <v>17180</v>
      </c>
      <c r="AQ10" s="2">
        <f t="shared" si="14"/>
        <v>17180</v>
      </c>
      <c r="AR10" s="2">
        <f t="shared" si="14"/>
        <v>17180</v>
      </c>
    </row>
    <row r="11" spans="2:44" s="7" customFormat="1" x14ac:dyDescent="0.2">
      <c r="B11" s="7" t="s">
        <v>46</v>
      </c>
      <c r="C11" s="8">
        <f t="shared" ref="C11:Q11" si="15">C7-C10</f>
        <v>2408</v>
      </c>
      <c r="D11" s="8">
        <f t="shared" si="15"/>
        <v>3243</v>
      </c>
      <c r="E11" s="8">
        <f t="shared" si="15"/>
        <v>2472</v>
      </c>
      <c r="F11" s="8">
        <f t="shared" si="15"/>
        <v>2105</v>
      </c>
      <c r="G11" s="8">
        <f t="shared" si="15"/>
        <v>2296</v>
      </c>
      <c r="H11" s="8">
        <f t="shared" si="15"/>
        <v>3170</v>
      </c>
      <c r="I11" s="8">
        <f t="shared" si="15"/>
        <v>2711</v>
      </c>
      <c r="J11" s="8">
        <f t="shared" si="15"/>
        <v>1531</v>
      </c>
      <c r="K11" s="8">
        <f t="shared" si="15"/>
        <v>2296</v>
      </c>
      <c r="L11" s="8">
        <f t="shared" si="15"/>
        <v>2535</v>
      </c>
      <c r="M11" s="8">
        <f t="shared" si="15"/>
        <v>2379</v>
      </c>
      <c r="N11" s="8">
        <f t="shared" si="15"/>
        <v>1518</v>
      </c>
      <c r="O11" s="8">
        <f t="shared" si="15"/>
        <v>2141</v>
      </c>
      <c r="P11" s="8">
        <f t="shared" si="15"/>
        <v>2859</v>
      </c>
      <c r="Q11" s="8">
        <f t="shared" si="15"/>
        <v>2379</v>
      </c>
      <c r="R11" s="8">
        <f t="shared" ref="R11:V11" si="16">R7-R10</f>
        <v>1518</v>
      </c>
      <c r="S11" s="8">
        <f t="shared" si="16"/>
        <v>2181.6900000000005</v>
      </c>
      <c r="T11" s="8">
        <f t="shared" si="16"/>
        <v>2903.71</v>
      </c>
      <c r="U11" s="8">
        <f t="shared" si="16"/>
        <v>2424.7700000000004</v>
      </c>
      <c r="V11" s="8">
        <f t="shared" si="16"/>
        <v>1558.54</v>
      </c>
      <c r="Y11" s="8">
        <f t="shared" ref="Y11:AF11" si="17">Y7-Y10</f>
        <v>10173</v>
      </c>
      <c r="Z11" s="8">
        <f t="shared" si="17"/>
        <v>10779</v>
      </c>
      <c r="AA11" s="8">
        <f t="shared" si="17"/>
        <v>10228</v>
      </c>
      <c r="AB11" s="8">
        <f t="shared" si="17"/>
        <v>9708</v>
      </c>
      <c r="AC11" s="8">
        <f t="shared" si="17"/>
        <v>8728</v>
      </c>
      <c r="AD11" s="8">
        <f t="shared" si="17"/>
        <v>8897</v>
      </c>
      <c r="AE11" s="8">
        <f t="shared" si="17"/>
        <v>9068.7099999999991</v>
      </c>
      <c r="AF11" s="8">
        <f t="shared" si="17"/>
        <v>9068.7099999999991</v>
      </c>
      <c r="AG11" s="8">
        <f t="shared" ref="AG11:AR11" si="18">AG7-AG10</f>
        <v>9068.7099999999991</v>
      </c>
      <c r="AH11" s="8">
        <f t="shared" si="18"/>
        <v>9068.7099999999991</v>
      </c>
      <c r="AI11" s="8">
        <f t="shared" si="18"/>
        <v>9068.7099999999991</v>
      </c>
      <c r="AJ11" s="8">
        <f t="shared" si="18"/>
        <v>9068.7099999999991</v>
      </c>
      <c r="AK11" s="8">
        <f t="shared" si="18"/>
        <v>9068.7099999999991</v>
      </c>
      <c r="AL11" s="8">
        <f t="shared" si="18"/>
        <v>9068.7099999999991</v>
      </c>
      <c r="AM11" s="8">
        <f t="shared" si="18"/>
        <v>9068.7099999999991</v>
      </c>
      <c r="AN11" s="8">
        <f t="shared" si="18"/>
        <v>9068.7099999999991</v>
      </c>
      <c r="AO11" s="8">
        <f t="shared" si="18"/>
        <v>9068.7099999999991</v>
      </c>
      <c r="AP11" s="8">
        <f t="shared" si="18"/>
        <v>9068.7099999999991</v>
      </c>
      <c r="AQ11" s="8">
        <f t="shared" si="18"/>
        <v>9068.7099999999991</v>
      </c>
      <c r="AR11" s="8">
        <f t="shared" si="18"/>
        <v>9068.7099999999991</v>
      </c>
    </row>
    <row r="12" spans="2:44" x14ac:dyDescent="0.2">
      <c r="B12" s="1" t="s">
        <v>47</v>
      </c>
      <c r="C12" s="2">
        <f>116-102</f>
        <v>14</v>
      </c>
      <c r="D12" s="2">
        <f>129-122</f>
        <v>7</v>
      </c>
      <c r="E12" s="2">
        <f>136-90</f>
        <v>46</v>
      </c>
      <c r="F12" s="2">
        <f>534-463-C12-D12-E12</f>
        <v>4</v>
      </c>
      <c r="G12" s="2">
        <f>155-447</f>
        <v>-292</v>
      </c>
      <c r="H12" s="2">
        <f>144-107</f>
        <v>37</v>
      </c>
      <c r="I12" s="2">
        <f>169-113</f>
        <v>56</v>
      </c>
      <c r="J12" s="2">
        <f>594-483-G12-H12-I12</f>
        <v>310</v>
      </c>
      <c r="K12" s="2">
        <f>155-447</f>
        <v>-292</v>
      </c>
      <c r="L12" s="2">
        <f>149-128</f>
        <v>21</v>
      </c>
      <c r="M12" s="2">
        <f>155-138</f>
        <v>17</v>
      </c>
      <c r="N12" s="2">
        <f>613-856-K12-L12-M12</f>
        <v>11</v>
      </c>
      <c r="O12" s="2">
        <f>144-141</f>
        <v>3</v>
      </c>
      <c r="P12" s="2">
        <f>164-162</f>
        <v>2</v>
      </c>
      <c r="Q12" s="2">
        <f t="shared" ref="Q12:V12" si="19">M12</f>
        <v>17</v>
      </c>
      <c r="R12" s="2">
        <f t="shared" si="19"/>
        <v>11</v>
      </c>
      <c r="S12" s="2">
        <f t="shared" si="19"/>
        <v>3</v>
      </c>
      <c r="T12" s="2">
        <f t="shared" si="19"/>
        <v>2</v>
      </c>
      <c r="U12" s="2">
        <f t="shared" si="19"/>
        <v>17</v>
      </c>
      <c r="V12" s="2">
        <f t="shared" si="19"/>
        <v>11</v>
      </c>
      <c r="Y12" s="2">
        <f>483-417</f>
        <v>66</v>
      </c>
      <c r="Z12" s="2">
        <f>471-397</f>
        <v>74</v>
      </c>
      <c r="AA12" s="2">
        <f>534-463</f>
        <v>71</v>
      </c>
      <c r="AB12" s="2">
        <f>SUM(G12:J12)</f>
        <v>111</v>
      </c>
      <c r="AC12" s="2">
        <f>SUM(K12:N12)</f>
        <v>-243</v>
      </c>
      <c r="AD12" s="2">
        <f>SUM(O12:R12)</f>
        <v>33</v>
      </c>
      <c r="AE12" s="2">
        <f>SUM(S12:V12)</f>
        <v>33</v>
      </c>
      <c r="AF12" s="2">
        <f>AE29*$AV$21</f>
        <v>0</v>
      </c>
      <c r="AG12" s="2">
        <f t="shared" ref="AG12:AR12" si="20">AF29*$AV$21</f>
        <v>0</v>
      </c>
      <c r="AH12" s="2">
        <f t="shared" si="20"/>
        <v>0</v>
      </c>
      <c r="AI12" s="2">
        <f t="shared" si="20"/>
        <v>0</v>
      </c>
      <c r="AJ12" s="2">
        <f t="shared" si="20"/>
        <v>0</v>
      </c>
      <c r="AK12" s="2">
        <f t="shared" si="20"/>
        <v>0</v>
      </c>
      <c r="AL12" s="2">
        <f t="shared" si="20"/>
        <v>0</v>
      </c>
      <c r="AM12" s="2">
        <f t="shared" si="20"/>
        <v>0</v>
      </c>
      <c r="AN12" s="2">
        <f t="shared" si="20"/>
        <v>0</v>
      </c>
      <c r="AO12" s="2">
        <f t="shared" si="20"/>
        <v>0</v>
      </c>
      <c r="AP12" s="2">
        <f t="shared" si="20"/>
        <v>0</v>
      </c>
      <c r="AQ12" s="2">
        <f t="shared" si="20"/>
        <v>0</v>
      </c>
      <c r="AR12" s="2">
        <f t="shared" si="20"/>
        <v>0</v>
      </c>
    </row>
    <row r="13" spans="2:44" x14ac:dyDescent="0.2">
      <c r="B13" s="1" t="s">
        <v>48</v>
      </c>
      <c r="C13" s="2">
        <v>87</v>
      </c>
      <c r="D13" s="2">
        <v>246</v>
      </c>
      <c r="E13" s="2">
        <v>204</v>
      </c>
      <c r="F13" s="2">
        <f>602-C13-D13-E13</f>
        <v>65</v>
      </c>
      <c r="G13" s="2">
        <v>2</v>
      </c>
      <c r="H13" s="2">
        <v>254</v>
      </c>
      <c r="I13" s="2">
        <v>205</v>
      </c>
      <c r="J13" s="2">
        <f>769-G13-H13-I13</f>
        <v>308</v>
      </c>
      <c r="K13" s="2">
        <v>2</v>
      </c>
      <c r="L13" s="2">
        <v>200</v>
      </c>
      <c r="M13" s="2">
        <v>200</v>
      </c>
      <c r="N13" s="2">
        <f>489-K13-L13-M13</f>
        <v>87</v>
      </c>
      <c r="O13" s="2">
        <v>92</v>
      </c>
      <c r="P13" s="2">
        <v>305</v>
      </c>
      <c r="Q13" s="2">
        <f>M13+50</f>
        <v>250</v>
      </c>
      <c r="R13" s="2">
        <f>N13+10</f>
        <v>97</v>
      </c>
      <c r="S13" s="2">
        <f>O13+10</f>
        <v>102</v>
      </c>
      <c r="T13" s="2">
        <f>P13+10</f>
        <v>315</v>
      </c>
      <c r="U13" s="2">
        <f>Q13+10</f>
        <v>260</v>
      </c>
      <c r="V13" s="2">
        <f>R13+10</f>
        <v>107</v>
      </c>
      <c r="Y13" s="2">
        <v>690</v>
      </c>
      <c r="Z13" s="2">
        <v>819</v>
      </c>
      <c r="AA13" s="2">
        <v>602</v>
      </c>
      <c r="AB13" s="2">
        <f>SUM(G13:J13)</f>
        <v>769</v>
      </c>
      <c r="AC13" s="2">
        <f>SUM(K13:N13)</f>
        <v>489</v>
      </c>
      <c r="AD13" s="2">
        <f>SUM(O13:R13)</f>
        <v>744</v>
      </c>
      <c r="AE13" s="2">
        <f>SUM(S13:V13)</f>
        <v>784</v>
      </c>
      <c r="AF13" s="2">
        <f>AE13</f>
        <v>784</v>
      </c>
      <c r="AG13" s="2">
        <f t="shared" ref="AG13:AR13" si="21">AF13</f>
        <v>784</v>
      </c>
      <c r="AH13" s="2">
        <f t="shared" si="21"/>
        <v>784</v>
      </c>
      <c r="AI13" s="2">
        <f t="shared" si="21"/>
        <v>784</v>
      </c>
      <c r="AJ13" s="2">
        <f t="shared" si="21"/>
        <v>784</v>
      </c>
      <c r="AK13" s="2">
        <f t="shared" si="21"/>
        <v>784</v>
      </c>
      <c r="AL13" s="2">
        <f t="shared" si="21"/>
        <v>784</v>
      </c>
      <c r="AM13" s="2">
        <f t="shared" si="21"/>
        <v>784</v>
      </c>
      <c r="AN13" s="2">
        <f t="shared" si="21"/>
        <v>784</v>
      </c>
      <c r="AO13" s="2">
        <f t="shared" si="21"/>
        <v>784</v>
      </c>
      <c r="AP13" s="2">
        <f t="shared" si="21"/>
        <v>784</v>
      </c>
      <c r="AQ13" s="2">
        <f t="shared" si="21"/>
        <v>784</v>
      </c>
      <c r="AR13" s="2">
        <f t="shared" si="21"/>
        <v>784</v>
      </c>
    </row>
    <row r="14" spans="2:44" x14ac:dyDescent="0.2">
      <c r="B14" s="1" t="s">
        <v>49</v>
      </c>
      <c r="C14" s="2">
        <v>-165</v>
      </c>
      <c r="D14" s="2">
        <v>29</v>
      </c>
      <c r="E14" s="2">
        <v>658</v>
      </c>
      <c r="F14" s="2">
        <f>576-C14-D14-E14</f>
        <v>54</v>
      </c>
      <c r="G14" s="2">
        <v>-25</v>
      </c>
      <c r="H14" s="2">
        <v>-77</v>
      </c>
      <c r="I14" s="2">
        <v>-312</v>
      </c>
      <c r="J14" s="2">
        <f>-1263-G14-H14-I14</f>
        <v>-849</v>
      </c>
      <c r="K14" s="2">
        <v>-25</v>
      </c>
      <c r="L14" s="2">
        <v>1605</v>
      </c>
      <c r="M14" s="2">
        <v>-871</v>
      </c>
      <c r="N14" s="2">
        <f>631-K14-L14-M14</f>
        <v>-78</v>
      </c>
      <c r="O14" s="2">
        <v>-342</v>
      </c>
      <c r="P14" s="2">
        <v>1133</v>
      </c>
      <c r="Q14" s="2">
        <f t="shared" ref="Q14:V14" si="22">M14</f>
        <v>-871</v>
      </c>
      <c r="R14" s="2">
        <f t="shared" si="22"/>
        <v>-78</v>
      </c>
      <c r="S14" s="2">
        <f t="shared" si="22"/>
        <v>-342</v>
      </c>
      <c r="T14" s="2">
        <f t="shared" si="22"/>
        <v>1133</v>
      </c>
      <c r="U14" s="2">
        <f t="shared" si="22"/>
        <v>-871</v>
      </c>
      <c r="V14" s="2">
        <f t="shared" si="22"/>
        <v>-78</v>
      </c>
      <c r="Y14" s="2">
        <v>529</v>
      </c>
      <c r="Z14" s="2">
        <v>137</v>
      </c>
      <c r="AA14" s="2">
        <v>576</v>
      </c>
      <c r="AB14" s="2">
        <f>SUM(G14:J14)</f>
        <v>-1263</v>
      </c>
      <c r="AC14" s="2">
        <f>SUM(K14:N14)</f>
        <v>631</v>
      </c>
      <c r="AD14" s="2">
        <f>SUM(O14:R14)</f>
        <v>-158</v>
      </c>
      <c r="AE14" s="2">
        <f>SUM(S14:V14)</f>
        <v>-158</v>
      </c>
      <c r="AF14" s="2">
        <f>AE14</f>
        <v>-158</v>
      </c>
      <c r="AG14" s="2">
        <f t="shared" ref="AG14:AR14" si="23">AF14</f>
        <v>-158</v>
      </c>
      <c r="AH14" s="2">
        <f t="shared" si="23"/>
        <v>-158</v>
      </c>
      <c r="AI14" s="2">
        <f t="shared" si="23"/>
        <v>-158</v>
      </c>
      <c r="AJ14" s="2">
        <f t="shared" si="23"/>
        <v>-158</v>
      </c>
      <c r="AK14" s="2">
        <f t="shared" si="23"/>
        <v>-158</v>
      </c>
      <c r="AL14" s="2">
        <f t="shared" si="23"/>
        <v>-158</v>
      </c>
      <c r="AM14" s="2">
        <f t="shared" si="23"/>
        <v>-158</v>
      </c>
      <c r="AN14" s="2">
        <f t="shared" si="23"/>
        <v>-158</v>
      </c>
      <c r="AO14" s="2">
        <f t="shared" si="23"/>
        <v>-158</v>
      </c>
      <c r="AP14" s="2">
        <f t="shared" si="23"/>
        <v>-158</v>
      </c>
      <c r="AQ14" s="2">
        <f t="shared" si="23"/>
        <v>-158</v>
      </c>
      <c r="AR14" s="2">
        <f t="shared" si="23"/>
        <v>-158</v>
      </c>
    </row>
    <row r="15" spans="2:44" x14ac:dyDescent="0.2">
      <c r="B15" s="1" t="s">
        <v>50</v>
      </c>
      <c r="C15" s="2">
        <f t="shared" ref="C15:Q15" si="24">SUM(C11:C14)</f>
        <v>2344</v>
      </c>
      <c r="D15" s="2">
        <f t="shared" si="24"/>
        <v>3525</v>
      </c>
      <c r="E15" s="2">
        <f t="shared" si="24"/>
        <v>3380</v>
      </c>
      <c r="F15" s="2">
        <f t="shared" si="24"/>
        <v>2228</v>
      </c>
      <c r="G15" s="2">
        <f t="shared" si="24"/>
        <v>1981</v>
      </c>
      <c r="H15" s="2">
        <f t="shared" si="24"/>
        <v>3384</v>
      </c>
      <c r="I15" s="2">
        <f t="shared" si="24"/>
        <v>2660</v>
      </c>
      <c r="J15" s="2">
        <f t="shared" si="24"/>
        <v>1300</v>
      </c>
      <c r="K15" s="2">
        <f t="shared" si="24"/>
        <v>1981</v>
      </c>
      <c r="L15" s="2">
        <f t="shared" si="24"/>
        <v>4361</v>
      </c>
      <c r="M15" s="2">
        <f t="shared" si="24"/>
        <v>1725</v>
      </c>
      <c r="N15" s="2">
        <f t="shared" si="24"/>
        <v>1538</v>
      </c>
      <c r="O15" s="2">
        <f t="shared" si="24"/>
        <v>1894</v>
      </c>
      <c r="P15" s="2">
        <f t="shared" si="24"/>
        <v>4299</v>
      </c>
      <c r="Q15" s="2">
        <f t="shared" si="24"/>
        <v>1775</v>
      </c>
      <c r="R15" s="2">
        <f t="shared" ref="R15:V15" si="25">SUM(R11:R14)</f>
        <v>1548</v>
      </c>
      <c r="S15" s="2">
        <f t="shared" si="25"/>
        <v>1944.6900000000005</v>
      </c>
      <c r="T15" s="2">
        <f t="shared" si="25"/>
        <v>4353.71</v>
      </c>
      <c r="U15" s="2">
        <f t="shared" si="25"/>
        <v>1830.7700000000004</v>
      </c>
      <c r="V15" s="2">
        <f t="shared" si="25"/>
        <v>1598.54</v>
      </c>
      <c r="Y15" s="2">
        <f t="shared" ref="Y15:AF15" si="26">SUM(Y11:Y14)</f>
        <v>11458</v>
      </c>
      <c r="Z15" s="2">
        <f t="shared" si="26"/>
        <v>11809</v>
      </c>
      <c r="AA15" s="2">
        <f t="shared" si="26"/>
        <v>11477</v>
      </c>
      <c r="AB15" s="2">
        <f t="shared" si="26"/>
        <v>9325</v>
      </c>
      <c r="AC15" s="2">
        <f t="shared" si="26"/>
        <v>9605</v>
      </c>
      <c r="AD15" s="2">
        <f t="shared" si="26"/>
        <v>9516</v>
      </c>
      <c r="AE15" s="2">
        <f t="shared" si="26"/>
        <v>9727.7099999999991</v>
      </c>
      <c r="AF15" s="2">
        <f t="shared" si="26"/>
        <v>9694.7099999999991</v>
      </c>
      <c r="AG15" s="2">
        <f t="shared" ref="AG15:AR15" si="27">SUM(AG11:AG14)</f>
        <v>9694.7099999999991</v>
      </c>
      <c r="AH15" s="2">
        <f t="shared" si="27"/>
        <v>9694.7099999999991</v>
      </c>
      <c r="AI15" s="2">
        <f t="shared" si="27"/>
        <v>9694.7099999999991</v>
      </c>
      <c r="AJ15" s="2">
        <f t="shared" si="27"/>
        <v>9694.7099999999991</v>
      </c>
      <c r="AK15" s="2">
        <f t="shared" si="27"/>
        <v>9694.7099999999991</v>
      </c>
      <c r="AL15" s="2">
        <f t="shared" si="27"/>
        <v>9694.7099999999991</v>
      </c>
      <c r="AM15" s="2">
        <f t="shared" si="27"/>
        <v>9694.7099999999991</v>
      </c>
      <c r="AN15" s="2">
        <f t="shared" si="27"/>
        <v>9694.7099999999991</v>
      </c>
      <c r="AO15" s="2">
        <f t="shared" si="27"/>
        <v>9694.7099999999991</v>
      </c>
      <c r="AP15" s="2">
        <f t="shared" si="27"/>
        <v>9694.7099999999991</v>
      </c>
      <c r="AQ15" s="2">
        <f t="shared" si="27"/>
        <v>9694.7099999999991</v>
      </c>
      <c r="AR15" s="2">
        <f t="shared" si="27"/>
        <v>9694.7099999999991</v>
      </c>
    </row>
    <row r="16" spans="2:44" x14ac:dyDescent="0.2">
      <c r="B16" s="1" t="s">
        <v>34</v>
      </c>
      <c r="C16" s="2">
        <v>575</v>
      </c>
      <c r="D16" s="2">
        <v>831</v>
      </c>
      <c r="E16" s="2">
        <v>925</v>
      </c>
      <c r="F16" s="2">
        <f>2851-C16-D16-E16</f>
        <v>520</v>
      </c>
      <c r="G16" s="2">
        <v>415</v>
      </c>
      <c r="H16" s="2">
        <v>779</v>
      </c>
      <c r="I16" s="2">
        <v>538</v>
      </c>
      <c r="J16" s="2">
        <f>2201-G16-H16-I16</f>
        <v>469</v>
      </c>
      <c r="K16" s="2">
        <v>415</v>
      </c>
      <c r="L16" s="2">
        <v>1250</v>
      </c>
      <c r="M16" s="2">
        <v>272</v>
      </c>
      <c r="N16" s="2">
        <f>2239-K16-L16-M16</f>
        <v>302</v>
      </c>
      <c r="O16" s="2">
        <v>401</v>
      </c>
      <c r="P16" s="2">
        <v>839</v>
      </c>
      <c r="Q16" s="2">
        <f t="shared" ref="Q16:V16" si="28">M16</f>
        <v>272</v>
      </c>
      <c r="R16" s="2">
        <f t="shared" si="28"/>
        <v>302</v>
      </c>
      <c r="S16" s="2">
        <f t="shared" si="28"/>
        <v>401</v>
      </c>
      <c r="T16" s="2">
        <f t="shared" si="28"/>
        <v>839</v>
      </c>
      <c r="U16" s="2">
        <f t="shared" si="28"/>
        <v>272</v>
      </c>
      <c r="V16" s="2">
        <f t="shared" si="28"/>
        <v>302</v>
      </c>
      <c r="Y16" s="2">
        <v>2812</v>
      </c>
      <c r="Z16" s="2">
        <v>2723</v>
      </c>
      <c r="AA16" s="2">
        <v>2851</v>
      </c>
      <c r="AB16" s="2">
        <f>SUM(G16:J16)</f>
        <v>2201</v>
      </c>
      <c r="AC16" s="2">
        <f>SUM(K16:N16)</f>
        <v>2239</v>
      </c>
      <c r="AD16" s="2">
        <f>SUM(O16:R16)</f>
        <v>1814</v>
      </c>
      <c r="AE16" s="2">
        <f>SUM(S16:V16)</f>
        <v>1814</v>
      </c>
      <c r="AF16" s="2">
        <f>AE16</f>
        <v>1814</v>
      </c>
      <c r="AG16" s="2">
        <f t="shared" ref="AG16:AR16" si="29">AF16</f>
        <v>1814</v>
      </c>
      <c r="AH16" s="2">
        <f t="shared" si="29"/>
        <v>1814</v>
      </c>
      <c r="AI16" s="2">
        <f t="shared" si="29"/>
        <v>1814</v>
      </c>
      <c r="AJ16" s="2">
        <f t="shared" si="29"/>
        <v>1814</v>
      </c>
      <c r="AK16" s="2">
        <f t="shared" si="29"/>
        <v>1814</v>
      </c>
      <c r="AL16" s="2">
        <f t="shared" si="29"/>
        <v>1814</v>
      </c>
      <c r="AM16" s="2">
        <f t="shared" si="29"/>
        <v>1814</v>
      </c>
      <c r="AN16" s="2">
        <f t="shared" si="29"/>
        <v>1814</v>
      </c>
      <c r="AO16" s="2">
        <f t="shared" si="29"/>
        <v>1814</v>
      </c>
      <c r="AP16" s="2">
        <f t="shared" si="29"/>
        <v>1814</v>
      </c>
      <c r="AQ16" s="2">
        <f t="shared" si="29"/>
        <v>1814</v>
      </c>
      <c r="AR16" s="2">
        <f t="shared" si="29"/>
        <v>1814</v>
      </c>
    </row>
    <row r="17" spans="2:764" s="7" customFormat="1" x14ac:dyDescent="0.2">
      <c r="B17" s="7" t="s">
        <v>40</v>
      </c>
      <c r="C17" s="8">
        <f t="shared" ref="C17:Q17" si="30">C15-C16</f>
        <v>1769</v>
      </c>
      <c r="D17" s="8">
        <f t="shared" si="30"/>
        <v>2694</v>
      </c>
      <c r="E17" s="8">
        <f t="shared" si="30"/>
        <v>2455</v>
      </c>
      <c r="F17" s="8">
        <f t="shared" si="30"/>
        <v>1708</v>
      </c>
      <c r="G17" s="8">
        <f t="shared" si="30"/>
        <v>1566</v>
      </c>
      <c r="H17" s="8">
        <f t="shared" si="30"/>
        <v>2605</v>
      </c>
      <c r="I17" s="8">
        <f t="shared" si="30"/>
        <v>2122</v>
      </c>
      <c r="J17" s="8">
        <f t="shared" si="30"/>
        <v>831</v>
      </c>
      <c r="K17" s="8">
        <f t="shared" si="30"/>
        <v>1566</v>
      </c>
      <c r="L17" s="8">
        <f t="shared" si="30"/>
        <v>3111</v>
      </c>
      <c r="M17" s="8">
        <f t="shared" si="30"/>
        <v>1453</v>
      </c>
      <c r="N17" s="8">
        <f t="shared" si="30"/>
        <v>1236</v>
      </c>
      <c r="O17" s="8">
        <f t="shared" si="30"/>
        <v>1493</v>
      </c>
      <c r="P17" s="8">
        <f t="shared" si="30"/>
        <v>3460</v>
      </c>
      <c r="Q17" s="8">
        <f t="shared" si="30"/>
        <v>1503</v>
      </c>
      <c r="R17" s="8">
        <f t="shared" ref="R17:V17" si="31">R15-R16</f>
        <v>1246</v>
      </c>
      <c r="S17" s="8">
        <f t="shared" si="31"/>
        <v>1543.6900000000005</v>
      </c>
      <c r="T17" s="8">
        <f t="shared" si="31"/>
        <v>3514.71</v>
      </c>
      <c r="U17" s="8">
        <f t="shared" si="31"/>
        <v>1558.7700000000004</v>
      </c>
      <c r="V17" s="8">
        <f t="shared" si="31"/>
        <v>1296.54</v>
      </c>
      <c r="Y17" s="8">
        <f t="shared" ref="Y17:AF17" si="32">Y15-Y16</f>
        <v>8646</v>
      </c>
      <c r="Z17" s="8">
        <f t="shared" si="32"/>
        <v>9086</v>
      </c>
      <c r="AA17" s="8">
        <f t="shared" si="32"/>
        <v>8626</v>
      </c>
      <c r="AB17" s="8">
        <f t="shared" si="32"/>
        <v>7124</v>
      </c>
      <c r="AC17" s="8">
        <f t="shared" si="32"/>
        <v>7366</v>
      </c>
      <c r="AD17" s="8">
        <f t="shared" si="32"/>
        <v>7702</v>
      </c>
      <c r="AE17" s="8">
        <f t="shared" si="32"/>
        <v>7913.7099999999991</v>
      </c>
      <c r="AF17" s="8">
        <f t="shared" si="32"/>
        <v>7880.7099999999991</v>
      </c>
      <c r="AG17" s="8">
        <f t="shared" ref="AG17:AR17" si="33">AG15-AG16</f>
        <v>7880.7099999999991</v>
      </c>
      <c r="AH17" s="8">
        <f t="shared" si="33"/>
        <v>7880.7099999999991</v>
      </c>
      <c r="AI17" s="8">
        <f t="shared" si="33"/>
        <v>7880.7099999999991</v>
      </c>
      <c r="AJ17" s="8">
        <f t="shared" si="33"/>
        <v>7880.7099999999991</v>
      </c>
      <c r="AK17" s="8">
        <f t="shared" si="33"/>
        <v>7880.7099999999991</v>
      </c>
      <c r="AL17" s="8">
        <f t="shared" si="33"/>
        <v>7880.7099999999991</v>
      </c>
      <c r="AM17" s="8">
        <f t="shared" si="33"/>
        <v>7880.7099999999991</v>
      </c>
      <c r="AN17" s="8">
        <f t="shared" si="33"/>
        <v>7880.7099999999991</v>
      </c>
      <c r="AO17" s="8">
        <f t="shared" si="33"/>
        <v>7880.7099999999991</v>
      </c>
      <c r="AP17" s="8">
        <f t="shared" si="33"/>
        <v>7880.7099999999991</v>
      </c>
      <c r="AQ17" s="8">
        <f t="shared" si="33"/>
        <v>7880.7099999999991</v>
      </c>
      <c r="AR17" s="8">
        <f t="shared" si="33"/>
        <v>7880.7099999999991</v>
      </c>
      <c r="AS17" s="8">
        <f>AR17*(1+$AV$22)</f>
        <v>7723.0957999999991</v>
      </c>
      <c r="AT17" s="8">
        <f t="shared" ref="AT17:DE17" si="34">AS17*(1+$AV$22)</f>
        <v>7568.6338839999989</v>
      </c>
      <c r="AU17" s="8">
        <f t="shared" si="34"/>
        <v>7417.2612063199986</v>
      </c>
      <c r="AV17" s="8">
        <f t="shared" si="34"/>
        <v>7268.9159821935982</v>
      </c>
      <c r="AW17" s="8">
        <f t="shared" si="34"/>
        <v>7123.5376625497265</v>
      </c>
      <c r="AX17" s="8">
        <f t="shared" si="34"/>
        <v>6981.0669092987318</v>
      </c>
      <c r="AY17" s="8">
        <f t="shared" si="34"/>
        <v>6841.4455711127575</v>
      </c>
      <c r="AZ17" s="8">
        <f t="shared" si="34"/>
        <v>6704.6166596905023</v>
      </c>
      <c r="BA17" s="8">
        <f t="shared" si="34"/>
        <v>6570.5243264966921</v>
      </c>
      <c r="BB17" s="8">
        <f t="shared" si="34"/>
        <v>6439.113839966758</v>
      </c>
      <c r="BC17" s="8">
        <f t="shared" si="34"/>
        <v>6310.3315631674222</v>
      </c>
      <c r="BD17" s="8">
        <f t="shared" si="34"/>
        <v>6184.1249319040735</v>
      </c>
      <c r="BE17" s="8">
        <f t="shared" si="34"/>
        <v>6060.4424332659919</v>
      </c>
      <c r="BF17" s="8">
        <f t="shared" si="34"/>
        <v>5939.2335846006717</v>
      </c>
      <c r="BG17" s="8">
        <f t="shared" si="34"/>
        <v>5820.4489129086578</v>
      </c>
      <c r="BH17" s="8">
        <f t="shared" si="34"/>
        <v>5704.0399346504846</v>
      </c>
      <c r="BI17" s="8">
        <f t="shared" si="34"/>
        <v>5589.9591359574752</v>
      </c>
      <c r="BJ17" s="8">
        <f t="shared" si="34"/>
        <v>5478.1599532383252</v>
      </c>
      <c r="BK17" s="8">
        <f t="shared" si="34"/>
        <v>5368.596754173559</v>
      </c>
      <c r="BL17" s="8">
        <f t="shared" si="34"/>
        <v>5261.2248190900873</v>
      </c>
      <c r="BM17" s="8">
        <f t="shared" si="34"/>
        <v>5156.0003227082852</v>
      </c>
      <c r="BN17" s="8">
        <f t="shared" si="34"/>
        <v>5052.8803162541199</v>
      </c>
      <c r="BO17" s="8">
        <f t="shared" si="34"/>
        <v>4951.822709929037</v>
      </c>
      <c r="BP17" s="8">
        <f t="shared" si="34"/>
        <v>4852.7862557304561</v>
      </c>
      <c r="BQ17" s="8">
        <f t="shared" si="34"/>
        <v>4755.7305306158469</v>
      </c>
      <c r="BR17" s="8">
        <f t="shared" si="34"/>
        <v>4660.6159200035299</v>
      </c>
      <c r="BS17" s="8">
        <f t="shared" si="34"/>
        <v>4567.4036016034588</v>
      </c>
      <c r="BT17" s="8">
        <f t="shared" si="34"/>
        <v>4476.0555295713893</v>
      </c>
      <c r="BU17" s="8">
        <f t="shared" si="34"/>
        <v>4386.5344189799616</v>
      </c>
      <c r="BV17" s="8">
        <f t="shared" si="34"/>
        <v>4298.8037306003625</v>
      </c>
      <c r="BW17" s="8">
        <f t="shared" si="34"/>
        <v>4212.8276559883552</v>
      </c>
      <c r="BX17" s="8">
        <f t="shared" si="34"/>
        <v>4128.5711028685882</v>
      </c>
      <c r="BY17" s="8">
        <f t="shared" si="34"/>
        <v>4045.9996808112164</v>
      </c>
      <c r="BZ17" s="8">
        <f t="shared" si="34"/>
        <v>3965.0796871949919</v>
      </c>
      <c r="CA17" s="8">
        <f t="shared" si="34"/>
        <v>3885.778093451092</v>
      </c>
      <c r="CB17" s="8">
        <f t="shared" si="34"/>
        <v>3808.0625315820703</v>
      </c>
      <c r="CC17" s="8">
        <f t="shared" si="34"/>
        <v>3731.9012809504288</v>
      </c>
      <c r="CD17" s="8">
        <f t="shared" si="34"/>
        <v>3657.2632553314202</v>
      </c>
      <c r="CE17" s="8">
        <f t="shared" si="34"/>
        <v>3584.1179902247918</v>
      </c>
      <c r="CF17" s="8">
        <f t="shared" si="34"/>
        <v>3512.4356304202961</v>
      </c>
      <c r="CG17" s="8">
        <f t="shared" si="34"/>
        <v>3442.18691781189</v>
      </c>
      <c r="CH17" s="8">
        <f t="shared" si="34"/>
        <v>3373.3431794556523</v>
      </c>
      <c r="CI17" s="8">
        <f t="shared" si="34"/>
        <v>3305.8763158665392</v>
      </c>
      <c r="CJ17" s="8">
        <f t="shared" si="34"/>
        <v>3239.7587895492084</v>
      </c>
      <c r="CK17" s="8">
        <f t="shared" si="34"/>
        <v>3174.9636137582243</v>
      </c>
      <c r="CL17" s="8">
        <f t="shared" si="34"/>
        <v>3111.4643414830598</v>
      </c>
      <c r="CM17" s="8">
        <f t="shared" si="34"/>
        <v>3049.2350546533985</v>
      </c>
      <c r="CN17" s="8">
        <f t="shared" si="34"/>
        <v>2988.2503535603305</v>
      </c>
      <c r="CO17" s="8">
        <f t="shared" si="34"/>
        <v>2928.4853464891239</v>
      </c>
      <c r="CP17" s="8">
        <f t="shared" si="34"/>
        <v>2869.9156395593413</v>
      </c>
      <c r="CQ17" s="8">
        <f t="shared" si="34"/>
        <v>2812.5173267681544</v>
      </c>
      <c r="CR17" s="8">
        <f t="shared" si="34"/>
        <v>2756.2669802327914</v>
      </c>
      <c r="CS17" s="8">
        <f t="shared" si="34"/>
        <v>2701.1416406281355</v>
      </c>
      <c r="CT17" s="8">
        <f t="shared" si="34"/>
        <v>2647.1188078155728</v>
      </c>
      <c r="CU17" s="8">
        <f t="shared" si="34"/>
        <v>2594.1764316592612</v>
      </c>
      <c r="CV17" s="8">
        <f t="shared" si="34"/>
        <v>2542.2929030260761</v>
      </c>
      <c r="CW17" s="8">
        <f t="shared" si="34"/>
        <v>2491.4470449655546</v>
      </c>
      <c r="CX17" s="8">
        <f t="shared" si="34"/>
        <v>2441.6181040662436</v>
      </c>
      <c r="CY17" s="8">
        <f t="shared" si="34"/>
        <v>2392.7857419849188</v>
      </c>
      <c r="CZ17" s="8">
        <f t="shared" si="34"/>
        <v>2344.9300271452203</v>
      </c>
      <c r="DA17" s="8">
        <f t="shared" si="34"/>
        <v>2298.0314266023156</v>
      </c>
      <c r="DB17" s="8">
        <f t="shared" si="34"/>
        <v>2252.0707980702691</v>
      </c>
      <c r="DC17" s="8">
        <f t="shared" si="34"/>
        <v>2207.0293821088635</v>
      </c>
      <c r="DD17" s="8">
        <f t="shared" si="34"/>
        <v>2162.8887944666862</v>
      </c>
      <c r="DE17" s="8">
        <f t="shared" si="34"/>
        <v>2119.6310185773523</v>
      </c>
      <c r="DF17" s="8">
        <f t="shared" ref="DF17:FQ17" si="35">DE17*(1+$AV$22)</f>
        <v>2077.238398205805</v>
      </c>
      <c r="DG17" s="8">
        <f t="shared" si="35"/>
        <v>2035.6936302416889</v>
      </c>
      <c r="DH17" s="8">
        <f t="shared" si="35"/>
        <v>1994.9797576368551</v>
      </c>
      <c r="DI17" s="8">
        <f t="shared" si="35"/>
        <v>1955.0801624841179</v>
      </c>
      <c r="DJ17" s="8">
        <f t="shared" si="35"/>
        <v>1915.9785592344356</v>
      </c>
      <c r="DK17" s="8">
        <f t="shared" si="35"/>
        <v>1877.6589880497468</v>
      </c>
      <c r="DL17" s="8">
        <f t="shared" si="35"/>
        <v>1840.1058082887519</v>
      </c>
      <c r="DM17" s="8">
        <f t="shared" si="35"/>
        <v>1803.3036921229768</v>
      </c>
      <c r="DN17" s="8">
        <f t="shared" si="35"/>
        <v>1767.2376182805172</v>
      </c>
      <c r="DO17" s="8">
        <f t="shared" si="35"/>
        <v>1731.8928659149067</v>
      </c>
      <c r="DP17" s="8">
        <f t="shared" si="35"/>
        <v>1697.2550085966086</v>
      </c>
      <c r="DQ17" s="8">
        <f t="shared" si="35"/>
        <v>1663.3099084246765</v>
      </c>
      <c r="DR17" s="8">
        <f t="shared" si="35"/>
        <v>1630.043710256183</v>
      </c>
      <c r="DS17" s="8">
        <f t="shared" si="35"/>
        <v>1597.4428360510592</v>
      </c>
      <c r="DT17" s="8">
        <f t="shared" si="35"/>
        <v>1565.493979330038</v>
      </c>
      <c r="DU17" s="8">
        <f t="shared" si="35"/>
        <v>1534.1840997434372</v>
      </c>
      <c r="DV17" s="8">
        <f t="shared" si="35"/>
        <v>1503.5004177485685</v>
      </c>
      <c r="DW17" s="8">
        <f t="shared" si="35"/>
        <v>1473.4304093935971</v>
      </c>
      <c r="DX17" s="8">
        <f t="shared" si="35"/>
        <v>1443.9618012057251</v>
      </c>
      <c r="DY17" s="8">
        <f t="shared" si="35"/>
        <v>1415.0825651816106</v>
      </c>
      <c r="DZ17" s="8">
        <f t="shared" si="35"/>
        <v>1386.7809138779783</v>
      </c>
      <c r="EA17" s="8">
        <f t="shared" si="35"/>
        <v>1359.0452956004187</v>
      </c>
      <c r="EB17" s="8">
        <f t="shared" si="35"/>
        <v>1331.8643896884103</v>
      </c>
      <c r="EC17" s="8">
        <f t="shared" si="35"/>
        <v>1305.2271018946419</v>
      </c>
      <c r="ED17" s="8">
        <f t="shared" si="35"/>
        <v>1279.1225598567491</v>
      </c>
      <c r="EE17" s="8">
        <f t="shared" si="35"/>
        <v>1253.5401086596141</v>
      </c>
      <c r="EF17" s="8">
        <f t="shared" si="35"/>
        <v>1228.4693064864218</v>
      </c>
      <c r="EG17" s="8">
        <f t="shared" si="35"/>
        <v>1203.8999203566934</v>
      </c>
      <c r="EH17" s="8">
        <f t="shared" si="35"/>
        <v>1179.8219219495595</v>
      </c>
      <c r="EI17" s="8">
        <f t="shared" si="35"/>
        <v>1156.2254835105682</v>
      </c>
      <c r="EJ17" s="8">
        <f t="shared" si="35"/>
        <v>1133.1009738403568</v>
      </c>
      <c r="EK17" s="8">
        <f t="shared" si="35"/>
        <v>1110.4389543635496</v>
      </c>
      <c r="EL17" s="8">
        <f t="shared" si="35"/>
        <v>1088.2301752762785</v>
      </c>
      <c r="EM17" s="8">
        <f t="shared" si="35"/>
        <v>1066.4655717707528</v>
      </c>
      <c r="EN17" s="8">
        <f t="shared" si="35"/>
        <v>1045.1362603353377</v>
      </c>
      <c r="EO17" s="8">
        <f t="shared" si="35"/>
        <v>1024.233535128631</v>
      </c>
      <c r="EP17" s="8">
        <f t="shared" si="35"/>
        <v>1003.7488644260584</v>
      </c>
      <c r="EQ17" s="8">
        <f t="shared" si="35"/>
        <v>983.67388713753724</v>
      </c>
      <c r="ER17" s="8">
        <f t="shared" si="35"/>
        <v>964.00040939478652</v>
      </c>
      <c r="ES17" s="8">
        <f t="shared" si="35"/>
        <v>944.72040120689076</v>
      </c>
      <c r="ET17" s="8">
        <f t="shared" si="35"/>
        <v>925.82599318275288</v>
      </c>
      <c r="EU17" s="8">
        <f t="shared" si="35"/>
        <v>907.30947331909783</v>
      </c>
      <c r="EV17" s="8">
        <f t="shared" si="35"/>
        <v>889.16328385271584</v>
      </c>
      <c r="EW17" s="8">
        <f t="shared" si="35"/>
        <v>871.38001817566146</v>
      </c>
      <c r="EX17" s="8">
        <f t="shared" si="35"/>
        <v>853.95241781214827</v>
      </c>
      <c r="EY17" s="8">
        <f t="shared" si="35"/>
        <v>836.87336945590528</v>
      </c>
      <c r="EZ17" s="8">
        <f t="shared" si="35"/>
        <v>820.13590206678714</v>
      </c>
      <c r="FA17" s="8">
        <f t="shared" si="35"/>
        <v>803.73318402545135</v>
      </c>
      <c r="FB17" s="8">
        <f t="shared" si="35"/>
        <v>787.6585203449423</v>
      </c>
      <c r="FC17" s="8">
        <f t="shared" si="35"/>
        <v>771.9053499380434</v>
      </c>
      <c r="FD17" s="8">
        <f t="shared" si="35"/>
        <v>756.46724293928253</v>
      </c>
      <c r="FE17" s="8">
        <f t="shared" si="35"/>
        <v>741.33789808049687</v>
      </c>
      <c r="FF17" s="8">
        <f t="shared" si="35"/>
        <v>726.51114011888694</v>
      </c>
      <c r="FG17" s="8">
        <f t="shared" si="35"/>
        <v>711.98091731650914</v>
      </c>
      <c r="FH17" s="8">
        <f t="shared" si="35"/>
        <v>697.74129897017895</v>
      </c>
      <c r="FI17" s="8">
        <f t="shared" si="35"/>
        <v>683.78647299077534</v>
      </c>
      <c r="FJ17" s="8">
        <f t="shared" si="35"/>
        <v>670.11074353095978</v>
      </c>
      <c r="FK17" s="8">
        <f t="shared" si="35"/>
        <v>656.70852866034056</v>
      </c>
      <c r="FL17" s="8">
        <f t="shared" si="35"/>
        <v>643.57435808713376</v>
      </c>
      <c r="FM17" s="8">
        <f t="shared" si="35"/>
        <v>630.70287092539104</v>
      </c>
      <c r="FN17" s="8">
        <f t="shared" si="35"/>
        <v>618.08881350688318</v>
      </c>
      <c r="FO17" s="8">
        <f t="shared" si="35"/>
        <v>605.72703723674556</v>
      </c>
      <c r="FP17" s="8">
        <f t="shared" si="35"/>
        <v>593.61249649201068</v>
      </c>
      <c r="FQ17" s="8">
        <f t="shared" si="35"/>
        <v>581.74024656217046</v>
      </c>
      <c r="FR17" s="8">
        <f t="shared" ref="FR17:IC17" si="36">FQ17*(1+$AV$22)</f>
        <v>570.10544163092709</v>
      </c>
      <c r="FS17" s="8">
        <f t="shared" si="36"/>
        <v>558.70333279830857</v>
      </c>
      <c r="FT17" s="8">
        <f t="shared" si="36"/>
        <v>547.52926614234241</v>
      </c>
      <c r="FU17" s="8">
        <f t="shared" si="36"/>
        <v>536.5786808194955</v>
      </c>
      <c r="FV17" s="8">
        <f t="shared" si="36"/>
        <v>525.84710720310557</v>
      </c>
      <c r="FW17" s="8">
        <f t="shared" si="36"/>
        <v>515.33016505904345</v>
      </c>
      <c r="FX17" s="8">
        <f t="shared" si="36"/>
        <v>505.02356175786258</v>
      </c>
      <c r="FY17" s="8">
        <f t="shared" si="36"/>
        <v>494.92309052270531</v>
      </c>
      <c r="FZ17" s="8">
        <f t="shared" si="36"/>
        <v>485.02462871225117</v>
      </c>
      <c r="GA17" s="8">
        <f t="shared" si="36"/>
        <v>475.32413613800617</v>
      </c>
      <c r="GB17" s="8">
        <f t="shared" si="36"/>
        <v>465.81765341524601</v>
      </c>
      <c r="GC17" s="8">
        <f t="shared" si="36"/>
        <v>456.50130034694109</v>
      </c>
      <c r="GD17" s="8">
        <f t="shared" si="36"/>
        <v>447.37127434000229</v>
      </c>
      <c r="GE17" s="8">
        <f t="shared" si="36"/>
        <v>438.42384885320223</v>
      </c>
      <c r="GF17" s="8">
        <f t="shared" si="36"/>
        <v>429.65537187613819</v>
      </c>
      <c r="GG17" s="8">
        <f t="shared" si="36"/>
        <v>421.06226443861544</v>
      </c>
      <c r="GH17" s="8">
        <f t="shared" si="36"/>
        <v>412.64101914984315</v>
      </c>
      <c r="GI17" s="8">
        <f t="shared" si="36"/>
        <v>404.3881987668463</v>
      </c>
      <c r="GJ17" s="8">
        <f t="shared" si="36"/>
        <v>396.30043479150936</v>
      </c>
      <c r="GK17" s="8">
        <f t="shared" si="36"/>
        <v>388.37442609567915</v>
      </c>
      <c r="GL17" s="8">
        <f t="shared" si="36"/>
        <v>380.60693757376555</v>
      </c>
      <c r="GM17" s="8">
        <f t="shared" si="36"/>
        <v>372.99479882229025</v>
      </c>
      <c r="GN17" s="8">
        <f t="shared" si="36"/>
        <v>365.53490284584444</v>
      </c>
      <c r="GO17" s="8">
        <f t="shared" si="36"/>
        <v>358.22420478892752</v>
      </c>
      <c r="GP17" s="8">
        <f t="shared" si="36"/>
        <v>351.05972069314896</v>
      </c>
      <c r="GQ17" s="8">
        <f t="shared" si="36"/>
        <v>344.03852627928597</v>
      </c>
      <c r="GR17" s="8">
        <f t="shared" si="36"/>
        <v>337.15775575370026</v>
      </c>
      <c r="GS17" s="8">
        <f t="shared" si="36"/>
        <v>330.41460063862627</v>
      </c>
      <c r="GT17" s="8">
        <f t="shared" si="36"/>
        <v>323.80630862585372</v>
      </c>
      <c r="GU17" s="8">
        <f t="shared" si="36"/>
        <v>317.33018245333665</v>
      </c>
      <c r="GV17" s="8">
        <f t="shared" si="36"/>
        <v>310.98357880426988</v>
      </c>
      <c r="GW17" s="8">
        <f t="shared" si="36"/>
        <v>304.76390722818451</v>
      </c>
      <c r="GX17" s="8">
        <f t="shared" si="36"/>
        <v>298.66862908362083</v>
      </c>
      <c r="GY17" s="8">
        <f t="shared" si="36"/>
        <v>292.69525650194839</v>
      </c>
      <c r="GZ17" s="8">
        <f t="shared" si="36"/>
        <v>286.84135137190941</v>
      </c>
      <c r="HA17" s="8">
        <f t="shared" si="36"/>
        <v>281.1045243444712</v>
      </c>
      <c r="HB17" s="8">
        <f t="shared" si="36"/>
        <v>275.48243385758178</v>
      </c>
      <c r="HC17" s="8">
        <f t="shared" si="36"/>
        <v>269.97278518043015</v>
      </c>
      <c r="HD17" s="8">
        <f t="shared" si="36"/>
        <v>264.57332947682153</v>
      </c>
      <c r="HE17" s="8">
        <f t="shared" si="36"/>
        <v>259.28186288728511</v>
      </c>
      <c r="HF17" s="8">
        <f t="shared" si="36"/>
        <v>254.09622562953942</v>
      </c>
      <c r="HG17" s="8">
        <f t="shared" si="36"/>
        <v>249.01430111694862</v>
      </c>
      <c r="HH17" s="8">
        <f t="shared" si="36"/>
        <v>244.03401509460963</v>
      </c>
      <c r="HI17" s="8">
        <f t="shared" si="36"/>
        <v>239.15333479271743</v>
      </c>
      <c r="HJ17" s="8">
        <f t="shared" si="36"/>
        <v>234.37026809686307</v>
      </c>
      <c r="HK17" s="8">
        <f t="shared" si="36"/>
        <v>229.68286273492581</v>
      </c>
      <c r="HL17" s="8">
        <f t="shared" si="36"/>
        <v>225.08920548022729</v>
      </c>
      <c r="HM17" s="8">
        <f t="shared" si="36"/>
        <v>220.58742137062274</v>
      </c>
      <c r="HN17" s="8">
        <f t="shared" si="36"/>
        <v>216.17567294321029</v>
      </c>
      <c r="HO17" s="8">
        <f t="shared" si="36"/>
        <v>211.85215948434609</v>
      </c>
      <c r="HP17" s="8">
        <f t="shared" si="36"/>
        <v>207.61511629465917</v>
      </c>
      <c r="HQ17" s="8">
        <f t="shared" si="36"/>
        <v>203.462813968766</v>
      </c>
      <c r="HR17" s="8">
        <f t="shared" si="36"/>
        <v>199.39355768939069</v>
      </c>
      <c r="HS17" s="8">
        <f t="shared" si="36"/>
        <v>195.40568653560288</v>
      </c>
      <c r="HT17" s="8">
        <f t="shared" si="36"/>
        <v>191.49757280489081</v>
      </c>
      <c r="HU17" s="8">
        <f t="shared" si="36"/>
        <v>187.66762134879298</v>
      </c>
      <c r="HV17" s="8">
        <f t="shared" si="36"/>
        <v>183.91426892181713</v>
      </c>
      <c r="HW17" s="8">
        <f t="shared" si="36"/>
        <v>180.23598354338077</v>
      </c>
      <c r="HX17" s="8">
        <f t="shared" si="36"/>
        <v>176.63126387251316</v>
      </c>
      <c r="HY17" s="8">
        <f t="shared" si="36"/>
        <v>173.09863859506288</v>
      </c>
      <c r="HZ17" s="8">
        <f t="shared" si="36"/>
        <v>169.63666582316162</v>
      </c>
      <c r="IA17" s="8">
        <f t="shared" si="36"/>
        <v>166.2439325066984</v>
      </c>
      <c r="IB17" s="8">
        <f t="shared" si="36"/>
        <v>162.91905385656443</v>
      </c>
      <c r="IC17" s="8">
        <f t="shared" si="36"/>
        <v>159.66067277943313</v>
      </c>
      <c r="ID17" s="8">
        <f t="shared" ref="ID17:KO17" si="37">IC17*(1+$AV$22)</f>
        <v>156.46745932384445</v>
      </c>
      <c r="IE17" s="8">
        <f t="shared" si="37"/>
        <v>153.33811013736755</v>
      </c>
      <c r="IF17" s="8">
        <f t="shared" si="37"/>
        <v>150.2713479346202</v>
      </c>
      <c r="IG17" s="8">
        <f t="shared" si="37"/>
        <v>147.2659209759278</v>
      </c>
      <c r="IH17" s="8">
        <f t="shared" si="37"/>
        <v>144.32060255640923</v>
      </c>
      <c r="II17" s="8">
        <f t="shared" si="37"/>
        <v>141.43419050528104</v>
      </c>
      <c r="IJ17" s="8">
        <f t="shared" si="37"/>
        <v>138.60550669517542</v>
      </c>
      <c r="IK17" s="8">
        <f t="shared" si="37"/>
        <v>135.83339656127191</v>
      </c>
      <c r="IL17" s="8">
        <f t="shared" si="37"/>
        <v>133.11672863004648</v>
      </c>
      <c r="IM17" s="8">
        <f t="shared" si="37"/>
        <v>130.45439405744554</v>
      </c>
      <c r="IN17" s="8">
        <f t="shared" si="37"/>
        <v>127.84530617629663</v>
      </c>
      <c r="IO17" s="8">
        <f t="shared" si="37"/>
        <v>125.2884000527707</v>
      </c>
      <c r="IP17" s="8">
        <f t="shared" si="37"/>
        <v>122.78263205171528</v>
      </c>
      <c r="IQ17" s="8">
        <f t="shared" si="37"/>
        <v>120.32697941068098</v>
      </c>
      <c r="IR17" s="8">
        <f t="shared" si="37"/>
        <v>117.92043982246736</v>
      </c>
      <c r="IS17" s="8">
        <f t="shared" si="37"/>
        <v>115.562031026018</v>
      </c>
      <c r="IT17" s="8">
        <f t="shared" si="37"/>
        <v>113.25079040549764</v>
      </c>
      <c r="IU17" s="8">
        <f t="shared" si="37"/>
        <v>110.98577459738769</v>
      </c>
      <c r="IV17" s="8">
        <f t="shared" si="37"/>
        <v>108.76605910543994</v>
      </c>
      <c r="IW17" s="8">
        <f t="shared" si="37"/>
        <v>106.59073792333113</v>
      </c>
      <c r="IX17" s="8">
        <f t="shared" si="37"/>
        <v>104.45892316486452</v>
      </c>
      <c r="IY17" s="8">
        <f t="shared" si="37"/>
        <v>102.36974470156723</v>
      </c>
      <c r="IZ17" s="8">
        <f t="shared" si="37"/>
        <v>100.32234980753589</v>
      </c>
      <c r="JA17" s="8">
        <f t="shared" si="37"/>
        <v>98.315902811385172</v>
      </c>
      <c r="JB17" s="8">
        <f t="shared" si="37"/>
        <v>96.349584755157466</v>
      </c>
      <c r="JC17" s="8">
        <f t="shared" si="37"/>
        <v>94.422593060054311</v>
      </c>
      <c r="JD17" s="8">
        <f t="shared" si="37"/>
        <v>92.53414119885322</v>
      </c>
      <c r="JE17" s="8">
        <f t="shared" si="37"/>
        <v>90.683458374876153</v>
      </c>
      <c r="JF17" s="8">
        <f t="shared" si="37"/>
        <v>88.869789207378631</v>
      </c>
      <c r="JG17" s="8">
        <f t="shared" si="37"/>
        <v>87.092393423231059</v>
      </c>
      <c r="JH17" s="8">
        <f t="shared" si="37"/>
        <v>85.350545554766441</v>
      </c>
      <c r="JI17" s="8">
        <f t="shared" si="37"/>
        <v>83.643534643671117</v>
      </c>
      <c r="JJ17" s="8">
        <f t="shared" si="37"/>
        <v>81.9706639507977</v>
      </c>
      <c r="JK17" s="8">
        <f t="shared" si="37"/>
        <v>80.331250671781746</v>
      </c>
      <c r="JL17" s="8">
        <f t="shared" si="37"/>
        <v>78.724625658346113</v>
      </c>
      <c r="JM17" s="8">
        <f t="shared" si="37"/>
        <v>77.150133145179183</v>
      </c>
      <c r="JN17" s="8">
        <f t="shared" si="37"/>
        <v>75.607130482275593</v>
      </c>
      <c r="JO17" s="8">
        <f t="shared" si="37"/>
        <v>74.094987872630085</v>
      </c>
      <c r="JP17" s="8">
        <f t="shared" si="37"/>
        <v>72.613088115177476</v>
      </c>
      <c r="JQ17" s="8">
        <f t="shared" si="37"/>
        <v>71.160826352873926</v>
      </c>
      <c r="JR17" s="8">
        <f t="shared" si="37"/>
        <v>69.737609825816449</v>
      </c>
      <c r="JS17" s="8">
        <f t="shared" si="37"/>
        <v>68.342857629300113</v>
      </c>
      <c r="JT17" s="8">
        <f t="shared" si="37"/>
        <v>66.976000476714106</v>
      </c>
      <c r="JU17" s="8">
        <f t="shared" si="37"/>
        <v>65.636480467179823</v>
      </c>
      <c r="JV17" s="8">
        <f t="shared" si="37"/>
        <v>64.323750857836231</v>
      </c>
      <c r="JW17" s="8">
        <f t="shared" si="37"/>
        <v>63.037275840679506</v>
      </c>
      <c r="JX17" s="8">
        <f t="shared" si="37"/>
        <v>61.776530323865913</v>
      </c>
      <c r="JY17" s="8">
        <f t="shared" si="37"/>
        <v>60.540999717388594</v>
      </c>
      <c r="JZ17" s="8">
        <f t="shared" si="37"/>
        <v>59.330179723040821</v>
      </c>
      <c r="KA17" s="8">
        <f t="shared" si="37"/>
        <v>58.143576128580001</v>
      </c>
      <c r="KB17" s="8">
        <f t="shared" si="37"/>
        <v>56.980704606008402</v>
      </c>
      <c r="KC17" s="8">
        <f t="shared" si="37"/>
        <v>55.841090513888233</v>
      </c>
      <c r="KD17" s="8">
        <f t="shared" si="37"/>
        <v>54.72426870361047</v>
      </c>
      <c r="KE17" s="8">
        <f t="shared" si="37"/>
        <v>53.629783329538256</v>
      </c>
      <c r="KF17" s="8">
        <f t="shared" si="37"/>
        <v>52.557187662947491</v>
      </c>
      <c r="KG17" s="8">
        <f t="shared" si="37"/>
        <v>51.506043909688543</v>
      </c>
      <c r="KH17" s="8">
        <f t="shared" si="37"/>
        <v>50.475923031494773</v>
      </c>
      <c r="KI17" s="8">
        <f t="shared" si="37"/>
        <v>49.466404570864874</v>
      </c>
      <c r="KJ17" s="8">
        <f t="shared" si="37"/>
        <v>48.477076479447575</v>
      </c>
      <c r="KK17" s="8">
        <f t="shared" si="37"/>
        <v>47.507534949858623</v>
      </c>
      <c r="KL17" s="8">
        <f t="shared" si="37"/>
        <v>46.557384250861453</v>
      </c>
      <c r="KM17" s="8">
        <f t="shared" si="37"/>
        <v>45.626236565844223</v>
      </c>
      <c r="KN17" s="8">
        <f t="shared" si="37"/>
        <v>44.713711834527338</v>
      </c>
      <c r="KO17" s="8">
        <f t="shared" si="37"/>
        <v>43.819437597836789</v>
      </c>
      <c r="KP17" s="8">
        <f t="shared" ref="KP17:NA17" si="38">KO17*(1+$AV$22)</f>
        <v>42.94304884588005</v>
      </c>
      <c r="KQ17" s="8">
        <f t="shared" si="38"/>
        <v>42.084187868962445</v>
      </c>
      <c r="KR17" s="8">
        <f t="shared" si="38"/>
        <v>41.242504111583195</v>
      </c>
      <c r="KS17" s="8">
        <f t="shared" si="38"/>
        <v>40.417654029351532</v>
      </c>
      <c r="KT17" s="8">
        <f t="shared" si="38"/>
        <v>39.609300948764499</v>
      </c>
      <c r="KU17" s="8">
        <f t="shared" si="38"/>
        <v>38.817114929789206</v>
      </c>
      <c r="KV17" s="8">
        <f t="shared" si="38"/>
        <v>38.04077263119342</v>
      </c>
      <c r="KW17" s="8">
        <f t="shared" si="38"/>
        <v>37.279957178569553</v>
      </c>
      <c r="KX17" s="8">
        <f t="shared" si="38"/>
        <v>36.534358034998164</v>
      </c>
      <c r="KY17" s="8">
        <f t="shared" si="38"/>
        <v>35.803670874298199</v>
      </c>
      <c r="KZ17" s="8">
        <f t="shared" si="38"/>
        <v>35.087597456812233</v>
      </c>
      <c r="LA17" s="8">
        <f t="shared" si="38"/>
        <v>34.385845507675988</v>
      </c>
      <c r="LB17" s="8">
        <f t="shared" si="38"/>
        <v>33.698128597522469</v>
      </c>
      <c r="LC17" s="8">
        <f t="shared" si="38"/>
        <v>33.024166025572022</v>
      </c>
      <c r="LD17" s="8">
        <f t="shared" si="38"/>
        <v>32.363682705060583</v>
      </c>
      <c r="LE17" s="8">
        <f t="shared" si="38"/>
        <v>31.716409050959371</v>
      </c>
      <c r="LF17" s="8">
        <f t="shared" si="38"/>
        <v>31.082080869940182</v>
      </c>
      <c r="LG17" s="8">
        <f t="shared" si="38"/>
        <v>30.460439252541377</v>
      </c>
      <c r="LH17" s="8">
        <f t="shared" si="38"/>
        <v>29.851230467490549</v>
      </c>
      <c r="LI17" s="8">
        <f t="shared" si="38"/>
        <v>29.254205858140736</v>
      </c>
      <c r="LJ17" s="8">
        <f t="shared" si="38"/>
        <v>28.669121740977921</v>
      </c>
      <c r="LK17" s="8">
        <f t="shared" si="38"/>
        <v>28.095739306158361</v>
      </c>
      <c r="LL17" s="8">
        <f t="shared" si="38"/>
        <v>27.533824520035193</v>
      </c>
      <c r="LM17" s="8">
        <f t="shared" si="38"/>
        <v>26.983148029634489</v>
      </c>
      <c r="LN17" s="8">
        <f t="shared" si="38"/>
        <v>26.443485069041799</v>
      </c>
      <c r="LO17" s="8">
        <f t="shared" si="38"/>
        <v>25.914615367660961</v>
      </c>
      <c r="LP17" s="8">
        <f t="shared" si="38"/>
        <v>25.39632306030774</v>
      </c>
      <c r="LQ17" s="8">
        <f t="shared" si="38"/>
        <v>24.888396599101586</v>
      </c>
      <c r="LR17" s="8">
        <f t="shared" si="38"/>
        <v>24.390628667119554</v>
      </c>
      <c r="LS17" s="8">
        <f t="shared" si="38"/>
        <v>23.902816093777162</v>
      </c>
      <c r="LT17" s="8">
        <f t="shared" si="38"/>
        <v>23.424759771901616</v>
      </c>
      <c r="LU17" s="8">
        <f t="shared" si="38"/>
        <v>22.956264576463585</v>
      </c>
      <c r="LV17" s="8">
        <f t="shared" si="38"/>
        <v>22.497139284934313</v>
      </c>
      <c r="LW17" s="8">
        <f t="shared" si="38"/>
        <v>22.047196499235625</v>
      </c>
      <c r="LX17" s="8">
        <f t="shared" si="38"/>
        <v>21.606252569250913</v>
      </c>
      <c r="LY17" s="8">
        <f t="shared" si="38"/>
        <v>21.174127517865895</v>
      </c>
      <c r="LZ17" s="8">
        <f t="shared" si="38"/>
        <v>20.750644967508578</v>
      </c>
      <c r="MA17" s="8">
        <f t="shared" si="38"/>
        <v>20.335632068158407</v>
      </c>
      <c r="MB17" s="8">
        <f t="shared" si="38"/>
        <v>19.92891942679524</v>
      </c>
      <c r="MC17" s="8">
        <f t="shared" si="38"/>
        <v>19.530341038259333</v>
      </c>
      <c r="MD17" s="8">
        <f t="shared" si="38"/>
        <v>19.139734217494148</v>
      </c>
      <c r="ME17" s="8">
        <f t="shared" si="38"/>
        <v>18.756939533144266</v>
      </c>
      <c r="MF17" s="8">
        <f t="shared" si="38"/>
        <v>18.381800742481381</v>
      </c>
      <c r="MG17" s="8">
        <f t="shared" si="38"/>
        <v>18.014164727631755</v>
      </c>
      <c r="MH17" s="8">
        <f t="shared" si="38"/>
        <v>17.653881433079121</v>
      </c>
      <c r="MI17" s="8">
        <f t="shared" si="38"/>
        <v>17.300803804417537</v>
      </c>
      <c r="MJ17" s="8">
        <f t="shared" si="38"/>
        <v>16.954787728329187</v>
      </c>
      <c r="MK17" s="8">
        <f t="shared" si="38"/>
        <v>16.615691973762601</v>
      </c>
      <c r="ML17" s="8">
        <f t="shared" si="38"/>
        <v>16.28337813428735</v>
      </c>
      <c r="MM17" s="8">
        <f t="shared" si="38"/>
        <v>15.957710571601602</v>
      </c>
      <c r="MN17" s="8">
        <f t="shared" si="38"/>
        <v>15.63855636016957</v>
      </c>
      <c r="MO17" s="8">
        <f t="shared" si="38"/>
        <v>15.325785232966178</v>
      </c>
      <c r="MP17" s="8">
        <f t="shared" si="38"/>
        <v>15.019269528306854</v>
      </c>
      <c r="MQ17" s="8">
        <f t="shared" si="38"/>
        <v>14.718884137740716</v>
      </c>
      <c r="MR17" s="8">
        <f t="shared" si="38"/>
        <v>14.424506454985901</v>
      </c>
      <c r="MS17" s="8">
        <f t="shared" si="38"/>
        <v>14.136016325886182</v>
      </c>
      <c r="MT17" s="8">
        <f t="shared" si="38"/>
        <v>13.853295999368457</v>
      </c>
      <c r="MU17" s="8">
        <f t="shared" si="38"/>
        <v>13.576230079381087</v>
      </c>
      <c r="MV17" s="8">
        <f t="shared" si="38"/>
        <v>13.304705477793465</v>
      </c>
      <c r="MW17" s="8">
        <f t="shared" si="38"/>
        <v>13.038611368237596</v>
      </c>
      <c r="MX17" s="8">
        <f t="shared" si="38"/>
        <v>12.777839140872844</v>
      </c>
      <c r="MY17" s="8">
        <f t="shared" si="38"/>
        <v>12.522282358055387</v>
      </c>
      <c r="MZ17" s="8">
        <f t="shared" si="38"/>
        <v>12.271836710894279</v>
      </c>
      <c r="NA17" s="8">
        <f t="shared" si="38"/>
        <v>12.026399976676393</v>
      </c>
      <c r="NB17" s="8">
        <f t="shared" ref="NB17:PM17" si="39">NA17*(1+$AV$22)</f>
        <v>11.785871977142865</v>
      </c>
      <c r="NC17" s="8">
        <f t="shared" si="39"/>
        <v>11.550154537600006</v>
      </c>
      <c r="ND17" s="8">
        <f t="shared" si="39"/>
        <v>11.319151446848005</v>
      </c>
      <c r="NE17" s="8">
        <f t="shared" si="39"/>
        <v>11.092768417911046</v>
      </c>
      <c r="NF17" s="8">
        <f t="shared" si="39"/>
        <v>10.870913049552824</v>
      </c>
      <c r="NG17" s="8">
        <f t="shared" si="39"/>
        <v>10.653494788561767</v>
      </c>
      <c r="NH17" s="8">
        <f t="shared" si="39"/>
        <v>10.440424892790531</v>
      </c>
      <c r="NI17" s="8">
        <f t="shared" si="39"/>
        <v>10.23161639493472</v>
      </c>
      <c r="NJ17" s="8">
        <f t="shared" si="39"/>
        <v>10.026984067036025</v>
      </c>
      <c r="NK17" s="8">
        <f t="shared" si="39"/>
        <v>9.8264443856953054</v>
      </c>
      <c r="NL17" s="8">
        <f t="shared" si="39"/>
        <v>9.6299154979813988</v>
      </c>
      <c r="NM17" s="8">
        <f t="shared" si="39"/>
        <v>9.4373171880217708</v>
      </c>
      <c r="NN17" s="8">
        <f t="shared" si="39"/>
        <v>9.2485708442613355</v>
      </c>
      <c r="NO17" s="8">
        <f t="shared" si="39"/>
        <v>9.0635994273761078</v>
      </c>
      <c r="NP17" s="8">
        <f t="shared" si="39"/>
        <v>8.882327438828586</v>
      </c>
      <c r="NQ17" s="8">
        <f t="shared" si="39"/>
        <v>8.7046808900520141</v>
      </c>
      <c r="NR17" s="8">
        <f t="shared" si="39"/>
        <v>8.5305872722509744</v>
      </c>
      <c r="NS17" s="8">
        <f t="shared" si="39"/>
        <v>8.3599755268059539</v>
      </c>
      <c r="NT17" s="8">
        <f t="shared" si="39"/>
        <v>8.1927760162698355</v>
      </c>
      <c r="NU17" s="8">
        <f t="shared" si="39"/>
        <v>8.0289204959444387</v>
      </c>
      <c r="NV17" s="8">
        <f t="shared" si="39"/>
        <v>7.8683420860255495</v>
      </c>
      <c r="NW17" s="8">
        <f t="shared" si="39"/>
        <v>7.7109752443050388</v>
      </c>
      <c r="NX17" s="8">
        <f t="shared" si="39"/>
        <v>7.5567557394189375</v>
      </c>
      <c r="NY17" s="8">
        <f t="shared" si="39"/>
        <v>7.4056206246305587</v>
      </c>
      <c r="NZ17" s="8">
        <f t="shared" si="39"/>
        <v>7.2575082121379477</v>
      </c>
      <c r="OA17" s="8">
        <f t="shared" si="39"/>
        <v>7.1123580478951887</v>
      </c>
      <c r="OB17" s="8">
        <f t="shared" si="39"/>
        <v>6.9701108869372845</v>
      </c>
      <c r="OC17" s="8">
        <f t="shared" si="39"/>
        <v>6.8307086691985388</v>
      </c>
      <c r="OD17" s="8">
        <f t="shared" si="39"/>
        <v>6.6940944958145678</v>
      </c>
      <c r="OE17" s="8">
        <f t="shared" si="39"/>
        <v>6.5602126058982764</v>
      </c>
      <c r="OF17" s="8">
        <f t="shared" si="39"/>
        <v>6.4290083537803104</v>
      </c>
      <c r="OG17" s="8">
        <f t="shared" si="39"/>
        <v>6.3004281867047043</v>
      </c>
      <c r="OH17" s="8">
        <f t="shared" si="39"/>
        <v>6.1744196229706096</v>
      </c>
      <c r="OI17" s="8">
        <f t="shared" si="39"/>
        <v>6.0509312305111971</v>
      </c>
      <c r="OJ17" s="8">
        <f t="shared" si="39"/>
        <v>5.9299126059009728</v>
      </c>
      <c r="OK17" s="8">
        <f t="shared" si="39"/>
        <v>5.8113143537829535</v>
      </c>
      <c r="OL17" s="8">
        <f t="shared" si="39"/>
        <v>5.6950880667072941</v>
      </c>
      <c r="OM17" s="8">
        <f t="shared" si="39"/>
        <v>5.5811863053731479</v>
      </c>
      <c r="ON17" s="8">
        <f t="shared" si="39"/>
        <v>5.469562579265685</v>
      </c>
      <c r="OO17" s="8">
        <f t="shared" si="39"/>
        <v>5.3601713276803711</v>
      </c>
      <c r="OP17" s="8">
        <f t="shared" si="39"/>
        <v>5.2529679011267634</v>
      </c>
      <c r="OQ17" s="8">
        <f t="shared" si="39"/>
        <v>5.1479085431042284</v>
      </c>
      <c r="OR17" s="8">
        <f t="shared" si="39"/>
        <v>5.0449503722421438</v>
      </c>
      <c r="OS17" s="8">
        <f t="shared" si="39"/>
        <v>4.9440513647973008</v>
      </c>
      <c r="OT17" s="8">
        <f t="shared" si="39"/>
        <v>4.8451703375013544</v>
      </c>
      <c r="OU17" s="8">
        <f t="shared" si="39"/>
        <v>4.7482669307513277</v>
      </c>
      <c r="OV17" s="8">
        <f t="shared" si="39"/>
        <v>4.6533015921363008</v>
      </c>
      <c r="OW17" s="8">
        <f t="shared" si="39"/>
        <v>4.5602355602935747</v>
      </c>
      <c r="OX17" s="8">
        <f t="shared" si="39"/>
        <v>4.4690308490877033</v>
      </c>
      <c r="OY17" s="8">
        <f t="shared" si="39"/>
        <v>4.3796502321059494</v>
      </c>
      <c r="OZ17" s="8">
        <f t="shared" si="39"/>
        <v>4.2920572274638307</v>
      </c>
      <c r="PA17" s="8">
        <f t="shared" si="39"/>
        <v>4.2062160829145538</v>
      </c>
      <c r="PB17" s="8">
        <f t="shared" si="39"/>
        <v>4.1220917612562626</v>
      </c>
      <c r="PC17" s="8">
        <f t="shared" si="39"/>
        <v>4.0396499260311369</v>
      </c>
      <c r="PD17" s="8">
        <f t="shared" si="39"/>
        <v>3.9588569275105141</v>
      </c>
      <c r="PE17" s="8">
        <f t="shared" si="39"/>
        <v>3.8796797889603036</v>
      </c>
      <c r="PF17" s="8">
        <f t="shared" si="39"/>
        <v>3.8020861931810974</v>
      </c>
      <c r="PG17" s="8">
        <f t="shared" si="39"/>
        <v>3.7260444693174755</v>
      </c>
      <c r="PH17" s="8">
        <f t="shared" si="39"/>
        <v>3.6515235799311259</v>
      </c>
      <c r="PI17" s="8">
        <f t="shared" si="39"/>
        <v>3.5784931083325033</v>
      </c>
      <c r="PJ17" s="8">
        <f t="shared" si="39"/>
        <v>3.506923246165853</v>
      </c>
      <c r="PK17" s="8">
        <f t="shared" si="39"/>
        <v>3.4367847812425358</v>
      </c>
      <c r="PL17" s="8">
        <f t="shared" si="39"/>
        <v>3.368049085617685</v>
      </c>
      <c r="PM17" s="8">
        <f t="shared" si="39"/>
        <v>3.3006881039053311</v>
      </c>
      <c r="PN17" s="8">
        <f t="shared" ref="PN17:QI17" si="40">PM17*(1+$AV$22)</f>
        <v>3.2346743418272244</v>
      </c>
      <c r="PO17" s="8">
        <f t="shared" si="40"/>
        <v>3.1699808549906798</v>
      </c>
      <c r="PP17" s="8">
        <f t="shared" si="40"/>
        <v>3.1065812378908664</v>
      </c>
      <c r="PQ17" s="8">
        <f t="shared" si="40"/>
        <v>3.044449613133049</v>
      </c>
      <c r="PR17" s="8">
        <f t="shared" si="40"/>
        <v>2.9835606208703878</v>
      </c>
      <c r="PS17" s="8">
        <f t="shared" si="40"/>
        <v>2.9238894084529798</v>
      </c>
      <c r="PT17" s="8">
        <f t="shared" si="40"/>
        <v>2.8654116202839202</v>
      </c>
      <c r="PU17" s="8">
        <f t="shared" si="40"/>
        <v>2.8081033878782415</v>
      </c>
      <c r="PV17" s="8">
        <f t="shared" si="40"/>
        <v>2.7519413201206766</v>
      </c>
      <c r="PW17" s="8">
        <f t="shared" si="40"/>
        <v>2.6969024937182628</v>
      </c>
      <c r="PX17" s="8">
        <f t="shared" si="40"/>
        <v>2.6429644438438977</v>
      </c>
      <c r="PY17" s="8">
        <f t="shared" si="40"/>
        <v>2.5901051549670195</v>
      </c>
      <c r="PZ17" s="8">
        <f t="shared" si="40"/>
        <v>2.538303051867679</v>
      </c>
      <c r="QA17" s="8">
        <f t="shared" si="40"/>
        <v>2.4875369908303253</v>
      </c>
      <c r="QB17" s="8">
        <f t="shared" si="40"/>
        <v>2.4377862510137187</v>
      </c>
      <c r="QC17" s="8">
        <f t="shared" si="40"/>
        <v>2.3890305259934443</v>
      </c>
      <c r="QD17" s="8">
        <f t="shared" si="40"/>
        <v>2.3412499154735755</v>
      </c>
      <c r="QE17" s="8">
        <f t="shared" si="40"/>
        <v>2.294424917164104</v>
      </c>
      <c r="QF17" s="8">
        <f t="shared" si="40"/>
        <v>2.2485364188208221</v>
      </c>
      <c r="QG17" s="8">
        <f t="shared" si="40"/>
        <v>2.2035656904444054</v>
      </c>
      <c r="QH17" s="8">
        <f t="shared" si="40"/>
        <v>2.1594943766355175</v>
      </c>
      <c r="QI17" s="8">
        <f t="shared" si="40"/>
        <v>2.1163044891028071</v>
      </c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</row>
    <row r="18" spans="2:764" x14ac:dyDescent="0.2">
      <c r="B18" s="1" t="s">
        <v>51</v>
      </c>
      <c r="C18" s="9">
        <f t="shared" ref="C18:Q18" si="41">C17/C19</f>
        <v>0.39050772626931568</v>
      </c>
      <c r="D18" s="9">
        <f t="shared" si="41"/>
        <v>0.59509609012591125</v>
      </c>
      <c r="E18" s="9">
        <f t="shared" si="41"/>
        <v>0.54579813250333487</v>
      </c>
      <c r="F18" s="9">
        <f t="shared" si="41"/>
        <v>0.37879795963628299</v>
      </c>
      <c r="G18" s="9">
        <f t="shared" si="41"/>
        <v>0.35413839891451832</v>
      </c>
      <c r="H18" s="9">
        <f t="shared" si="41"/>
        <v>0.58486753480017961</v>
      </c>
      <c r="I18" s="9">
        <f t="shared" si="41"/>
        <v>0.47631874298540966</v>
      </c>
      <c r="J18" s="9">
        <f t="shared" si="41"/>
        <v>0.18674157303370786</v>
      </c>
      <c r="K18" s="9">
        <f t="shared" si="41"/>
        <v>0.35413839891451832</v>
      </c>
      <c r="L18" s="9">
        <f t="shared" si="41"/>
        <v>0.70576225045372054</v>
      </c>
      <c r="M18" s="9">
        <f t="shared" si="41"/>
        <v>0.33030234144123666</v>
      </c>
      <c r="N18" s="9">
        <f t="shared" si="41"/>
        <v>0.28059023836549374</v>
      </c>
      <c r="O18" s="9">
        <f t="shared" si="41"/>
        <v>0.34071200365130078</v>
      </c>
      <c r="P18" s="9">
        <f t="shared" si="41"/>
        <v>0.79049577336074939</v>
      </c>
      <c r="Q18" s="9">
        <f t="shared" si="41"/>
        <v>0.34338588074023302</v>
      </c>
      <c r="R18" s="9">
        <f t="shared" ref="R18:V18" si="42">R17/R19</f>
        <v>0.28466986520447796</v>
      </c>
      <c r="S18" s="9">
        <f t="shared" si="42"/>
        <v>0.35268220242175019</v>
      </c>
      <c r="T18" s="9">
        <f t="shared" si="42"/>
        <v>0.80299520219328313</v>
      </c>
      <c r="U18" s="9">
        <f t="shared" si="42"/>
        <v>0.35612748457847854</v>
      </c>
      <c r="V18" s="9">
        <f t="shared" si="42"/>
        <v>0.29621658670322137</v>
      </c>
      <c r="Y18" s="9">
        <f t="shared" ref="Y18:AF18" si="43">Y17/Y19</f>
        <v>1.8609556607834696</v>
      </c>
      <c r="Z18" s="9">
        <f t="shared" si="43"/>
        <v>1.9821116928446771</v>
      </c>
      <c r="AA18" s="9">
        <f t="shared" si="43"/>
        <v>1.9130627633621646</v>
      </c>
      <c r="AB18" s="9">
        <f t="shared" si="43"/>
        <v>1.6008988764044945</v>
      </c>
      <c r="AC18" s="9">
        <f t="shared" si="43"/>
        <v>1.6657620985979196</v>
      </c>
      <c r="AD18" s="9">
        <f t="shared" si="43"/>
        <v>1.759652730180489</v>
      </c>
      <c r="AE18" s="9">
        <f t="shared" si="43"/>
        <v>1.8080214758967328</v>
      </c>
      <c r="AF18" s="9">
        <f t="shared" si="43"/>
        <v>1.8004820653415579</v>
      </c>
      <c r="AG18" s="9">
        <f t="shared" ref="AG18:AR18" si="44">AG17/AG19</f>
        <v>1.8004820653415579</v>
      </c>
      <c r="AH18" s="9">
        <f t="shared" si="44"/>
        <v>1.8004820653415579</v>
      </c>
      <c r="AI18" s="9">
        <f t="shared" si="44"/>
        <v>1.8004820653415579</v>
      </c>
      <c r="AJ18" s="9">
        <f t="shared" si="44"/>
        <v>1.8004820653415579</v>
      </c>
      <c r="AK18" s="9">
        <f t="shared" si="44"/>
        <v>1.8004820653415579</v>
      </c>
      <c r="AL18" s="9">
        <f t="shared" si="44"/>
        <v>1.8004820653415579</v>
      </c>
      <c r="AM18" s="9">
        <f t="shared" si="44"/>
        <v>1.8004820653415579</v>
      </c>
      <c r="AN18" s="9">
        <f t="shared" si="44"/>
        <v>1.8004820653415579</v>
      </c>
      <c r="AO18" s="9">
        <f t="shared" si="44"/>
        <v>1.8004820653415579</v>
      </c>
      <c r="AP18" s="9">
        <f t="shared" si="44"/>
        <v>1.8004820653415579</v>
      </c>
      <c r="AQ18" s="9">
        <f t="shared" si="44"/>
        <v>1.8004820653415579</v>
      </c>
      <c r="AR18" s="9">
        <f t="shared" si="44"/>
        <v>1.8004820653415579</v>
      </c>
    </row>
    <row r="19" spans="2:764" x14ac:dyDescent="0.2">
      <c r="B19" s="1" t="s">
        <v>2</v>
      </c>
      <c r="C19" s="2">
        <v>4530</v>
      </c>
      <c r="D19" s="2">
        <v>4527</v>
      </c>
      <c r="E19" s="2">
        <v>4498</v>
      </c>
      <c r="F19" s="1">
        <v>4509</v>
      </c>
      <c r="G19" s="2">
        <v>4422</v>
      </c>
      <c r="H19" s="2">
        <v>4454</v>
      </c>
      <c r="I19" s="2">
        <v>4455</v>
      </c>
      <c r="J19" s="1">
        <v>4450</v>
      </c>
      <c r="K19" s="2">
        <v>4422</v>
      </c>
      <c r="L19" s="2">
        <v>4408</v>
      </c>
      <c r="M19" s="2">
        <v>4399</v>
      </c>
      <c r="N19" s="1">
        <v>4405</v>
      </c>
      <c r="O19" s="2">
        <v>4382</v>
      </c>
      <c r="P19" s="2">
        <v>4377</v>
      </c>
      <c r="Q19" s="2">
        <v>4377</v>
      </c>
      <c r="R19" s="2">
        <v>4377</v>
      </c>
      <c r="S19" s="2">
        <v>4377</v>
      </c>
      <c r="T19" s="2">
        <v>4377</v>
      </c>
      <c r="U19" s="2">
        <v>4377</v>
      </c>
      <c r="V19" s="2">
        <v>4377</v>
      </c>
      <c r="Y19" s="2">
        <v>4646</v>
      </c>
      <c r="Z19" s="2">
        <v>4584</v>
      </c>
      <c r="AA19" s="2">
        <v>4509</v>
      </c>
      <c r="AB19" s="2">
        <v>4450</v>
      </c>
      <c r="AC19" s="2">
        <v>4422</v>
      </c>
      <c r="AD19" s="2">
        <v>4377</v>
      </c>
      <c r="AE19" s="2">
        <v>4377</v>
      </c>
      <c r="AF19" s="2">
        <v>4377</v>
      </c>
      <c r="AG19" s="2">
        <v>4377</v>
      </c>
      <c r="AH19" s="2">
        <v>4377</v>
      </c>
      <c r="AI19" s="2">
        <v>4377</v>
      </c>
      <c r="AJ19" s="2">
        <v>4377</v>
      </c>
      <c r="AK19" s="2">
        <v>4377</v>
      </c>
      <c r="AL19" s="2">
        <v>4377</v>
      </c>
      <c r="AM19" s="2">
        <v>4377</v>
      </c>
      <c r="AN19" s="2">
        <v>4377</v>
      </c>
      <c r="AO19" s="2">
        <v>4377</v>
      </c>
      <c r="AP19" s="2">
        <v>4377</v>
      </c>
      <c r="AQ19" s="2">
        <v>4377</v>
      </c>
      <c r="AR19" s="2">
        <v>4377</v>
      </c>
    </row>
    <row r="20" spans="2:764" x14ac:dyDescent="0.2">
      <c r="C20" s="2"/>
      <c r="D20" s="2"/>
      <c r="E20" s="2"/>
      <c r="G20" s="2"/>
      <c r="H20" s="2"/>
      <c r="I20" s="2"/>
      <c r="K20" s="2"/>
      <c r="L20" s="2"/>
      <c r="M20" s="2"/>
      <c r="O20" s="2"/>
      <c r="P20" s="2"/>
      <c r="Y20" s="2"/>
      <c r="Z20" s="2"/>
      <c r="AA20" s="2"/>
      <c r="AB20" s="2"/>
      <c r="AC20" s="2"/>
    </row>
    <row r="21" spans="2:764" x14ac:dyDescent="0.2">
      <c r="B21" s="1" t="s">
        <v>54</v>
      </c>
      <c r="C21" s="4">
        <f t="shared" ref="C21:P21" si="45">C7/C5</f>
        <v>0.60815586769370189</v>
      </c>
      <c r="D21" s="4">
        <f t="shared" si="45"/>
        <v>0.60867519021099692</v>
      </c>
      <c r="E21" s="4">
        <f t="shared" si="45"/>
        <v>0.60157938487115548</v>
      </c>
      <c r="F21" s="4">
        <f t="shared" si="45"/>
        <v>0.60914855072463769</v>
      </c>
      <c r="G21" s="4">
        <f t="shared" si="45"/>
        <v>0.61693586033050141</v>
      </c>
      <c r="H21" s="4">
        <f t="shared" si="45"/>
        <v>0.61674884682678544</v>
      </c>
      <c r="I21" s="4">
        <f t="shared" si="45"/>
        <v>0.61339345357381425</v>
      </c>
      <c r="J21" s="4">
        <f t="shared" si="45"/>
        <v>0.5960696656421719</v>
      </c>
      <c r="K21" s="4">
        <f t="shared" si="45"/>
        <v>0.61693586033050141</v>
      </c>
      <c r="L21" s="4">
        <f t="shared" si="45"/>
        <v>0.60941099045738734</v>
      </c>
      <c r="M21" s="4">
        <f t="shared" si="45"/>
        <v>0.59945742539599189</v>
      </c>
      <c r="N21" s="4">
        <f t="shared" si="45"/>
        <v>0.59460000000000002</v>
      </c>
      <c r="O21" s="4">
        <f t="shared" si="45"/>
        <v>0.60425987162030736</v>
      </c>
      <c r="P21" s="4">
        <f t="shared" si="45"/>
        <v>0.61253141520062393</v>
      </c>
      <c r="Q21" s="4">
        <f t="shared" ref="Q21:V21" si="46">Q7/Q5</f>
        <v>0.59945742539599189</v>
      </c>
      <c r="R21" s="4">
        <f t="shared" si="46"/>
        <v>0.59460000000000002</v>
      </c>
      <c r="S21" s="4">
        <f t="shared" si="46"/>
        <v>0.60821727290410432</v>
      </c>
      <c r="T21" s="4">
        <f t="shared" si="46"/>
        <v>0.61640610104861771</v>
      </c>
      <c r="U21" s="4">
        <f t="shared" si="46"/>
        <v>0.60346285114203202</v>
      </c>
      <c r="V21" s="4">
        <f t="shared" si="46"/>
        <v>0.59865400000000002</v>
      </c>
      <c r="Y21" s="4">
        <f t="shared" ref="Y21:AC21" si="47">Y7/Y5</f>
        <v>0.60863306261011563</v>
      </c>
      <c r="Z21" s="4">
        <f t="shared" si="47"/>
        <v>0.60320303225940808</v>
      </c>
      <c r="AA21" s="4">
        <f t="shared" si="47"/>
        <v>0.60684253212105688</v>
      </c>
      <c r="AB21" s="4">
        <f t="shared" si="47"/>
        <v>0.61109178659941732</v>
      </c>
      <c r="AC21" s="4">
        <f t="shared" si="47"/>
        <v>0.60531900483135415</v>
      </c>
      <c r="AD21" s="4">
        <f t="shared" ref="AD21:AE21" si="48">AD7/AD5</f>
        <v>0.602964298927118</v>
      </c>
      <c r="AE21" s="4">
        <f t="shared" si="48"/>
        <v>0.60693465593784679</v>
      </c>
      <c r="AF21" s="4">
        <f t="shared" ref="AF21:AR21" si="49">AF7/AF5</f>
        <v>0.60693465593784679</v>
      </c>
      <c r="AG21" s="4">
        <f t="shared" si="49"/>
        <v>0.60693465593784679</v>
      </c>
      <c r="AH21" s="4">
        <f t="shared" si="49"/>
        <v>0.60693465593784679</v>
      </c>
      <c r="AI21" s="4">
        <f t="shared" si="49"/>
        <v>0.60693465593784679</v>
      </c>
      <c r="AJ21" s="4">
        <f t="shared" si="49"/>
        <v>0.60693465593784679</v>
      </c>
      <c r="AK21" s="4">
        <f t="shared" si="49"/>
        <v>0.60693465593784679</v>
      </c>
      <c r="AL21" s="4">
        <f t="shared" si="49"/>
        <v>0.60693465593784679</v>
      </c>
      <c r="AM21" s="4">
        <f t="shared" si="49"/>
        <v>0.60693465593784679</v>
      </c>
      <c r="AN21" s="4">
        <f t="shared" si="49"/>
        <v>0.60693465593784679</v>
      </c>
      <c r="AO21" s="4">
        <f t="shared" si="49"/>
        <v>0.60693465593784679</v>
      </c>
      <c r="AP21" s="4">
        <f t="shared" si="49"/>
        <v>0.60693465593784679</v>
      </c>
      <c r="AQ21" s="4">
        <f t="shared" si="49"/>
        <v>0.60693465593784679</v>
      </c>
      <c r="AR21" s="4">
        <f t="shared" si="49"/>
        <v>0.60693465593784679</v>
      </c>
      <c r="AU21" s="1" t="s">
        <v>64</v>
      </c>
      <c r="AV21" s="4">
        <v>0</v>
      </c>
      <c r="AX21" s="1" t="s">
        <v>5</v>
      </c>
      <c r="AY21" s="2">
        <f>Main!H7</f>
        <v>177895.18000000002</v>
      </c>
    </row>
    <row r="22" spans="2:764" x14ac:dyDescent="0.2">
      <c r="B22" s="1" t="s">
        <v>55</v>
      </c>
      <c r="C22" s="4">
        <f t="shared" ref="C22:P22" si="50">C11/C5</f>
        <v>0.21821477118260083</v>
      </c>
      <c r="D22" s="4">
        <f t="shared" si="50"/>
        <v>0.25437289199152874</v>
      </c>
      <c r="E22" s="4">
        <f t="shared" si="50"/>
        <v>0.20548628428927682</v>
      </c>
      <c r="F22" s="4">
        <f t="shared" si="50"/>
        <v>0.19067028985507245</v>
      </c>
      <c r="G22" s="4">
        <f t="shared" si="50"/>
        <v>0.21435907011483521</v>
      </c>
      <c r="H22" s="4">
        <f t="shared" si="50"/>
        <v>0.25210752346111021</v>
      </c>
      <c r="I22" s="4">
        <f t="shared" si="50"/>
        <v>0.22636940547762191</v>
      </c>
      <c r="J22" s="4">
        <f t="shared" si="50"/>
        <v>0.14259104032783831</v>
      </c>
      <c r="K22" s="4">
        <f t="shared" si="50"/>
        <v>0.21435907011483521</v>
      </c>
      <c r="L22" s="4">
        <f t="shared" si="50"/>
        <v>0.20853899308983218</v>
      </c>
      <c r="M22" s="4">
        <f t="shared" si="50"/>
        <v>0.20819112627986347</v>
      </c>
      <c r="N22" s="4">
        <f t="shared" si="50"/>
        <v>0.15179999999999999</v>
      </c>
      <c r="O22" s="4">
        <f t="shared" si="50"/>
        <v>0.20822797121182648</v>
      </c>
      <c r="P22" s="4">
        <f t="shared" si="50"/>
        <v>0.24776843747291794</v>
      </c>
      <c r="Q22" s="4">
        <f t="shared" ref="Q22:V22" si="51">Q11/Q5</f>
        <v>0.20819112627986347</v>
      </c>
      <c r="R22" s="4">
        <f t="shared" si="51"/>
        <v>0.15179999999999999</v>
      </c>
      <c r="S22" s="4">
        <f t="shared" si="51"/>
        <v>0.21218537249562347</v>
      </c>
      <c r="T22" s="4">
        <f t="shared" si="51"/>
        <v>0.25164312332091171</v>
      </c>
      <c r="U22" s="4">
        <f t="shared" si="51"/>
        <v>0.2121965520259036</v>
      </c>
      <c r="V22" s="4">
        <f t="shared" si="51"/>
        <v>0.15585399999999999</v>
      </c>
      <c r="Y22" s="4">
        <f t="shared" ref="Y22:AC22" si="52">Y11/Y5</f>
        <v>0.21857676936960166</v>
      </c>
      <c r="Z22" s="4">
        <f t="shared" si="52"/>
        <v>0.22448299560572296</v>
      </c>
      <c r="AA22" s="4">
        <f t="shared" si="52"/>
        <v>0.21829512955137234</v>
      </c>
      <c r="AB22" s="4">
        <f t="shared" si="52"/>
        <v>0.21105265446323754</v>
      </c>
      <c r="AC22" s="4">
        <f t="shared" si="52"/>
        <v>0.19704700410890866</v>
      </c>
      <c r="AD22" s="4">
        <f t="shared" ref="AD22:AE22" si="53">AD11/AD5</f>
        <v>0.205720495745468</v>
      </c>
      <c r="AE22" s="4">
        <f t="shared" si="53"/>
        <v>0.20969085275619681</v>
      </c>
      <c r="AF22" s="4">
        <f t="shared" ref="AF22:AR22" si="54">AF11/AF5</f>
        <v>0.20969085275619681</v>
      </c>
      <c r="AG22" s="4">
        <f t="shared" si="54"/>
        <v>0.20969085275619681</v>
      </c>
      <c r="AH22" s="4">
        <f t="shared" si="54"/>
        <v>0.20969085275619681</v>
      </c>
      <c r="AI22" s="4">
        <f t="shared" si="54"/>
        <v>0.20969085275619681</v>
      </c>
      <c r="AJ22" s="4">
        <f t="shared" si="54"/>
        <v>0.20969085275619681</v>
      </c>
      <c r="AK22" s="4">
        <f t="shared" si="54"/>
        <v>0.20969085275619681</v>
      </c>
      <c r="AL22" s="4">
        <f t="shared" si="54"/>
        <v>0.20969085275619681</v>
      </c>
      <c r="AM22" s="4">
        <f t="shared" si="54"/>
        <v>0.20969085275619681</v>
      </c>
      <c r="AN22" s="4">
        <f t="shared" si="54"/>
        <v>0.20969085275619681</v>
      </c>
      <c r="AO22" s="4">
        <f t="shared" si="54"/>
        <v>0.20969085275619681</v>
      </c>
      <c r="AP22" s="4">
        <f t="shared" si="54"/>
        <v>0.20969085275619681</v>
      </c>
      <c r="AQ22" s="4">
        <f t="shared" si="54"/>
        <v>0.20969085275619681</v>
      </c>
      <c r="AR22" s="4">
        <f t="shared" si="54"/>
        <v>0.20969085275619681</v>
      </c>
      <c r="AU22" s="1" t="s">
        <v>63</v>
      </c>
      <c r="AV22" s="4">
        <v>-0.02</v>
      </c>
      <c r="AX22" s="10" t="s">
        <v>72</v>
      </c>
      <c r="AY22" s="11">
        <f>AD17</f>
        <v>7702</v>
      </c>
    </row>
    <row r="23" spans="2:764" x14ac:dyDescent="0.2">
      <c r="B23" s="1" t="s">
        <v>56</v>
      </c>
      <c r="C23" s="4">
        <f t="shared" ref="C23:P23" si="55">C17/C5</f>
        <v>0.16030811055731761</v>
      </c>
      <c r="D23" s="4">
        <f t="shared" si="55"/>
        <v>0.21131069103459094</v>
      </c>
      <c r="E23" s="4">
        <f t="shared" si="55"/>
        <v>0.20407315045719035</v>
      </c>
      <c r="F23" s="4">
        <f t="shared" si="55"/>
        <v>0.15471014492753624</v>
      </c>
      <c r="G23" s="4">
        <f t="shared" si="55"/>
        <v>0.1462048361497526</v>
      </c>
      <c r="H23" s="4">
        <f t="shared" si="55"/>
        <v>0.20717353268649594</v>
      </c>
      <c r="I23" s="4">
        <f t="shared" si="55"/>
        <v>0.177187708750835</v>
      </c>
      <c r="J23" s="4">
        <f t="shared" si="55"/>
        <v>7.7395920648225758E-2</v>
      </c>
      <c r="K23" s="4">
        <f t="shared" si="55"/>
        <v>0.1462048361497526</v>
      </c>
      <c r="L23" s="4">
        <f t="shared" si="55"/>
        <v>0.2559230009871668</v>
      </c>
      <c r="M23" s="4">
        <f t="shared" si="55"/>
        <v>0.1271549838102739</v>
      </c>
      <c r="N23" s="4">
        <f t="shared" si="55"/>
        <v>0.1236</v>
      </c>
      <c r="O23" s="4">
        <f t="shared" si="55"/>
        <v>0.14520521299358102</v>
      </c>
      <c r="P23" s="4">
        <f t="shared" si="55"/>
        <v>0.29985267354190137</v>
      </c>
      <c r="Q23" s="4">
        <f t="shared" ref="Q23:V23" si="56">Q17/Q5</f>
        <v>0.13153058545550014</v>
      </c>
      <c r="R23" s="4">
        <f t="shared" si="56"/>
        <v>0.1246</v>
      </c>
      <c r="S23" s="4">
        <f t="shared" si="56"/>
        <v>0.15013518770667189</v>
      </c>
      <c r="T23" s="4">
        <f t="shared" si="56"/>
        <v>0.30459398561400469</v>
      </c>
      <c r="U23" s="4">
        <f t="shared" si="56"/>
        <v>0.13641113153058548</v>
      </c>
      <c r="V23" s="4">
        <f t="shared" si="56"/>
        <v>0.12965399999999999</v>
      </c>
      <c r="Y23" s="4">
        <f t="shared" ref="Y23:AC23" si="57">Y17/Y5</f>
        <v>0.18576769369601651</v>
      </c>
      <c r="Z23" s="4">
        <f t="shared" si="57"/>
        <v>0.18922464960326552</v>
      </c>
      <c r="AA23" s="4">
        <f t="shared" si="57"/>
        <v>0.18410381184103811</v>
      </c>
      <c r="AB23" s="4">
        <f t="shared" si="57"/>
        <v>0.1548762989695204</v>
      </c>
      <c r="AC23" s="4">
        <f t="shared" si="57"/>
        <v>0.16629791845396669</v>
      </c>
      <c r="AD23" s="4">
        <f t="shared" ref="AD23:AE23" si="58">AD17/AD5</f>
        <v>0.17808916019237883</v>
      </c>
      <c r="AE23" s="4">
        <f t="shared" si="58"/>
        <v>0.18298441546429892</v>
      </c>
      <c r="AF23" s="4">
        <f t="shared" ref="AF23:AR23" si="59">AF17/AF5</f>
        <v>0.18222137439881611</v>
      </c>
      <c r="AG23" s="4">
        <f t="shared" si="59"/>
        <v>0.18222137439881611</v>
      </c>
      <c r="AH23" s="4">
        <f t="shared" si="59"/>
        <v>0.18222137439881611</v>
      </c>
      <c r="AI23" s="4">
        <f t="shared" si="59"/>
        <v>0.18222137439881611</v>
      </c>
      <c r="AJ23" s="4">
        <f t="shared" si="59"/>
        <v>0.18222137439881611</v>
      </c>
      <c r="AK23" s="4">
        <f t="shared" si="59"/>
        <v>0.18222137439881611</v>
      </c>
      <c r="AL23" s="4">
        <f t="shared" si="59"/>
        <v>0.18222137439881611</v>
      </c>
      <c r="AM23" s="4">
        <f t="shared" si="59"/>
        <v>0.18222137439881611</v>
      </c>
      <c r="AN23" s="4">
        <f t="shared" si="59"/>
        <v>0.18222137439881611</v>
      </c>
      <c r="AO23" s="4">
        <f t="shared" si="59"/>
        <v>0.18222137439881611</v>
      </c>
      <c r="AP23" s="4">
        <f t="shared" si="59"/>
        <v>0.18222137439881611</v>
      </c>
      <c r="AQ23" s="4">
        <f t="shared" si="59"/>
        <v>0.18222137439881611</v>
      </c>
      <c r="AR23" s="4">
        <f t="shared" si="59"/>
        <v>0.18222137439881611</v>
      </c>
      <c r="AU23" s="1" t="s">
        <v>65</v>
      </c>
      <c r="AV23" s="4">
        <v>0.03</v>
      </c>
      <c r="AX23" s="1" t="s">
        <v>73</v>
      </c>
      <c r="AY23" s="3">
        <f>AY21/AY22</f>
        <v>23.097270838743185</v>
      </c>
    </row>
    <row r="24" spans="2:764" x14ac:dyDescent="0.2">
      <c r="B24" s="1" t="s">
        <v>57</v>
      </c>
      <c r="C24" s="4">
        <f t="shared" ref="C24:P24" si="60">C16/C15</f>
        <v>0.24530716723549489</v>
      </c>
      <c r="D24" s="4">
        <f t="shared" si="60"/>
        <v>0.23574468085106384</v>
      </c>
      <c r="E24" s="4">
        <f t="shared" si="60"/>
        <v>0.27366863905325445</v>
      </c>
      <c r="F24" s="4">
        <f t="shared" si="60"/>
        <v>0.23339317773788151</v>
      </c>
      <c r="G24" s="4">
        <f t="shared" si="60"/>
        <v>0.20949015648662292</v>
      </c>
      <c r="H24" s="4">
        <f t="shared" si="60"/>
        <v>0.23020094562647755</v>
      </c>
      <c r="I24" s="4">
        <f t="shared" si="60"/>
        <v>0.20225563909774436</v>
      </c>
      <c r="J24" s="4">
        <f t="shared" si="60"/>
        <v>0.36076923076923079</v>
      </c>
      <c r="K24" s="4">
        <f t="shared" si="60"/>
        <v>0.20949015648662292</v>
      </c>
      <c r="L24" s="4">
        <f t="shared" si="60"/>
        <v>0.28663150653519837</v>
      </c>
      <c r="M24" s="4">
        <f t="shared" si="60"/>
        <v>0.15768115942028985</v>
      </c>
      <c r="N24" s="4">
        <f t="shared" si="60"/>
        <v>0.19635890767230169</v>
      </c>
      <c r="O24" s="4">
        <f t="shared" si="60"/>
        <v>0.21172122492080253</v>
      </c>
      <c r="P24" s="4">
        <f t="shared" si="60"/>
        <v>0.1951616655036055</v>
      </c>
      <c r="Q24" s="4">
        <f t="shared" ref="Q24:V24" si="61">Q16/Q15</f>
        <v>0.15323943661971831</v>
      </c>
      <c r="R24" s="4">
        <f t="shared" si="61"/>
        <v>0.19509043927648578</v>
      </c>
      <c r="S24" s="4">
        <f t="shared" si="61"/>
        <v>0.20620253099465718</v>
      </c>
      <c r="T24" s="4">
        <f t="shared" si="61"/>
        <v>0.19270920663066671</v>
      </c>
      <c r="U24" s="4">
        <f t="shared" si="61"/>
        <v>0.14857136614648478</v>
      </c>
      <c r="V24" s="4">
        <f t="shared" si="61"/>
        <v>0.18892239168241021</v>
      </c>
      <c r="Y24" s="4">
        <f t="shared" ref="Y24:AC24" si="62">Y16/Y15</f>
        <v>0.245418048525048</v>
      </c>
      <c r="Z24" s="4">
        <f t="shared" si="62"/>
        <v>0.23058684054534678</v>
      </c>
      <c r="AA24" s="4">
        <f t="shared" si="62"/>
        <v>0.24840986320467021</v>
      </c>
      <c r="AB24" s="4">
        <f t="shared" si="62"/>
        <v>0.23603217158176942</v>
      </c>
      <c r="AC24" s="4">
        <f t="shared" si="62"/>
        <v>0.23310775637688705</v>
      </c>
      <c r="AD24" s="4">
        <f t="shared" ref="AD24:AE24" si="63">AD16/AD15</f>
        <v>0.19062631357713325</v>
      </c>
      <c r="AE24" s="4">
        <f t="shared" si="63"/>
        <v>0.18647759853038384</v>
      </c>
      <c r="AF24" s="4">
        <f t="shared" ref="AF24:AR24" si="64">AF16/AF15</f>
        <v>0.18711235302551599</v>
      </c>
      <c r="AG24" s="4">
        <f t="shared" si="64"/>
        <v>0.18711235302551599</v>
      </c>
      <c r="AH24" s="4">
        <f t="shared" si="64"/>
        <v>0.18711235302551599</v>
      </c>
      <c r="AI24" s="4">
        <f t="shared" si="64"/>
        <v>0.18711235302551599</v>
      </c>
      <c r="AJ24" s="4">
        <f t="shared" si="64"/>
        <v>0.18711235302551599</v>
      </c>
      <c r="AK24" s="4">
        <f t="shared" si="64"/>
        <v>0.18711235302551599</v>
      </c>
      <c r="AL24" s="4">
        <f t="shared" si="64"/>
        <v>0.18711235302551599</v>
      </c>
      <c r="AM24" s="4">
        <f t="shared" si="64"/>
        <v>0.18711235302551599</v>
      </c>
      <c r="AN24" s="4">
        <f t="shared" si="64"/>
        <v>0.18711235302551599</v>
      </c>
      <c r="AO24" s="4">
        <f t="shared" si="64"/>
        <v>0.18711235302551599</v>
      </c>
      <c r="AP24" s="4">
        <f t="shared" si="64"/>
        <v>0.18711235302551599</v>
      </c>
      <c r="AQ24" s="4">
        <f t="shared" si="64"/>
        <v>0.18711235302551599</v>
      </c>
      <c r="AR24" s="4">
        <f t="shared" si="64"/>
        <v>0.18711235302551599</v>
      </c>
      <c r="AU24" s="1" t="s">
        <v>66</v>
      </c>
      <c r="AV24" s="12">
        <f>NPV(AV23,AD17:QI17)</f>
        <v>193080.23127204677</v>
      </c>
      <c r="AX24" s="1" t="s">
        <v>74</v>
      </c>
      <c r="AY24" s="4">
        <f>AY22/AY21</f>
        <v>4.3295158418569853E-2</v>
      </c>
    </row>
    <row r="25" spans="2:764" x14ac:dyDescent="0.2">
      <c r="L25" s="2"/>
      <c r="P25" s="2"/>
      <c r="AU25" s="1" t="s">
        <v>62</v>
      </c>
      <c r="AV25" s="2">
        <f>Main!H5-Main!H6</f>
        <v>7427</v>
      </c>
      <c r="AX25" s="10"/>
      <c r="AY25" s="13"/>
    </row>
    <row r="26" spans="2:764" x14ac:dyDescent="0.2">
      <c r="B26" s="1" t="s">
        <v>53</v>
      </c>
      <c r="E26" s="4"/>
      <c r="F26" s="4"/>
      <c r="G26" s="4">
        <f t="shared" ref="G26:V26" si="65">G5/C5-1</f>
        <v>-2.9361123697326685E-2</v>
      </c>
      <c r="H26" s="4">
        <f t="shared" si="65"/>
        <v>-1.3726566789552086E-2</v>
      </c>
      <c r="I26" s="4">
        <f t="shared" si="65"/>
        <v>-4.4887780548628076E-3</v>
      </c>
      <c r="J26" s="4">
        <f t="shared" si="65"/>
        <v>-2.7445652173913038E-2</v>
      </c>
      <c r="K26" s="4">
        <f t="shared" si="65"/>
        <v>0</v>
      </c>
      <c r="L26" s="4">
        <f t="shared" si="65"/>
        <v>-3.3243200254493344E-2</v>
      </c>
      <c r="M26" s="4">
        <f t="shared" si="65"/>
        <v>-4.5841683366733443E-2</v>
      </c>
      <c r="N26" s="4">
        <f t="shared" si="65"/>
        <v>-6.864114743410632E-2</v>
      </c>
      <c r="O26" s="4">
        <f t="shared" si="65"/>
        <v>-4.005228270002803E-2</v>
      </c>
      <c r="P26" s="4">
        <f t="shared" si="65"/>
        <v>-5.075682790391578E-2</v>
      </c>
      <c r="Q26" s="4">
        <f t="shared" si="65"/>
        <v>0</v>
      </c>
      <c r="R26" s="4">
        <f t="shared" si="65"/>
        <v>0</v>
      </c>
      <c r="S26" s="4">
        <f t="shared" si="65"/>
        <v>0</v>
      </c>
      <c r="T26" s="4">
        <f t="shared" si="65"/>
        <v>0</v>
      </c>
      <c r="U26" s="4">
        <f t="shared" si="65"/>
        <v>0</v>
      </c>
      <c r="V26" s="4">
        <f t="shared" si="65"/>
        <v>0</v>
      </c>
      <c r="Z26" s="4">
        <f>Z5/Y5-1</f>
        <v>3.169180525117099E-2</v>
      </c>
      <c r="AA26" s="4">
        <f t="shared" ref="AA26:AR26" si="66">AA5/Z5-1</f>
        <v>-2.4220588541558175E-2</v>
      </c>
      <c r="AB26" s="4">
        <f t="shared" si="66"/>
        <v>-1.8269518077432045E-2</v>
      </c>
      <c r="AC26" s="4">
        <f t="shared" si="66"/>
        <v>-3.7045088916909386E-2</v>
      </c>
      <c r="AD26" s="4">
        <f t="shared" si="66"/>
        <v>-2.3614936560256483E-2</v>
      </c>
      <c r="AE26" s="4">
        <f t="shared" si="66"/>
        <v>0</v>
      </c>
      <c r="AF26" s="4">
        <f t="shared" si="66"/>
        <v>0</v>
      </c>
      <c r="AG26" s="4">
        <f t="shared" si="66"/>
        <v>0</v>
      </c>
      <c r="AH26" s="4">
        <f t="shared" si="66"/>
        <v>0</v>
      </c>
      <c r="AI26" s="4">
        <f t="shared" si="66"/>
        <v>0</v>
      </c>
      <c r="AJ26" s="4">
        <f t="shared" si="66"/>
        <v>0</v>
      </c>
      <c r="AK26" s="4">
        <f t="shared" si="66"/>
        <v>0</v>
      </c>
      <c r="AL26" s="4">
        <f t="shared" si="66"/>
        <v>0</v>
      </c>
      <c r="AM26" s="4">
        <f t="shared" si="66"/>
        <v>0</v>
      </c>
      <c r="AN26" s="4">
        <f t="shared" si="66"/>
        <v>0</v>
      </c>
      <c r="AO26" s="4">
        <f t="shared" si="66"/>
        <v>0</v>
      </c>
      <c r="AP26" s="4">
        <f t="shared" si="66"/>
        <v>0</v>
      </c>
      <c r="AQ26" s="4">
        <f t="shared" si="66"/>
        <v>0</v>
      </c>
      <c r="AR26" s="4">
        <f t="shared" si="66"/>
        <v>0</v>
      </c>
      <c r="AU26" s="1" t="s">
        <v>67</v>
      </c>
      <c r="AV26" s="12">
        <f>AV24+AV25</f>
        <v>200507.23127204677</v>
      </c>
      <c r="AX26" s="14"/>
      <c r="AY26" s="14"/>
    </row>
    <row r="27" spans="2:764" x14ac:dyDescent="0.2">
      <c r="P27" s="2"/>
      <c r="T27" s="2"/>
      <c r="AU27" s="1" t="s">
        <v>68</v>
      </c>
      <c r="AV27" s="9">
        <f>AV26/Main!H3</f>
        <v>45.809282904283016</v>
      </c>
    </row>
    <row r="28" spans="2:764" x14ac:dyDescent="0.2">
      <c r="P28" s="2"/>
      <c r="T28" s="2"/>
      <c r="AU28" s="1" t="s">
        <v>69</v>
      </c>
      <c r="AV28" s="1">
        <v>41.73</v>
      </c>
    </row>
    <row r="29" spans="2:764" x14ac:dyDescent="0.2">
      <c r="B29" s="1" t="s">
        <v>62</v>
      </c>
      <c r="O29" s="2">
        <f>O30-O44</f>
        <v>4061</v>
      </c>
      <c r="P29" s="2">
        <f>P30-P44</f>
        <v>7427</v>
      </c>
      <c r="Q29" s="2">
        <f>P29+Q17</f>
        <v>8930</v>
      </c>
      <c r="R29" s="2">
        <f>Q29+R17</f>
        <v>10176</v>
      </c>
      <c r="S29" s="2">
        <f t="shared" ref="S29:V29" si="67">R29+S17</f>
        <v>11719.69</v>
      </c>
      <c r="T29" s="2">
        <f t="shared" si="67"/>
        <v>15234.400000000001</v>
      </c>
      <c r="U29" s="2">
        <f t="shared" si="67"/>
        <v>16793.170000000002</v>
      </c>
      <c r="V29" s="2">
        <f t="shared" si="67"/>
        <v>18089.710000000003</v>
      </c>
      <c r="AD29" s="2">
        <f>V29</f>
        <v>18089.710000000003</v>
      </c>
      <c r="AE29" s="2">
        <f>AD29+AE17</f>
        <v>26003.420000000002</v>
      </c>
      <c r="AF29" s="2">
        <f t="shared" ref="AF29:AR29" si="68">AE29+AF17</f>
        <v>33884.130000000005</v>
      </c>
      <c r="AG29" s="2">
        <f t="shared" si="68"/>
        <v>41764.840000000004</v>
      </c>
      <c r="AH29" s="2">
        <f t="shared" si="68"/>
        <v>49645.55</v>
      </c>
      <c r="AI29" s="2">
        <f t="shared" si="68"/>
        <v>57526.26</v>
      </c>
      <c r="AJ29" s="2">
        <f t="shared" si="68"/>
        <v>65406.97</v>
      </c>
      <c r="AK29" s="2">
        <f t="shared" si="68"/>
        <v>73287.679999999993</v>
      </c>
      <c r="AL29" s="2">
        <f t="shared" si="68"/>
        <v>81168.389999999985</v>
      </c>
      <c r="AM29" s="2">
        <f t="shared" si="68"/>
        <v>89049.099999999977</v>
      </c>
      <c r="AN29" s="2">
        <f t="shared" si="68"/>
        <v>96929.809999999969</v>
      </c>
      <c r="AO29" s="2">
        <f t="shared" si="68"/>
        <v>104810.51999999996</v>
      </c>
      <c r="AP29" s="2">
        <f t="shared" si="68"/>
        <v>112691.22999999995</v>
      </c>
      <c r="AQ29" s="2">
        <f t="shared" si="68"/>
        <v>120571.93999999994</v>
      </c>
      <c r="AR29" s="2">
        <f t="shared" si="68"/>
        <v>128452.64999999994</v>
      </c>
    </row>
    <row r="30" spans="2:764" x14ac:dyDescent="0.2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f>8748+10003+3460+12610+1186</f>
        <v>36007</v>
      </c>
      <c r="P30" s="2">
        <f>9647+11755+2673+16215+1284</f>
        <v>41574</v>
      </c>
      <c r="Q30" s="2"/>
      <c r="R30" s="2"/>
      <c r="AV30" s="4">
        <f>AV27/AV28-1</f>
        <v>9.7754203313755506E-2</v>
      </c>
    </row>
    <row r="31" spans="2:764" x14ac:dyDescent="0.2">
      <c r="B31" s="1" t="s">
        <v>23</v>
      </c>
      <c r="C31" s="2"/>
      <c r="D31" s="2"/>
      <c r="E31" s="2"/>
      <c r="F31" s="2"/>
      <c r="G31" s="2"/>
      <c r="J31" s="2"/>
      <c r="K31" s="2"/>
      <c r="L31" s="2"/>
      <c r="M31" s="2"/>
      <c r="N31" s="2"/>
      <c r="O31" s="2">
        <v>4147</v>
      </c>
      <c r="P31" s="2">
        <v>4768</v>
      </c>
      <c r="Q31" s="2"/>
      <c r="R31" s="2"/>
    </row>
    <row r="32" spans="2:764" x14ac:dyDescent="0.2">
      <c r="B32" s="1" t="s">
        <v>24</v>
      </c>
      <c r="C32" s="2"/>
      <c r="D32" s="2"/>
      <c r="E32" s="2"/>
      <c r="F32" s="2"/>
      <c r="G32" s="2"/>
      <c r="J32" s="2"/>
      <c r="K32" s="2"/>
      <c r="L32" s="2"/>
      <c r="M32" s="2"/>
      <c r="N32" s="2"/>
      <c r="O32" s="2">
        <v>3052</v>
      </c>
      <c r="P32" s="2">
        <v>3005</v>
      </c>
      <c r="Q32" s="2"/>
      <c r="R32" s="2"/>
    </row>
    <row r="33" spans="2:35" x14ac:dyDescent="0.2">
      <c r="B33" s="1" t="s">
        <v>25</v>
      </c>
      <c r="C33" s="2"/>
      <c r="D33" s="2"/>
      <c r="E33" s="2"/>
      <c r="F33" s="2"/>
      <c r="G33" s="2"/>
      <c r="J33" s="2"/>
      <c r="K33" s="2"/>
      <c r="L33" s="2"/>
      <c r="M33" s="2"/>
      <c r="N33" s="2"/>
      <c r="O33" s="2">
        <v>3314</v>
      </c>
      <c r="P33" s="2">
        <v>3332</v>
      </c>
      <c r="Q33" s="2"/>
      <c r="R33" s="2"/>
    </row>
    <row r="34" spans="2:35" x14ac:dyDescent="0.2">
      <c r="B34" s="1" t="s">
        <v>26</v>
      </c>
      <c r="C34" s="2"/>
      <c r="D34" s="2"/>
      <c r="E34" s="2"/>
      <c r="F34" s="2"/>
      <c r="G34" s="2"/>
      <c r="J34" s="2"/>
      <c r="K34" s="2"/>
      <c r="L34" s="2"/>
      <c r="M34" s="2"/>
      <c r="N34" s="2"/>
      <c r="O34" s="2">
        <v>3786</v>
      </c>
      <c r="P34" s="2">
        <v>693</v>
      </c>
      <c r="Q34" s="2"/>
      <c r="R34" s="2"/>
    </row>
    <row r="35" spans="2:35" x14ac:dyDescent="0.2">
      <c r="B35" s="1" t="s">
        <v>27</v>
      </c>
      <c r="C35" s="2"/>
      <c r="D35" s="2"/>
      <c r="E35" s="2"/>
      <c r="F35" s="2"/>
      <c r="G35" s="2"/>
      <c r="J35" s="2"/>
      <c r="K35" s="2"/>
      <c r="L35" s="2"/>
      <c r="M35" s="2"/>
      <c r="N35" s="2"/>
      <c r="O35" s="2">
        <v>4314</v>
      </c>
      <c r="P35" s="2">
        <v>4370</v>
      </c>
      <c r="Q35" s="2"/>
      <c r="R35" s="2"/>
      <c r="AI35" s="4"/>
    </row>
    <row r="36" spans="2:35" x14ac:dyDescent="0.2">
      <c r="B36" s="1" t="s">
        <v>28</v>
      </c>
      <c r="C36" s="2"/>
      <c r="D36" s="2"/>
      <c r="E36" s="2"/>
      <c r="F36" s="2"/>
      <c r="G36" s="2"/>
      <c r="J36" s="2"/>
      <c r="K36" s="2"/>
      <c r="L36" s="2"/>
      <c r="M36" s="2"/>
      <c r="N36" s="2"/>
      <c r="O36" s="2">
        <v>12613</v>
      </c>
      <c r="P36" s="2">
        <v>12663</v>
      </c>
      <c r="Q36" s="2"/>
      <c r="R36" s="2"/>
    </row>
    <row r="37" spans="2:35" x14ac:dyDescent="0.2">
      <c r="B37" s="1" t="s">
        <v>29</v>
      </c>
      <c r="C37" s="2"/>
      <c r="D37" s="2"/>
      <c r="E37" s="2"/>
      <c r="F37" s="2"/>
      <c r="G37" s="2"/>
      <c r="J37" s="2"/>
      <c r="K37" s="2"/>
      <c r="L37" s="2"/>
      <c r="M37" s="2"/>
      <c r="N37" s="2"/>
      <c r="O37" s="2">
        <v>6014</v>
      </c>
      <c r="P37" s="2">
        <v>6038</v>
      </c>
      <c r="Q37" s="2"/>
      <c r="R37" s="2"/>
      <c r="AI37" s="4"/>
    </row>
    <row r="38" spans="2:35" x14ac:dyDescent="0.2">
      <c r="B38" s="1" t="s">
        <v>30</v>
      </c>
      <c r="C38" s="2"/>
      <c r="D38" s="2"/>
      <c r="E38" s="2"/>
      <c r="F38" s="2"/>
      <c r="G38" s="2"/>
      <c r="J38" s="2"/>
      <c r="K38" s="2"/>
      <c r="L38" s="2"/>
      <c r="M38" s="2"/>
      <c r="N38" s="2"/>
      <c r="O38" s="2">
        <v>5714</v>
      </c>
      <c r="P38" s="2">
        <v>5616</v>
      </c>
      <c r="Q38" s="2"/>
      <c r="R38" s="2"/>
    </row>
    <row r="39" spans="2:35" x14ac:dyDescent="0.2">
      <c r="B39" s="1" t="s">
        <v>31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11396+906</f>
        <v>12302</v>
      </c>
      <c r="P39" s="2">
        <f>11204+831</f>
        <v>12035</v>
      </c>
      <c r="Q39" s="2"/>
      <c r="R39" s="2"/>
    </row>
    <row r="40" spans="2:35" x14ac:dyDescent="0.2">
      <c r="B40" s="1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f>SUM(O30:O39)</f>
        <v>91263</v>
      </c>
      <c r="P40" s="2">
        <f>SUM(P30:P39)</f>
        <v>94094</v>
      </c>
      <c r="Q40" s="2"/>
      <c r="R40" s="2"/>
    </row>
    <row r="41" spans="2:3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35" x14ac:dyDescent="0.2">
      <c r="B42" s="1" t="s">
        <v>32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9626</v>
      </c>
      <c r="P42" s="2">
        <v>10235</v>
      </c>
      <c r="Q42" s="2"/>
      <c r="R42" s="2"/>
    </row>
    <row r="43" spans="2:35" x14ac:dyDescent="0.2">
      <c r="B43" s="1" t="s">
        <v>33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14888</v>
      </c>
      <c r="P43" s="2">
        <v>13901</v>
      </c>
      <c r="Q43" s="2"/>
      <c r="R43" s="2"/>
    </row>
    <row r="44" spans="2:35" x14ac:dyDescent="0.2">
      <c r="B44" s="1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>4956+26990</f>
        <v>31946</v>
      </c>
      <c r="P44" s="2">
        <f>4895+29252</f>
        <v>34147</v>
      </c>
      <c r="Q44" s="2"/>
      <c r="R44" s="2"/>
    </row>
    <row r="45" spans="2:35" x14ac:dyDescent="0.2">
      <c r="B45" s="1" t="s">
        <v>37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275</v>
      </c>
      <c r="P45" s="2">
        <v>375</v>
      </c>
      <c r="Q45" s="2"/>
      <c r="R45" s="2"/>
    </row>
    <row r="46" spans="2:35" x14ac:dyDescent="0.2">
      <c r="B46" s="1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1242</v>
      </c>
      <c r="P46" s="2">
        <v>138</v>
      </c>
      <c r="Q46" s="2"/>
      <c r="R46" s="2"/>
    </row>
    <row r="47" spans="2:35" x14ac:dyDescent="0.2">
      <c r="B47" s="1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3820</v>
      </c>
      <c r="P47" s="2">
        <v>3963</v>
      </c>
      <c r="Q47" s="2"/>
      <c r="R47" s="2"/>
    </row>
    <row r="48" spans="2:35" x14ac:dyDescent="0.2">
      <c r="B48" s="1" t="s">
        <v>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4337</v>
      </c>
      <c r="P48" s="2">
        <v>4497</v>
      </c>
      <c r="Q48" s="2"/>
      <c r="R48" s="2"/>
    </row>
    <row r="49" spans="2:18" x14ac:dyDescent="0.2">
      <c r="B49" s="1" t="s">
        <v>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25129</v>
      </c>
      <c r="P49" s="2">
        <v>26838</v>
      </c>
      <c r="Q49" s="2"/>
      <c r="R49" s="2"/>
    </row>
    <row r="50" spans="2:18" x14ac:dyDescent="0.2">
      <c r="B50" s="1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f>SUM(O42:O49)</f>
        <v>91263</v>
      </c>
      <c r="P50" s="2">
        <f>SUM(P42:P49)</f>
        <v>94094</v>
      </c>
      <c r="Q50" s="2"/>
      <c r="R50" s="2"/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LOOK</cp:lastModifiedBy>
  <dcterms:created xsi:type="dcterms:W3CDTF">2016-10-10T06:00:42Z</dcterms:created>
  <dcterms:modified xsi:type="dcterms:W3CDTF">2016-10-16T04:47:08Z</dcterms:modified>
</cp:coreProperties>
</file>