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OOK\Desktop\stock-exchange-berkeley\investing spreadsheets\"/>
    </mc:Choice>
  </mc:AlternateContent>
  <bookViews>
    <workbookView xWindow="0" yWindow="465" windowWidth="24285" windowHeight="20535" activeTab="1"/>
  </bookViews>
  <sheets>
    <sheet name="Main" sheetId="1" r:id="rId1"/>
    <sheet name="Model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2" l="1"/>
  <c r="L23" i="2"/>
  <c r="M23" i="2"/>
  <c r="N19" i="2"/>
  <c r="N20" i="2"/>
  <c r="N21" i="2"/>
  <c r="N22" i="2"/>
  <c r="N23" i="2"/>
  <c r="AF23" i="2"/>
  <c r="O26" i="2"/>
  <c r="P26" i="2"/>
  <c r="Q26" i="2"/>
  <c r="R26" i="2"/>
  <c r="AG26" i="2"/>
  <c r="AH26" i="2"/>
  <c r="O27" i="2"/>
  <c r="P27" i="2"/>
  <c r="Q27" i="2"/>
  <c r="R27" i="2"/>
  <c r="AG27" i="2"/>
  <c r="AH27" i="2"/>
  <c r="O28" i="2"/>
  <c r="P28" i="2"/>
  <c r="Q28" i="2"/>
  <c r="R28" i="2"/>
  <c r="AG28" i="2"/>
  <c r="AH28" i="2"/>
  <c r="AH29" i="2"/>
  <c r="O23" i="2"/>
  <c r="P23" i="2"/>
  <c r="Q23" i="2"/>
  <c r="R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K4" i="1"/>
  <c r="K5" i="1"/>
  <c r="K6" i="1"/>
  <c r="K7" i="1"/>
  <c r="AZ37" i="2"/>
  <c r="AE25" i="2"/>
  <c r="AE29" i="2"/>
  <c r="AE30" i="2"/>
  <c r="AE32" i="2"/>
  <c r="AE34" i="2"/>
  <c r="AZ38" i="2"/>
  <c r="AZ40" i="2"/>
  <c r="AZ39" i="2"/>
  <c r="AE49" i="2"/>
  <c r="AE60" i="2"/>
  <c r="AE48" i="2"/>
  <c r="AF31" i="2"/>
  <c r="AF24" i="2"/>
  <c r="AF25" i="2"/>
  <c r="AF26" i="2"/>
  <c r="AF27" i="2"/>
  <c r="AF28" i="2"/>
  <c r="AF29" i="2"/>
  <c r="AF30" i="2"/>
  <c r="AF32" i="2"/>
  <c r="AF33" i="2"/>
  <c r="AF34" i="2"/>
  <c r="AF48" i="2"/>
  <c r="O31" i="2"/>
  <c r="P31" i="2"/>
  <c r="Q31" i="2"/>
  <c r="R31" i="2"/>
  <c r="AG31" i="2"/>
  <c r="O25" i="2"/>
  <c r="O24" i="2"/>
  <c r="P25" i="2"/>
  <c r="P24" i="2"/>
  <c r="Q25" i="2"/>
  <c r="Q24" i="2"/>
  <c r="R25" i="2"/>
  <c r="R24" i="2"/>
  <c r="AG24" i="2"/>
  <c r="AG25" i="2"/>
  <c r="AG29" i="2"/>
  <c r="AG30" i="2"/>
  <c r="AG32" i="2"/>
  <c r="O29" i="2"/>
  <c r="O30" i="2"/>
  <c r="O32" i="2"/>
  <c r="O33" i="2"/>
  <c r="P29" i="2"/>
  <c r="P30" i="2"/>
  <c r="P32" i="2"/>
  <c r="P33" i="2"/>
  <c r="Q29" i="2"/>
  <c r="Q30" i="2"/>
  <c r="Q32" i="2"/>
  <c r="Q33" i="2"/>
  <c r="R29" i="2"/>
  <c r="R30" i="2"/>
  <c r="R32" i="2"/>
  <c r="R33" i="2"/>
  <c r="AG33" i="2"/>
  <c r="AG34" i="2"/>
  <c r="AG48" i="2"/>
  <c r="AH31" i="2"/>
  <c r="AH25" i="2"/>
  <c r="AH30" i="2"/>
  <c r="AH32" i="2"/>
  <c r="AH33" i="2"/>
  <c r="AH34" i="2"/>
  <c r="AH48" i="2"/>
  <c r="AI31" i="2"/>
  <c r="AI25" i="2"/>
  <c r="AI26" i="2"/>
  <c r="AI27" i="2"/>
  <c r="AI28" i="2"/>
  <c r="AI29" i="2"/>
  <c r="AI30" i="2"/>
  <c r="AI32" i="2"/>
  <c r="AI33" i="2"/>
  <c r="AI34" i="2"/>
  <c r="AI48" i="2"/>
  <c r="AJ31" i="2"/>
  <c r="AJ25" i="2"/>
  <c r="AJ26" i="2"/>
  <c r="AJ27" i="2"/>
  <c r="AJ28" i="2"/>
  <c r="AJ29" i="2"/>
  <c r="AJ30" i="2"/>
  <c r="AJ32" i="2"/>
  <c r="AJ33" i="2"/>
  <c r="AJ34" i="2"/>
  <c r="AJ48" i="2"/>
  <c r="AK31" i="2"/>
  <c r="AK25" i="2"/>
  <c r="AK26" i="2"/>
  <c r="AK27" i="2"/>
  <c r="AK28" i="2"/>
  <c r="AK29" i="2"/>
  <c r="AK30" i="2"/>
  <c r="AK32" i="2"/>
  <c r="AK33" i="2"/>
  <c r="AK34" i="2"/>
  <c r="AK48" i="2"/>
  <c r="AL31" i="2"/>
  <c r="AL25" i="2"/>
  <c r="AL26" i="2"/>
  <c r="AL27" i="2"/>
  <c r="AL28" i="2"/>
  <c r="AL29" i="2"/>
  <c r="AL30" i="2"/>
  <c r="AL32" i="2"/>
  <c r="AL33" i="2"/>
  <c r="AL34" i="2"/>
  <c r="AL48" i="2"/>
  <c r="AM31" i="2"/>
  <c r="AM25" i="2"/>
  <c r="AM26" i="2"/>
  <c r="AM27" i="2"/>
  <c r="AM28" i="2"/>
  <c r="AM29" i="2"/>
  <c r="AM30" i="2"/>
  <c r="AM32" i="2"/>
  <c r="AM33" i="2"/>
  <c r="AM34" i="2"/>
  <c r="AM48" i="2"/>
  <c r="AN31" i="2"/>
  <c r="AN25" i="2"/>
  <c r="AN26" i="2"/>
  <c r="AN27" i="2"/>
  <c r="AN28" i="2"/>
  <c r="AN29" i="2"/>
  <c r="AN30" i="2"/>
  <c r="AN32" i="2"/>
  <c r="AN33" i="2"/>
  <c r="AN34" i="2"/>
  <c r="AN48" i="2"/>
  <c r="AO31" i="2"/>
  <c r="AO25" i="2"/>
  <c r="AO26" i="2"/>
  <c r="AO27" i="2"/>
  <c r="AO28" i="2"/>
  <c r="AO29" i="2"/>
  <c r="AO30" i="2"/>
  <c r="AO32" i="2"/>
  <c r="AO33" i="2"/>
  <c r="AO34" i="2"/>
  <c r="AO48" i="2"/>
  <c r="AP31" i="2"/>
  <c r="AP25" i="2"/>
  <c r="AP26" i="2"/>
  <c r="AP27" i="2"/>
  <c r="AP28" i="2"/>
  <c r="AP29" i="2"/>
  <c r="AP30" i="2"/>
  <c r="AP32" i="2"/>
  <c r="AP33" i="2"/>
  <c r="AP34" i="2"/>
  <c r="AP48" i="2"/>
  <c r="AQ31" i="2"/>
  <c r="AQ25" i="2"/>
  <c r="AQ26" i="2"/>
  <c r="AQ27" i="2"/>
  <c r="AQ28" i="2"/>
  <c r="AQ29" i="2"/>
  <c r="AQ30" i="2"/>
  <c r="AQ32" i="2"/>
  <c r="AQ33" i="2"/>
  <c r="AQ34" i="2"/>
  <c r="AQ48" i="2"/>
  <c r="AR31" i="2"/>
  <c r="AR25" i="2"/>
  <c r="AR26" i="2"/>
  <c r="AR27" i="2"/>
  <c r="AR28" i="2"/>
  <c r="AR29" i="2"/>
  <c r="AR30" i="2"/>
  <c r="AR32" i="2"/>
  <c r="AR33" i="2"/>
  <c r="AR34" i="2"/>
  <c r="AR48" i="2"/>
  <c r="AS31" i="2"/>
  <c r="AS25" i="2"/>
  <c r="AS26" i="2"/>
  <c r="AS27" i="2"/>
  <c r="AS28" i="2"/>
  <c r="AS29" i="2"/>
  <c r="AS30" i="2"/>
  <c r="AS32" i="2"/>
  <c r="AS33" i="2"/>
  <c r="AS34" i="2"/>
  <c r="AS48" i="2"/>
  <c r="AT31" i="2"/>
  <c r="AT25" i="2"/>
  <c r="AT26" i="2"/>
  <c r="AT27" i="2"/>
  <c r="AT28" i="2"/>
  <c r="AT29" i="2"/>
  <c r="AT30" i="2"/>
  <c r="AT32" i="2"/>
  <c r="AT33" i="2"/>
  <c r="AT3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25" i="2"/>
  <c r="AD29" i="2"/>
  <c r="AD30" i="2"/>
  <c r="AD32" i="2"/>
  <c r="AD34" i="2"/>
  <c r="AD44" i="2"/>
  <c r="AC25" i="2"/>
  <c r="AC29" i="2"/>
  <c r="AC30" i="2"/>
  <c r="AC32" i="2"/>
  <c r="AC34" i="2"/>
  <c r="AC44" i="2"/>
  <c r="AB25" i="2"/>
  <c r="AB29" i="2"/>
  <c r="AB30" i="2"/>
  <c r="AB32" i="2"/>
  <c r="AB34" i="2"/>
  <c r="AB44" i="2"/>
  <c r="AA25" i="2"/>
  <c r="AA29" i="2"/>
  <c r="AA30" i="2"/>
  <c r="AA32" i="2"/>
  <c r="AA34" i="2"/>
  <c r="AA44" i="2"/>
  <c r="Z25" i="2"/>
  <c r="Z29" i="2"/>
  <c r="Z30" i="2"/>
  <c r="Z32" i="2"/>
  <c r="Z34" i="2"/>
  <c r="Z44" i="2"/>
  <c r="Y25" i="2"/>
  <c r="Y29" i="2"/>
  <c r="Y30" i="2"/>
  <c r="Y32" i="2"/>
  <c r="Y34" i="2"/>
  <c r="Y44" i="2"/>
  <c r="X25" i="2"/>
  <c r="X29" i="2"/>
  <c r="X30" i="2"/>
  <c r="X32" i="2"/>
  <c r="X34" i="2"/>
  <c r="X44" i="2"/>
  <c r="W25" i="2"/>
  <c r="W29" i="2"/>
  <c r="W30" i="2"/>
  <c r="W32" i="2"/>
  <c r="W34" i="2"/>
  <c r="W44" i="2"/>
  <c r="V25" i="2"/>
  <c r="V29" i="2"/>
  <c r="V30" i="2"/>
  <c r="V32" i="2"/>
  <c r="V34" i="2"/>
  <c r="V44" i="2"/>
  <c r="R34" i="2"/>
  <c r="R44" i="2"/>
  <c r="Q34" i="2"/>
  <c r="Q44" i="2"/>
  <c r="P34" i="2"/>
  <c r="P44" i="2"/>
  <c r="O34" i="2"/>
  <c r="O44" i="2"/>
  <c r="N25" i="2"/>
  <c r="N29" i="2"/>
  <c r="N30" i="2"/>
  <c r="N32" i="2"/>
  <c r="N34" i="2"/>
  <c r="N44" i="2"/>
  <c r="M25" i="2"/>
  <c r="M29" i="2"/>
  <c r="M30" i="2"/>
  <c r="M32" i="2"/>
  <c r="M34" i="2"/>
  <c r="M44" i="2"/>
  <c r="L25" i="2"/>
  <c r="L29" i="2"/>
  <c r="L30" i="2"/>
  <c r="L32" i="2"/>
  <c r="L34" i="2"/>
  <c r="L44" i="2"/>
  <c r="K25" i="2"/>
  <c r="K29" i="2"/>
  <c r="K30" i="2"/>
  <c r="K32" i="2"/>
  <c r="K34" i="2"/>
  <c r="K44" i="2"/>
  <c r="J25" i="2"/>
  <c r="J29" i="2"/>
  <c r="J30" i="2"/>
  <c r="J32" i="2"/>
  <c r="J34" i="2"/>
  <c r="J44" i="2"/>
  <c r="I23" i="2"/>
  <c r="I25" i="2"/>
  <c r="I29" i="2"/>
  <c r="I30" i="2"/>
  <c r="I32" i="2"/>
  <c r="I34" i="2"/>
  <c r="I44" i="2"/>
  <c r="H23" i="2"/>
  <c r="H25" i="2"/>
  <c r="H29" i="2"/>
  <c r="H30" i="2"/>
  <c r="H32" i="2"/>
  <c r="H34" i="2"/>
  <c r="H44" i="2"/>
  <c r="G23" i="2"/>
  <c r="G25" i="2"/>
  <c r="G29" i="2"/>
  <c r="G30" i="2"/>
  <c r="G32" i="2"/>
  <c r="G34" i="2"/>
  <c r="G44" i="2"/>
  <c r="F25" i="2"/>
  <c r="F29" i="2"/>
  <c r="F30" i="2"/>
  <c r="F32" i="2"/>
  <c r="F34" i="2"/>
  <c r="F44" i="2"/>
  <c r="E25" i="2"/>
  <c r="E29" i="2"/>
  <c r="E30" i="2"/>
  <c r="E32" i="2"/>
  <c r="E34" i="2"/>
  <c r="E44" i="2"/>
  <c r="D25" i="2"/>
  <c r="D29" i="2"/>
  <c r="D30" i="2"/>
  <c r="D32" i="2"/>
  <c r="D34" i="2"/>
  <c r="D44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C5" i="1"/>
  <c r="C4" i="1"/>
  <c r="C3" i="1"/>
  <c r="N97" i="2"/>
  <c r="N79" i="2"/>
  <c r="N65" i="2"/>
  <c r="N63" i="2"/>
  <c r="N60" i="2"/>
  <c r="N49" i="2"/>
  <c r="N55" i="2"/>
  <c r="N87" i="2"/>
  <c r="N90" i="2"/>
  <c r="N71" i="2"/>
  <c r="N57" i="2"/>
  <c r="N48" i="2"/>
  <c r="N35" i="2"/>
  <c r="M97" i="2"/>
  <c r="M79" i="2"/>
  <c r="M87" i="2"/>
  <c r="M90" i="2"/>
  <c r="M71" i="2"/>
  <c r="C25" i="2"/>
  <c r="C29" i="2"/>
  <c r="C30" i="2"/>
  <c r="C32" i="2"/>
  <c r="C34" i="2"/>
  <c r="C35" i="2"/>
  <c r="D45" i="2"/>
  <c r="D43" i="2"/>
  <c r="D42" i="2"/>
  <c r="H39" i="2"/>
  <c r="D35" i="2"/>
  <c r="AW46" i="2"/>
  <c r="V39" i="2"/>
  <c r="U39" i="2"/>
  <c r="AE1" i="2"/>
  <c r="AD1" i="2"/>
  <c r="AC1" i="2"/>
  <c r="AB1" i="2"/>
  <c r="AA1" i="2"/>
  <c r="Z1" i="2"/>
  <c r="Y1" i="2"/>
  <c r="X1" i="2"/>
  <c r="W1" i="2"/>
  <c r="V1" i="2"/>
  <c r="U1" i="2"/>
  <c r="T1" i="2"/>
  <c r="AE2" i="2"/>
  <c r="AD2" i="2"/>
  <c r="AC2" i="2"/>
  <c r="AB2" i="2"/>
  <c r="AA2" i="2"/>
  <c r="Z2" i="2"/>
  <c r="Y2" i="2"/>
  <c r="X2" i="2"/>
  <c r="W2" i="2"/>
  <c r="V2" i="2"/>
  <c r="U2" i="2"/>
  <c r="T2" i="2"/>
  <c r="V43" i="2"/>
  <c r="V42" i="2"/>
  <c r="W39" i="2"/>
  <c r="W43" i="2"/>
  <c r="W42" i="2"/>
  <c r="X39" i="2"/>
  <c r="X43" i="2"/>
  <c r="X42" i="2"/>
  <c r="Y39" i="2"/>
  <c r="Y43" i="2"/>
  <c r="Y42" i="2"/>
  <c r="Z39" i="2"/>
  <c r="Z43" i="2"/>
  <c r="Z42" i="2"/>
  <c r="AA39" i="2"/>
  <c r="AA43" i="2"/>
  <c r="AA42" i="2"/>
  <c r="AB39" i="2"/>
  <c r="AB43" i="2"/>
  <c r="AB42" i="2"/>
  <c r="AC39" i="2"/>
  <c r="AE63" i="2"/>
  <c r="AE69" i="2"/>
  <c r="AE55" i="2"/>
  <c r="AE57" i="2"/>
  <c r="AF39" i="2"/>
  <c r="AE39" i="2"/>
  <c r="AD39" i="2"/>
  <c r="AE43" i="2"/>
  <c r="AD43" i="2"/>
  <c r="AC43" i="2"/>
  <c r="AE42" i="2"/>
  <c r="AD42" i="2"/>
  <c r="AC42" i="2"/>
  <c r="V35" i="2"/>
  <c r="W35" i="2"/>
  <c r="X35" i="2"/>
  <c r="Y35" i="2"/>
  <c r="Z35" i="2"/>
  <c r="AA35" i="2"/>
  <c r="AB35" i="2"/>
  <c r="AC35" i="2"/>
  <c r="AD35" i="2"/>
  <c r="AE35" i="2"/>
  <c r="M49" i="2"/>
  <c r="M60" i="2"/>
  <c r="M48" i="2"/>
  <c r="L49" i="2"/>
  <c r="L60" i="2"/>
  <c r="L48" i="2"/>
  <c r="K49" i="2"/>
  <c r="K60" i="2"/>
  <c r="K48" i="2"/>
  <c r="M63" i="2"/>
  <c r="M69" i="2"/>
  <c r="M55" i="2"/>
  <c r="M57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P39" i="2"/>
  <c r="O36" i="2"/>
  <c r="P36" i="2"/>
  <c r="Q36" i="2"/>
  <c r="R36" i="2"/>
  <c r="O42" i="2"/>
  <c r="O39" i="2"/>
  <c r="AF36" i="2"/>
  <c r="N39" i="2"/>
  <c r="P42" i="2"/>
  <c r="O43" i="2"/>
  <c r="M39" i="2"/>
  <c r="M42" i="2"/>
  <c r="N42" i="2"/>
  <c r="AG36" i="2"/>
  <c r="AH36" i="2"/>
  <c r="AI36" i="2"/>
  <c r="AJ36" i="2"/>
  <c r="R42" i="2"/>
  <c r="R39" i="2"/>
  <c r="K16" i="2"/>
  <c r="K15" i="2"/>
  <c r="K14" i="2"/>
  <c r="K13" i="2"/>
  <c r="K12" i="2"/>
  <c r="K11" i="2"/>
  <c r="R43" i="2"/>
  <c r="AG39" i="2"/>
  <c r="Q42" i="2"/>
  <c r="Q39" i="2"/>
  <c r="R45" i="2"/>
  <c r="AF42" i="2"/>
  <c r="M43" i="2"/>
  <c r="AK36" i="2"/>
  <c r="P45" i="2"/>
  <c r="L39" i="2"/>
  <c r="L97" i="2"/>
  <c r="K97" i="2"/>
  <c r="J97" i="2"/>
  <c r="I97" i="2"/>
  <c r="I79" i="2"/>
  <c r="I87" i="2"/>
  <c r="I90" i="2"/>
  <c r="I63" i="2"/>
  <c r="I60" i="2"/>
  <c r="I69" i="2"/>
  <c r="I55" i="2"/>
  <c r="I49" i="2"/>
  <c r="E42" i="2"/>
  <c r="I39" i="2"/>
  <c r="I42" i="2"/>
  <c r="J79" i="2"/>
  <c r="J87" i="2"/>
  <c r="J90" i="2"/>
  <c r="J63" i="2"/>
  <c r="J60" i="2"/>
  <c r="J55" i="2"/>
  <c r="J49" i="2"/>
  <c r="F42" i="2"/>
  <c r="J39" i="2"/>
  <c r="J42" i="2"/>
  <c r="L79" i="2"/>
  <c r="L87" i="2"/>
  <c r="L90" i="2"/>
  <c r="K79" i="2"/>
  <c r="K87" i="2"/>
  <c r="K90" i="2"/>
  <c r="K63" i="2"/>
  <c r="K69" i="2"/>
  <c r="K55" i="2"/>
  <c r="K39" i="2"/>
  <c r="K42" i="2"/>
  <c r="L63" i="2"/>
  <c r="L55" i="2"/>
  <c r="L57" i="2"/>
  <c r="H42" i="2"/>
  <c r="P43" i="2"/>
  <c r="P35" i="2"/>
  <c r="M45" i="2"/>
  <c r="O45" i="2"/>
  <c r="N43" i="2"/>
  <c r="L69" i="2"/>
  <c r="J57" i="2"/>
  <c r="AG42" i="2"/>
  <c r="AH39" i="2"/>
  <c r="Q43" i="2"/>
  <c r="O35" i="2"/>
  <c r="AL36" i="2"/>
  <c r="R35" i="2"/>
  <c r="L92" i="2"/>
  <c r="K57" i="2"/>
  <c r="J69" i="2"/>
  <c r="I57" i="2"/>
  <c r="I48" i="2"/>
  <c r="J48" i="2"/>
  <c r="G42" i="2"/>
  <c r="G43" i="2"/>
  <c r="L43" i="2"/>
  <c r="L42" i="2"/>
  <c r="AW41" i="2"/>
  <c r="M35" i="2"/>
  <c r="Q35" i="2"/>
  <c r="AH24" i="2"/>
  <c r="AH42" i="2"/>
  <c r="AI24" i="2"/>
  <c r="AI39" i="2"/>
  <c r="AF43" i="2"/>
  <c r="AM36" i="2"/>
  <c r="E43" i="2"/>
  <c r="J43" i="2"/>
  <c r="I43" i="2"/>
  <c r="F43" i="2"/>
  <c r="G45" i="2"/>
  <c r="G35" i="2"/>
  <c r="K43" i="2"/>
  <c r="H43" i="2"/>
  <c r="L45" i="2"/>
  <c r="AJ39" i="2"/>
  <c r="AJ24" i="2"/>
  <c r="Q45" i="2"/>
  <c r="AI42" i="2"/>
  <c r="N45" i="2"/>
  <c r="AG35" i="2"/>
  <c r="AG43" i="2"/>
  <c r="AN36" i="2"/>
  <c r="L35" i="2"/>
  <c r="L71" i="2"/>
  <c r="J45" i="2"/>
  <c r="E35" i="2"/>
  <c r="E45" i="2"/>
  <c r="I45" i="2"/>
  <c r="F45" i="2"/>
  <c r="F35" i="2"/>
  <c r="K45" i="2"/>
  <c r="H35" i="2"/>
  <c r="H45" i="2"/>
  <c r="AF35" i="2"/>
  <c r="AJ42" i="2"/>
  <c r="AK39" i="2"/>
  <c r="AK24" i="2"/>
  <c r="O48" i="2"/>
  <c r="P48" i="2"/>
  <c r="Q48" i="2"/>
  <c r="R48" i="2"/>
  <c r="AO36" i="2"/>
  <c r="I35" i="2"/>
  <c r="I71" i="2"/>
  <c r="K35" i="2"/>
  <c r="K71" i="2"/>
  <c r="J35" i="2"/>
  <c r="J71" i="2"/>
  <c r="AH35" i="2"/>
  <c r="AK42" i="2"/>
  <c r="AL39" i="2"/>
  <c r="AP36" i="2"/>
  <c r="L93" i="2"/>
  <c r="AL24" i="2"/>
  <c r="AL42" i="2"/>
  <c r="AM24" i="2"/>
  <c r="AM39" i="2"/>
  <c r="AQ36" i="2"/>
  <c r="AI35" i="2"/>
  <c r="AM42" i="2"/>
  <c r="AN39" i="2"/>
  <c r="AR36" i="2"/>
  <c r="AN24" i="2"/>
  <c r="AN42" i="2"/>
  <c r="AO24" i="2"/>
  <c r="AO39" i="2"/>
  <c r="AS36" i="2"/>
  <c r="AJ35" i="2"/>
  <c r="AO42" i="2"/>
  <c r="AP39" i="2"/>
  <c r="AT36" i="2"/>
  <c r="AP42" i="2"/>
  <c r="AP24" i="2"/>
  <c r="AQ39" i="2"/>
  <c r="AK35" i="2"/>
  <c r="AQ24" i="2"/>
  <c r="AQ42" i="2"/>
  <c r="AR24" i="2"/>
  <c r="AR39" i="2"/>
  <c r="AS39" i="2"/>
  <c r="AR42" i="2"/>
  <c r="AL35" i="2"/>
  <c r="AS42" i="2"/>
  <c r="AS24" i="2"/>
  <c r="AT39" i="2"/>
  <c r="AT24" i="2"/>
  <c r="AT42" i="2"/>
  <c r="AM35" i="2"/>
  <c r="AN35" i="2"/>
  <c r="AO35" i="2"/>
  <c r="AP35" i="2"/>
  <c r="AQ35" i="2"/>
  <c r="AR35" i="2"/>
  <c r="AS35" i="2"/>
  <c r="AU34" i="2"/>
  <c r="AT35" i="2"/>
  <c r="AT48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AW40" i="2"/>
  <c r="AW42" i="2"/>
  <c r="AW45" i="2"/>
  <c r="AW48" i="2"/>
  <c r="N69" i="2"/>
</calcChain>
</file>

<file path=xl/comments1.xml><?xml version="1.0" encoding="utf-8"?>
<comments xmlns="http://schemas.openxmlformats.org/spreadsheetml/2006/main">
  <authors>
    <author>Martin Shkreli</author>
  </authors>
  <commentList>
    <comment ref="K21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-13% constant currency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Martin Shkreli:</t>
        </r>
        <r>
          <rPr>
            <sz val="9"/>
            <color indexed="81"/>
            <rFont val="Tahoma"/>
            <family val="2"/>
          </rPr>
          <t xml:space="preserve">
Revenue deferrals of 1,545m</t>
        </r>
      </text>
    </comment>
  </commentList>
</comments>
</file>

<file path=xl/sharedStrings.xml><?xml version="1.0" encoding="utf-8"?>
<sst xmlns="http://schemas.openxmlformats.org/spreadsheetml/2006/main" count="137" uniqueCount="118">
  <si>
    <t>Price</t>
  </si>
  <si>
    <t>Shares</t>
  </si>
  <si>
    <t>MC</t>
  </si>
  <si>
    <t>Cash</t>
  </si>
  <si>
    <t>Debt</t>
  </si>
  <si>
    <t>EV</t>
  </si>
  <si>
    <t>Q415</t>
  </si>
  <si>
    <t>Revenue</t>
  </si>
  <si>
    <t>Q114</t>
  </si>
  <si>
    <t>Q214</t>
  </si>
  <si>
    <t>Q314</t>
  </si>
  <si>
    <t>Q414</t>
  </si>
  <si>
    <t>Q115</t>
  </si>
  <si>
    <t>Q215</t>
  </si>
  <si>
    <t>Q315</t>
  </si>
  <si>
    <t>Q116</t>
  </si>
  <si>
    <t>Q216</t>
  </si>
  <si>
    <t>Q316</t>
  </si>
  <si>
    <t>Q416</t>
  </si>
  <si>
    <t>Gross Margin</t>
  </si>
  <si>
    <t>Gross Profit</t>
  </si>
  <si>
    <t>COGS</t>
  </si>
  <si>
    <t>G&amp;A</t>
  </si>
  <si>
    <t>S&amp;M</t>
  </si>
  <si>
    <t>R&amp;D</t>
  </si>
  <si>
    <t>Operating Expenses</t>
  </si>
  <si>
    <t>Operating Income</t>
  </si>
  <si>
    <t>Operating Margin</t>
  </si>
  <si>
    <t>EPS</t>
  </si>
  <si>
    <t>Net Income</t>
  </si>
  <si>
    <t>Taxes</t>
  </si>
  <si>
    <t>Pretax Income</t>
  </si>
  <si>
    <t>Interest Income</t>
  </si>
  <si>
    <t>Tax Rate</t>
  </si>
  <si>
    <t>Revenue y/y</t>
  </si>
  <si>
    <t>Net Cash</t>
  </si>
  <si>
    <t>A/R</t>
  </si>
  <si>
    <t>Inventories</t>
  </si>
  <si>
    <t>D/T</t>
  </si>
  <si>
    <t>Other</t>
  </si>
  <si>
    <t>PP&amp;E</t>
  </si>
  <si>
    <t>Goodwill</t>
  </si>
  <si>
    <t>OLTA</t>
  </si>
  <si>
    <t>S+L/E</t>
  </si>
  <si>
    <t>OLTL</t>
  </si>
  <si>
    <t>OSTL</t>
  </si>
  <si>
    <t>Securities Lending</t>
  </si>
  <si>
    <t>D/R</t>
  </si>
  <si>
    <t>Compensation</t>
  </si>
  <si>
    <t>A/P</t>
  </si>
  <si>
    <t>S/E</t>
  </si>
  <si>
    <t>Model NI</t>
  </si>
  <si>
    <t>Reported NI</t>
  </si>
  <si>
    <t>D&amp;A</t>
  </si>
  <si>
    <t>SBC</t>
  </si>
  <si>
    <t>Excess tax SBC</t>
  </si>
  <si>
    <t>Investments</t>
  </si>
  <si>
    <t>CFFO</t>
  </si>
  <si>
    <t>OCL</t>
  </si>
  <si>
    <t>OCA</t>
  </si>
  <si>
    <t>Impairments</t>
  </si>
  <si>
    <t>Assets</t>
  </si>
  <si>
    <t>CapEx</t>
  </si>
  <si>
    <t>FCF</t>
  </si>
  <si>
    <t>Acquisitions</t>
  </si>
  <si>
    <t>Buybacks</t>
  </si>
  <si>
    <t>Dividends</t>
  </si>
  <si>
    <t>12M FCF</t>
  </si>
  <si>
    <t>12M NI</t>
  </si>
  <si>
    <t>LC y/y</t>
  </si>
  <si>
    <t>W10 IB</t>
  </si>
  <si>
    <t>Q117</t>
  </si>
  <si>
    <t>Q217</t>
  </si>
  <si>
    <t>Q317</t>
  </si>
  <si>
    <t>Q417</t>
  </si>
  <si>
    <t>Office 365</t>
  </si>
  <si>
    <t>Productivity &amp; Business Processes</t>
  </si>
  <si>
    <t>Segment</t>
  </si>
  <si>
    <t>% of Revenue</t>
  </si>
  <si>
    <t>Contains</t>
  </si>
  <si>
    <t>Intelligent Cloud</t>
  </si>
  <si>
    <t>Azure, Server Products, Cloud Services</t>
  </si>
  <si>
    <t>More Personal Computing</t>
  </si>
  <si>
    <t>Growth</t>
  </si>
  <si>
    <t>Xbox Live</t>
  </si>
  <si>
    <t>Windows, Xbox, Surface, Phones</t>
  </si>
  <si>
    <t>Office, Office 365, Dynamics</t>
  </si>
  <si>
    <t>Competition</t>
  </si>
  <si>
    <t>Amazon</t>
  </si>
  <si>
    <t>Google, Oracle, SAP</t>
  </si>
  <si>
    <t>Apple, Sony, Samsung</t>
  </si>
  <si>
    <t>Productivity</t>
  </si>
  <si>
    <t>Cloud</t>
  </si>
  <si>
    <t>PC</t>
  </si>
  <si>
    <t>Corporate</t>
  </si>
  <si>
    <t>Devices and Consumer Licensing</t>
  </si>
  <si>
    <t>Computing and Gaming Hardware</t>
  </si>
  <si>
    <t>Phone</t>
  </si>
  <si>
    <t>Devices &amp; Consumer Other</t>
  </si>
  <si>
    <t>Commercial Licensing</t>
  </si>
  <si>
    <t>Commercial Other</t>
  </si>
  <si>
    <t>EUR</t>
  </si>
  <si>
    <t>ROIC</t>
  </si>
  <si>
    <t>Discount</t>
  </si>
  <si>
    <t>NPV</t>
  </si>
  <si>
    <t>Maturity</t>
  </si>
  <si>
    <t>Client</t>
  </si>
  <si>
    <t>Server and Tools</t>
  </si>
  <si>
    <t>Online</t>
  </si>
  <si>
    <t>Business</t>
  </si>
  <si>
    <t>Entertainment</t>
  </si>
  <si>
    <t>Net</t>
  </si>
  <si>
    <t>Share</t>
  </si>
  <si>
    <t>Current</t>
  </si>
  <si>
    <t>Net Margin</t>
  </si>
  <si>
    <t>EV/E</t>
  </si>
  <si>
    <t>E 2016</t>
  </si>
  <si>
    <t>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</si>
</sst>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&quot;x&quot;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1" fillId="0" borderId="0" xfId="0" applyNumberFormat="1" applyFont="1"/>
    <xf numFmtId="4" fontId="1" fillId="0" borderId="0" xfId="0" applyNumberFormat="1" applyFont="1"/>
    <xf numFmtId="9" fontId="0" fillId="0" borderId="0" xfId="0" applyNumberFormat="1" applyFont="1" applyAlignment="1">
      <alignment horizontal="right"/>
    </xf>
    <xf numFmtId="4" fontId="0" fillId="0" borderId="0" xfId="0" applyNumberFormat="1" applyFont="1"/>
    <xf numFmtId="0" fontId="0" fillId="0" borderId="0" xfId="0" applyFont="1"/>
    <xf numFmtId="14" fontId="6" fillId="0" borderId="0" xfId="0" applyNumberFormat="1" applyFont="1"/>
    <xf numFmtId="14" fontId="0" fillId="0" borderId="0" xfId="0" applyNumberFormat="1" applyFont="1" applyAlignment="1">
      <alignment horizontal="right"/>
    </xf>
    <xf numFmtId="14" fontId="0" fillId="0" borderId="0" xfId="0" applyNumberFormat="1" applyFont="1"/>
    <xf numFmtId="0" fontId="0" fillId="0" borderId="0" xfId="0" applyFont="1" applyAlignment="1">
      <alignment horizontal="right"/>
    </xf>
    <xf numFmtId="4" fontId="0" fillId="0" borderId="0" xfId="0" applyNumberFormat="1" applyFont="1" applyAlignment="1">
      <alignment horizontal="right"/>
    </xf>
    <xf numFmtId="164" fontId="0" fillId="0" borderId="0" xfId="0" applyNumberFormat="1" applyFont="1"/>
    <xf numFmtId="9" fontId="0" fillId="0" borderId="0" xfId="0" applyNumberFormat="1" applyFont="1"/>
    <xf numFmtId="165" fontId="0" fillId="0" borderId="0" xfId="0" applyNumberFormat="1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0</xdr:rowOff>
    </xdr:from>
    <xdr:to>
      <xdr:col>14</xdr:col>
      <xdr:colOff>38100</xdr:colOff>
      <xdr:row>98</xdr:row>
      <xdr:rowOff>0</xdr:rowOff>
    </xdr:to>
    <xdr:cxnSp macro="">
      <xdr:nvCxnSpPr>
        <xdr:cNvPr id="3" name="Straight Connector 2"/>
        <xdr:cNvCxnSpPr/>
      </xdr:nvCxnSpPr>
      <xdr:spPr>
        <a:xfrm>
          <a:off x="10391775" y="0"/>
          <a:ext cx="0" cy="1572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40017</xdr:colOff>
      <xdr:row>0</xdr:row>
      <xdr:rowOff>13243</xdr:rowOff>
    </xdr:from>
    <xdr:to>
      <xdr:col>32</xdr:col>
      <xdr:colOff>40017</xdr:colOff>
      <xdr:row>98</xdr:row>
      <xdr:rowOff>13243</xdr:rowOff>
    </xdr:to>
    <xdr:cxnSp macro="">
      <xdr:nvCxnSpPr>
        <xdr:cNvPr id="4" name="Straight Connector 3"/>
        <xdr:cNvCxnSpPr/>
      </xdr:nvCxnSpPr>
      <xdr:spPr>
        <a:xfrm>
          <a:off x="24055603" y="13243"/>
          <a:ext cx="0" cy="15697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zoomScale="125" zoomScaleNormal="125" zoomScalePageLayoutView="125" workbookViewId="0">
      <selection activeCell="C33" sqref="C33"/>
    </sheetView>
  </sheetViews>
  <sheetFormatPr defaultColWidth="8.85546875" defaultRowHeight="12.75" x14ac:dyDescent="0.2"/>
  <cols>
    <col min="1" max="1" width="3.42578125" customWidth="1"/>
    <col min="2" max="2" width="30.85546875" bestFit="1" customWidth="1"/>
    <col min="3" max="3" width="12.28515625" bestFit="1" customWidth="1"/>
    <col min="4" max="4" width="34.42578125" bestFit="1" customWidth="1"/>
    <col min="6" max="6" width="22" customWidth="1"/>
    <col min="11" max="11" width="11" bestFit="1" customWidth="1"/>
  </cols>
  <sheetData>
    <row r="2" spans="2:12" x14ac:dyDescent="0.2">
      <c r="B2" s="14" t="s">
        <v>77</v>
      </c>
      <c r="C2" s="15" t="s">
        <v>78</v>
      </c>
      <c r="D2" s="15" t="s">
        <v>79</v>
      </c>
      <c r="E2" s="15" t="s">
        <v>83</v>
      </c>
      <c r="F2" s="15" t="s">
        <v>87</v>
      </c>
      <c r="G2" s="16"/>
      <c r="J2" t="s">
        <v>0</v>
      </c>
      <c r="K2" s="1">
        <v>56.53</v>
      </c>
    </row>
    <row r="3" spans="2:12" x14ac:dyDescent="0.2">
      <c r="B3" s="12" t="s">
        <v>76</v>
      </c>
      <c r="C3" s="17">
        <f>7/22.6</f>
        <v>0.30973451327433627</v>
      </c>
      <c r="D3" s="18" t="s">
        <v>86</v>
      </c>
      <c r="E3" s="17">
        <v>0.05</v>
      </c>
      <c r="F3" s="18" t="s">
        <v>89</v>
      </c>
      <c r="G3" s="19"/>
      <c r="J3" t="s">
        <v>1</v>
      </c>
      <c r="K3" s="2">
        <v>7842</v>
      </c>
      <c r="L3" s="3" t="s">
        <v>18</v>
      </c>
    </row>
    <row r="4" spans="2:12" x14ac:dyDescent="0.2">
      <c r="B4" s="12" t="s">
        <v>80</v>
      </c>
      <c r="C4" s="17">
        <f>6.7/22.6</f>
        <v>0.29646017699115046</v>
      </c>
      <c r="D4" s="18" t="s">
        <v>81</v>
      </c>
      <c r="E4" s="17">
        <v>7.0000000000000007E-2</v>
      </c>
      <c r="F4" s="18" t="s">
        <v>88</v>
      </c>
      <c r="G4" s="19"/>
      <c r="J4" t="s">
        <v>2</v>
      </c>
      <c r="K4" s="2">
        <f>+K3*K2</f>
        <v>443308.26</v>
      </c>
      <c r="L4" s="3"/>
    </row>
    <row r="5" spans="2:12" x14ac:dyDescent="0.2">
      <c r="B5" s="12" t="s">
        <v>82</v>
      </c>
      <c r="C5" s="17">
        <f>8.9/22.6</f>
        <v>0.39380530973451328</v>
      </c>
      <c r="D5" s="18" t="s">
        <v>85</v>
      </c>
      <c r="E5" s="17">
        <v>-0.04</v>
      </c>
      <c r="F5" s="18" t="s">
        <v>90</v>
      </c>
      <c r="G5" s="19"/>
      <c r="J5" t="s">
        <v>3</v>
      </c>
      <c r="K5" s="4">
        <f>6510+106730+10431</f>
        <v>123671</v>
      </c>
      <c r="L5" s="3" t="s">
        <v>18</v>
      </c>
    </row>
    <row r="6" spans="2:12" x14ac:dyDescent="0.2">
      <c r="B6" s="13"/>
      <c r="C6" s="20"/>
      <c r="D6" s="20"/>
      <c r="E6" s="20"/>
      <c r="F6" s="20"/>
      <c r="G6" s="21"/>
      <c r="J6" t="s">
        <v>4</v>
      </c>
      <c r="K6" s="4">
        <f>12904+0+40783</f>
        <v>53687</v>
      </c>
      <c r="L6" s="3" t="s">
        <v>18</v>
      </c>
    </row>
    <row r="7" spans="2:12" x14ac:dyDescent="0.2">
      <c r="J7" t="s">
        <v>5</v>
      </c>
      <c r="K7" s="2">
        <f>+K4-K5+K6</f>
        <v>373324.26</v>
      </c>
    </row>
    <row r="9" spans="2:12" x14ac:dyDescent="0.2">
      <c r="L9" s="1"/>
    </row>
    <row r="10" spans="2:12" x14ac:dyDescent="0.2">
      <c r="L10" s="1"/>
    </row>
    <row r="14" spans="2:12" x14ac:dyDescent="0.2">
      <c r="K14" s="25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S106"/>
  <sheetViews>
    <sheetView tabSelected="1" zoomScale="111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V23" sqref="V23"/>
    </sheetView>
  </sheetViews>
  <sheetFormatPr defaultColWidth="8.85546875" defaultRowHeight="12.75" x14ac:dyDescent="0.2"/>
  <cols>
    <col min="1" max="1" width="8.85546875" style="26"/>
    <col min="2" max="2" width="29.140625" style="26" customWidth="1"/>
    <col min="3" max="3" width="10.42578125" style="30" bestFit="1" customWidth="1"/>
    <col min="4" max="4" width="11.42578125" style="30" bestFit="1" customWidth="1"/>
    <col min="5" max="6" width="8.85546875" style="30"/>
    <col min="7" max="8" width="10.140625" style="30" bestFit="1" customWidth="1"/>
    <col min="9" max="9" width="8.85546875" style="30"/>
    <col min="10" max="10" width="10.140625" style="30" bestFit="1" customWidth="1"/>
    <col min="11" max="11" width="10.42578125" style="30" customWidth="1"/>
    <col min="12" max="12" width="10.140625" style="30" bestFit="1" customWidth="1"/>
    <col min="13" max="13" width="8.85546875" style="30"/>
    <col min="14" max="14" width="8.85546875" style="30" customWidth="1"/>
    <col min="15" max="47" width="8.85546875" style="26"/>
    <col min="48" max="48" width="11.28515625" style="26" customWidth="1"/>
    <col min="49" max="49" width="10.42578125" style="26" customWidth="1"/>
    <col min="50" max="16384" width="8.85546875" style="26"/>
  </cols>
  <sheetData>
    <row r="1" spans="2:46" x14ac:dyDescent="0.2">
      <c r="C1" s="27">
        <v>41547</v>
      </c>
      <c r="D1" s="27">
        <v>41639</v>
      </c>
      <c r="E1" s="28">
        <v>41729</v>
      </c>
      <c r="F1" s="28">
        <v>41820</v>
      </c>
      <c r="G1" s="28">
        <v>41912</v>
      </c>
      <c r="H1" s="28">
        <v>42004</v>
      </c>
      <c r="I1" s="28">
        <v>42094</v>
      </c>
      <c r="J1" s="28">
        <v>42185</v>
      </c>
      <c r="K1" s="28">
        <v>42277</v>
      </c>
      <c r="L1" s="28">
        <v>42369</v>
      </c>
      <c r="M1" s="28">
        <v>42460</v>
      </c>
      <c r="N1" s="27">
        <v>42551</v>
      </c>
      <c r="T1" s="29">
        <f t="shared" ref="T1" si="0">+U1-365</f>
        <v>38168</v>
      </c>
      <c r="U1" s="29">
        <f t="shared" ref="U1" si="1">+V1-365</f>
        <v>38533</v>
      </c>
      <c r="V1" s="29">
        <f t="shared" ref="V1:AD1" si="2">+W1-365</f>
        <v>38898</v>
      </c>
      <c r="W1" s="29">
        <f>+X1-366</f>
        <v>39263</v>
      </c>
      <c r="X1" s="29">
        <f t="shared" si="2"/>
        <v>39629</v>
      </c>
      <c r="Y1" s="29">
        <f t="shared" si="2"/>
        <v>39994</v>
      </c>
      <c r="Z1" s="29">
        <f t="shared" si="2"/>
        <v>40359</v>
      </c>
      <c r="AA1" s="29">
        <f>+AB1-366</f>
        <v>40724</v>
      </c>
      <c r="AB1" s="29">
        <f t="shared" si="2"/>
        <v>41090</v>
      </c>
      <c r="AC1" s="29">
        <f t="shared" si="2"/>
        <v>41455</v>
      </c>
      <c r="AD1" s="29">
        <f t="shared" si="2"/>
        <v>41820</v>
      </c>
      <c r="AE1" s="29">
        <f>+AF1-366</f>
        <v>42185</v>
      </c>
      <c r="AF1" s="29">
        <v>42551</v>
      </c>
      <c r="AG1" s="29">
        <f>+AF1+365</f>
        <v>42916</v>
      </c>
      <c r="AH1" s="29">
        <f t="shared" ref="AH1:AT1" si="3">+AG1+365</f>
        <v>43281</v>
      </c>
      <c r="AI1" s="29">
        <f t="shared" si="3"/>
        <v>43646</v>
      </c>
      <c r="AJ1" s="29">
        <f t="shared" si="3"/>
        <v>44011</v>
      </c>
      <c r="AK1" s="29">
        <f t="shared" si="3"/>
        <v>44376</v>
      </c>
      <c r="AL1" s="29">
        <f t="shared" si="3"/>
        <v>44741</v>
      </c>
      <c r="AM1" s="29">
        <f t="shared" si="3"/>
        <v>45106</v>
      </c>
      <c r="AN1" s="29">
        <f t="shared" si="3"/>
        <v>45471</v>
      </c>
      <c r="AO1" s="29">
        <f t="shared" si="3"/>
        <v>45836</v>
      </c>
      <c r="AP1" s="29">
        <f t="shared" si="3"/>
        <v>46201</v>
      </c>
      <c r="AQ1" s="29">
        <f t="shared" si="3"/>
        <v>46566</v>
      </c>
      <c r="AR1" s="29">
        <f t="shared" si="3"/>
        <v>46931</v>
      </c>
      <c r="AS1" s="29">
        <f t="shared" si="3"/>
        <v>47296</v>
      </c>
      <c r="AT1" s="29">
        <f t="shared" si="3"/>
        <v>47661</v>
      </c>
    </row>
    <row r="2" spans="2:46" x14ac:dyDescent="0.2">
      <c r="C2" s="30" t="s">
        <v>8</v>
      </c>
      <c r="D2" s="30" t="s">
        <v>9</v>
      </c>
      <c r="E2" s="30" t="s">
        <v>10</v>
      </c>
      <c r="F2" s="30" t="s">
        <v>11</v>
      </c>
      <c r="G2" s="30" t="s">
        <v>12</v>
      </c>
      <c r="H2" s="30" t="s">
        <v>13</v>
      </c>
      <c r="I2" s="30" t="s">
        <v>14</v>
      </c>
      <c r="J2" s="30" t="s">
        <v>6</v>
      </c>
      <c r="K2" s="30" t="s">
        <v>15</v>
      </c>
      <c r="L2" s="30" t="s">
        <v>16</v>
      </c>
      <c r="M2" s="30" t="s">
        <v>17</v>
      </c>
      <c r="N2" s="30" t="s">
        <v>18</v>
      </c>
      <c r="O2" s="30" t="s">
        <v>71</v>
      </c>
      <c r="P2" s="30" t="s">
        <v>72</v>
      </c>
      <c r="Q2" s="30" t="s">
        <v>73</v>
      </c>
      <c r="R2" s="30" t="s">
        <v>74</v>
      </c>
      <c r="T2" s="26">
        <f t="shared" ref="T2" si="4">+U2-1</f>
        <v>2004</v>
      </c>
      <c r="U2" s="26">
        <f t="shared" ref="U2" si="5">+V2-1</f>
        <v>2005</v>
      </c>
      <c r="V2" s="26">
        <f t="shared" ref="V2:Z2" si="6">+W2-1</f>
        <v>2006</v>
      </c>
      <c r="W2" s="26">
        <f t="shared" si="6"/>
        <v>2007</v>
      </c>
      <c r="X2" s="26">
        <f t="shared" si="6"/>
        <v>2008</v>
      </c>
      <c r="Y2" s="26">
        <f t="shared" si="6"/>
        <v>2009</v>
      </c>
      <c r="Z2" s="26">
        <f t="shared" si="6"/>
        <v>2010</v>
      </c>
      <c r="AA2" s="26">
        <f t="shared" ref="AA2:AD2" si="7">+AB2-1</f>
        <v>2011</v>
      </c>
      <c r="AB2" s="26">
        <f t="shared" si="7"/>
        <v>2012</v>
      </c>
      <c r="AC2" s="26">
        <f t="shared" si="7"/>
        <v>2013</v>
      </c>
      <c r="AD2" s="26">
        <f t="shared" si="7"/>
        <v>2014</v>
      </c>
      <c r="AE2" s="26">
        <f>+AF2-1</f>
        <v>2015</v>
      </c>
      <c r="AF2" s="26">
        <v>2016</v>
      </c>
      <c r="AG2" s="26">
        <f>+AF2+1</f>
        <v>2017</v>
      </c>
      <c r="AH2" s="26">
        <f t="shared" ref="AH2:AT2" si="8">+AG2+1</f>
        <v>2018</v>
      </c>
      <c r="AI2" s="26">
        <f t="shared" si="8"/>
        <v>2019</v>
      </c>
      <c r="AJ2" s="26">
        <f t="shared" si="8"/>
        <v>2020</v>
      </c>
      <c r="AK2" s="26">
        <f t="shared" si="8"/>
        <v>2021</v>
      </c>
      <c r="AL2" s="26">
        <f t="shared" si="8"/>
        <v>2022</v>
      </c>
      <c r="AM2" s="26">
        <f t="shared" si="8"/>
        <v>2023</v>
      </c>
      <c r="AN2" s="26">
        <f t="shared" si="8"/>
        <v>2024</v>
      </c>
      <c r="AO2" s="26">
        <f t="shared" si="8"/>
        <v>2025</v>
      </c>
      <c r="AP2" s="26">
        <f t="shared" si="8"/>
        <v>2026</v>
      </c>
      <c r="AQ2" s="26">
        <f t="shared" si="8"/>
        <v>2027</v>
      </c>
      <c r="AR2" s="26">
        <f t="shared" si="8"/>
        <v>2028</v>
      </c>
      <c r="AS2" s="26">
        <f t="shared" si="8"/>
        <v>2029</v>
      </c>
      <c r="AT2" s="26">
        <f t="shared" si="8"/>
        <v>2030</v>
      </c>
    </row>
    <row r="3" spans="2:46" x14ac:dyDescent="0.2">
      <c r="B3" s="26" t="s">
        <v>106</v>
      </c>
      <c r="O3" s="30"/>
      <c r="P3" s="30"/>
      <c r="Q3" s="30"/>
      <c r="R3" s="30"/>
      <c r="V3" s="9">
        <v>13077</v>
      </c>
      <c r="W3" s="9">
        <v>14844</v>
      </c>
      <c r="X3" s="9">
        <v>16472</v>
      </c>
    </row>
    <row r="4" spans="2:46" x14ac:dyDescent="0.2">
      <c r="B4" s="26" t="s">
        <v>107</v>
      </c>
      <c r="O4" s="30"/>
      <c r="P4" s="30"/>
      <c r="Q4" s="30"/>
      <c r="R4" s="30"/>
      <c r="V4" s="9">
        <v>9670</v>
      </c>
      <c r="W4" s="9">
        <v>11184</v>
      </c>
      <c r="X4" s="9">
        <v>13189</v>
      </c>
    </row>
    <row r="5" spans="2:46" x14ac:dyDescent="0.2">
      <c r="B5" s="26" t="s">
        <v>108</v>
      </c>
      <c r="O5" s="30"/>
      <c r="P5" s="30"/>
      <c r="Q5" s="30"/>
      <c r="R5" s="30"/>
      <c r="V5" s="9">
        <v>2303</v>
      </c>
      <c r="W5" s="9">
        <v>2441</v>
      </c>
      <c r="X5" s="9">
        <v>3214</v>
      </c>
    </row>
    <row r="6" spans="2:46" x14ac:dyDescent="0.2">
      <c r="B6" s="26" t="s">
        <v>109</v>
      </c>
      <c r="O6" s="30"/>
      <c r="P6" s="30"/>
      <c r="Q6" s="30"/>
      <c r="R6" s="30"/>
      <c r="V6" s="9">
        <v>14461</v>
      </c>
      <c r="W6" s="9">
        <v>16404</v>
      </c>
      <c r="X6" s="9">
        <v>18937</v>
      </c>
    </row>
    <row r="7" spans="2:46" x14ac:dyDescent="0.2">
      <c r="B7" s="26" t="s">
        <v>110</v>
      </c>
      <c r="O7" s="30"/>
      <c r="P7" s="30"/>
      <c r="Q7" s="30"/>
      <c r="R7" s="30"/>
      <c r="V7" s="9">
        <v>4761</v>
      </c>
      <c r="W7" s="9">
        <v>6066</v>
      </c>
      <c r="X7" s="9">
        <v>8139</v>
      </c>
    </row>
    <row r="8" spans="2:46" x14ac:dyDescent="0.2">
      <c r="B8" s="26" t="s">
        <v>94</v>
      </c>
      <c r="O8" s="30"/>
      <c r="P8" s="30"/>
      <c r="Q8" s="30"/>
      <c r="R8" s="30"/>
      <c r="V8" s="9">
        <v>10</v>
      </c>
      <c r="W8" s="9">
        <v>183</v>
      </c>
      <c r="X8" s="9">
        <v>469</v>
      </c>
    </row>
    <row r="9" spans="2:46" x14ac:dyDescent="0.2">
      <c r="O9" s="30"/>
      <c r="P9" s="30"/>
      <c r="Q9" s="30"/>
      <c r="R9" s="30"/>
      <c r="V9" s="9"/>
      <c r="W9" s="9"/>
      <c r="X9" s="9"/>
    </row>
    <row r="10" spans="2:46" x14ac:dyDescent="0.2">
      <c r="O10" s="30"/>
      <c r="P10" s="30"/>
      <c r="Q10" s="30"/>
      <c r="R10" s="30"/>
    </row>
    <row r="11" spans="2:46" s="9" customFormat="1" x14ac:dyDescent="0.2">
      <c r="B11" s="9" t="s">
        <v>95</v>
      </c>
      <c r="C11" s="10"/>
      <c r="D11" s="10"/>
      <c r="E11" s="10"/>
      <c r="F11" s="10">
        <v>4903</v>
      </c>
      <c r="G11" s="10"/>
      <c r="H11" s="10"/>
      <c r="I11" s="10"/>
      <c r="J11" s="10">
        <v>3233</v>
      </c>
      <c r="K11" s="24">
        <f t="shared" ref="K11:K16" si="9">J11/F11-1</f>
        <v>-0.34060779114827655</v>
      </c>
      <c r="L11" s="10"/>
      <c r="M11" s="10"/>
      <c r="N11" s="10"/>
      <c r="O11" s="10"/>
      <c r="P11" s="10"/>
      <c r="Q11" s="10"/>
      <c r="R11" s="10"/>
    </row>
    <row r="12" spans="2:46" s="9" customFormat="1" x14ac:dyDescent="0.2">
      <c r="B12" s="9" t="s">
        <v>96</v>
      </c>
      <c r="C12" s="10"/>
      <c r="D12" s="10"/>
      <c r="E12" s="10"/>
      <c r="F12" s="10">
        <v>1342</v>
      </c>
      <c r="G12" s="10"/>
      <c r="H12" s="10"/>
      <c r="I12" s="10"/>
      <c r="J12" s="10">
        <v>1933</v>
      </c>
      <c r="K12" s="24">
        <f t="shared" si="9"/>
        <v>0.44038748137108796</v>
      </c>
      <c r="L12" s="10"/>
      <c r="M12" s="10"/>
      <c r="N12" s="10"/>
      <c r="O12" s="10"/>
      <c r="P12" s="10"/>
      <c r="Q12" s="10"/>
      <c r="R12" s="10"/>
    </row>
    <row r="13" spans="2:46" s="9" customFormat="1" x14ac:dyDescent="0.2">
      <c r="B13" s="9" t="s">
        <v>97</v>
      </c>
      <c r="C13" s="10"/>
      <c r="D13" s="10"/>
      <c r="E13" s="10"/>
      <c r="F13" s="10">
        <v>1982</v>
      </c>
      <c r="G13" s="10"/>
      <c r="H13" s="10"/>
      <c r="I13" s="10"/>
      <c r="J13" s="10">
        <v>1234</v>
      </c>
      <c r="K13" s="24">
        <f t="shared" si="9"/>
        <v>-0.37739656912209885</v>
      </c>
      <c r="L13" s="10"/>
      <c r="M13" s="10"/>
      <c r="N13" s="10"/>
      <c r="O13" s="10"/>
      <c r="P13" s="10"/>
      <c r="Q13" s="10"/>
      <c r="R13" s="10"/>
    </row>
    <row r="14" spans="2:46" s="9" customFormat="1" x14ac:dyDescent="0.2">
      <c r="B14" s="9" t="s">
        <v>98</v>
      </c>
      <c r="C14" s="10"/>
      <c r="D14" s="10"/>
      <c r="E14" s="10"/>
      <c r="F14" s="10">
        <v>1762</v>
      </c>
      <c r="G14" s="10"/>
      <c r="H14" s="10"/>
      <c r="I14" s="10"/>
      <c r="J14" s="10">
        <v>2300</v>
      </c>
      <c r="K14" s="24">
        <f t="shared" si="9"/>
        <v>0.30533484676503964</v>
      </c>
      <c r="L14" s="10"/>
      <c r="M14" s="10"/>
      <c r="N14" s="10"/>
      <c r="O14" s="10"/>
      <c r="P14" s="10"/>
      <c r="Q14" s="10"/>
      <c r="R14" s="10"/>
    </row>
    <row r="15" spans="2:46" s="9" customFormat="1" x14ac:dyDescent="0.2">
      <c r="B15" s="9" t="s">
        <v>99</v>
      </c>
      <c r="C15" s="10"/>
      <c r="D15" s="10"/>
      <c r="E15" s="10"/>
      <c r="F15" s="10">
        <v>11233</v>
      </c>
      <c r="G15" s="10"/>
      <c r="H15" s="10"/>
      <c r="I15" s="10"/>
      <c r="J15" s="10">
        <v>10451</v>
      </c>
      <c r="K15" s="24">
        <f t="shared" si="9"/>
        <v>-6.9616309089290507E-2</v>
      </c>
      <c r="L15" s="10"/>
      <c r="M15" s="24"/>
      <c r="N15" s="10"/>
      <c r="O15" s="10"/>
      <c r="P15" s="10"/>
      <c r="Q15" s="10"/>
      <c r="R15" s="10"/>
    </row>
    <row r="16" spans="2:46" s="9" customFormat="1" x14ac:dyDescent="0.2">
      <c r="B16" s="9" t="s">
        <v>100</v>
      </c>
      <c r="C16" s="10"/>
      <c r="D16" s="10"/>
      <c r="E16" s="10"/>
      <c r="F16" s="10">
        <v>2262</v>
      </c>
      <c r="G16" s="10"/>
      <c r="H16" s="10"/>
      <c r="I16" s="10"/>
      <c r="J16" s="10">
        <v>3076</v>
      </c>
      <c r="K16" s="24">
        <f t="shared" si="9"/>
        <v>0.35985853227232534</v>
      </c>
      <c r="L16" s="10"/>
      <c r="M16" s="10"/>
      <c r="N16" s="10"/>
      <c r="O16" s="10"/>
      <c r="P16" s="10"/>
      <c r="Q16" s="10"/>
      <c r="R16" s="10"/>
    </row>
    <row r="17" spans="2:46" s="9" customFormat="1" x14ac:dyDescent="0.2">
      <c r="B17" s="9" t="s">
        <v>94</v>
      </c>
      <c r="C17" s="10"/>
      <c r="D17" s="10"/>
      <c r="E17" s="10"/>
      <c r="F17" s="10">
        <v>-102</v>
      </c>
      <c r="G17" s="10"/>
      <c r="H17" s="10"/>
      <c r="I17" s="10"/>
      <c r="J17" s="10">
        <v>-47</v>
      </c>
      <c r="K17" s="10"/>
      <c r="L17" s="10"/>
      <c r="M17" s="10"/>
      <c r="N17" s="10"/>
      <c r="O17" s="10"/>
      <c r="P17" s="10"/>
      <c r="Q17" s="10"/>
      <c r="R17" s="10"/>
    </row>
    <row r="18" spans="2:46" x14ac:dyDescent="0.2">
      <c r="O18" s="30"/>
      <c r="P18" s="30"/>
      <c r="Q18" s="30"/>
      <c r="R18" s="30"/>
      <c r="AD18" s="9"/>
    </row>
    <row r="19" spans="2:46" s="9" customFormat="1" x14ac:dyDescent="0.2">
      <c r="B19" s="9" t="s">
        <v>91</v>
      </c>
      <c r="C19" s="10"/>
      <c r="D19" s="10"/>
      <c r="E19" s="10"/>
      <c r="F19" s="10"/>
      <c r="G19" s="10">
        <v>6490</v>
      </c>
      <c r="H19" s="10">
        <v>6822</v>
      </c>
      <c r="I19" s="10">
        <v>6457</v>
      </c>
      <c r="J19" s="10"/>
      <c r="K19" s="10">
        <v>6306</v>
      </c>
      <c r="L19" s="10">
        <v>6690</v>
      </c>
      <c r="M19" s="10">
        <v>6522</v>
      </c>
      <c r="N19" s="10">
        <f>26487-M19-L19-K19</f>
        <v>6969</v>
      </c>
      <c r="O19" s="10"/>
      <c r="P19" s="10"/>
      <c r="Q19" s="10"/>
      <c r="R19" s="10"/>
      <c r="AD19" s="9">
        <v>26976</v>
      </c>
      <c r="AE19" s="9">
        <v>26430</v>
      </c>
      <c r="AF19" s="9">
        <v>26487</v>
      </c>
    </row>
    <row r="20" spans="2:46" s="9" customFormat="1" x14ac:dyDescent="0.2">
      <c r="B20" s="9" t="s">
        <v>92</v>
      </c>
      <c r="C20" s="10"/>
      <c r="D20" s="10"/>
      <c r="E20" s="10"/>
      <c r="F20" s="10"/>
      <c r="G20" s="10">
        <v>5475</v>
      </c>
      <c r="H20" s="10">
        <v>6041</v>
      </c>
      <c r="I20" s="10">
        <v>5903</v>
      </c>
      <c r="J20" s="10"/>
      <c r="K20" s="10">
        <v>5892</v>
      </c>
      <c r="L20" s="10">
        <v>6343</v>
      </c>
      <c r="M20" s="10">
        <v>6096</v>
      </c>
      <c r="N20" s="10">
        <f>25042-M20-L20-K20</f>
        <v>6711</v>
      </c>
      <c r="O20" s="10"/>
      <c r="P20" s="10"/>
      <c r="Q20" s="10"/>
      <c r="R20" s="10"/>
      <c r="AD20" s="9">
        <v>21735</v>
      </c>
      <c r="AE20" s="9">
        <v>23715</v>
      </c>
      <c r="AF20" s="9">
        <v>25042</v>
      </c>
    </row>
    <row r="21" spans="2:46" s="9" customFormat="1" x14ac:dyDescent="0.2">
      <c r="B21" s="9" t="s">
        <v>93</v>
      </c>
      <c r="C21" s="10"/>
      <c r="D21" s="10"/>
      <c r="E21" s="10"/>
      <c r="F21" s="10"/>
      <c r="G21" s="10">
        <v>11236</v>
      </c>
      <c r="H21" s="10">
        <v>13282</v>
      </c>
      <c r="I21" s="10">
        <v>9369</v>
      </c>
      <c r="J21" s="10"/>
      <c r="K21" s="10">
        <v>9381</v>
      </c>
      <c r="L21" s="10">
        <v>12660</v>
      </c>
      <c r="M21" s="10">
        <v>9458</v>
      </c>
      <c r="N21" s="10">
        <f>40460-M21-L21-K21</f>
        <v>8961</v>
      </c>
      <c r="O21" s="10"/>
      <c r="P21" s="10"/>
      <c r="Q21" s="10"/>
      <c r="R21" s="10"/>
      <c r="AD21" s="9">
        <v>38460</v>
      </c>
      <c r="AE21" s="9">
        <v>43160</v>
      </c>
      <c r="AF21" s="9">
        <v>40460</v>
      </c>
    </row>
    <row r="22" spans="2:46" s="9" customFormat="1" x14ac:dyDescent="0.2">
      <c r="B22" s="9" t="s">
        <v>94</v>
      </c>
      <c r="C22" s="10"/>
      <c r="D22" s="10"/>
      <c r="E22" s="10"/>
      <c r="F22" s="10"/>
      <c r="G22" s="10">
        <v>0</v>
      </c>
      <c r="H22" s="10">
        <v>325</v>
      </c>
      <c r="I22" s="10">
        <v>0</v>
      </c>
      <c r="J22" s="10"/>
      <c r="K22" s="10">
        <v>-1200</v>
      </c>
      <c r="L22" s="10">
        <v>-1897</v>
      </c>
      <c r="M22" s="10">
        <v>-1545</v>
      </c>
      <c r="N22" s="10">
        <f>-6669-M22-L22-K22</f>
        <v>-2027</v>
      </c>
      <c r="O22" s="10"/>
      <c r="P22" s="10"/>
      <c r="Q22" s="10"/>
      <c r="R22" s="10"/>
      <c r="AD22" s="9">
        <v>-338</v>
      </c>
      <c r="AE22" s="9">
        <v>275</v>
      </c>
      <c r="AF22" s="9">
        <v>-6669</v>
      </c>
    </row>
    <row r="23" spans="2:46" s="5" customFormat="1" x14ac:dyDescent="0.2">
      <c r="B23" s="5" t="s">
        <v>7</v>
      </c>
      <c r="C23" s="6">
        <v>18529</v>
      </c>
      <c r="D23" s="6">
        <v>24519</v>
      </c>
      <c r="E23" s="6">
        <v>20403</v>
      </c>
      <c r="F23" s="6">
        <v>23382</v>
      </c>
      <c r="G23" s="6">
        <f>SUM(G19:G22)</f>
        <v>23201</v>
      </c>
      <c r="H23" s="6">
        <f>SUM(H19:H22)</f>
        <v>26470</v>
      </c>
      <c r="I23" s="6">
        <f>SUM(I19:I22)</f>
        <v>21729</v>
      </c>
      <c r="J23" s="6">
        <v>22180</v>
      </c>
      <c r="K23" s="6">
        <f>SUM(K19:K22)</f>
        <v>20379</v>
      </c>
      <c r="L23" s="6">
        <f>SUM(L19:L22)</f>
        <v>23796</v>
      </c>
      <c r="M23" s="6">
        <f>20531+1545</f>
        <v>22076</v>
      </c>
      <c r="N23" s="6">
        <f>SUM(N19:N22)</f>
        <v>20614</v>
      </c>
      <c r="O23" s="6">
        <f t="shared" ref="O23:R23" si="10">+K23*1.01</f>
        <v>20582.79</v>
      </c>
      <c r="P23" s="6">
        <f t="shared" si="10"/>
        <v>24033.96</v>
      </c>
      <c r="Q23" s="6">
        <f t="shared" si="10"/>
        <v>22296.76</v>
      </c>
      <c r="R23" s="6">
        <f t="shared" si="10"/>
        <v>20820.14</v>
      </c>
      <c r="T23" s="5">
        <v>36835</v>
      </c>
      <c r="U23" s="5">
        <v>39788</v>
      </c>
      <c r="V23" s="5">
        <v>44282</v>
      </c>
      <c r="W23" s="5">
        <v>51122</v>
      </c>
      <c r="X23" s="5">
        <v>60420</v>
      </c>
      <c r="Y23" s="5">
        <v>58437</v>
      </c>
      <c r="Z23" s="5">
        <v>62484</v>
      </c>
      <c r="AA23" s="5">
        <v>69943</v>
      </c>
      <c r="AB23" s="5">
        <v>73723</v>
      </c>
      <c r="AC23" s="5">
        <v>77849</v>
      </c>
      <c r="AD23" s="5">
        <v>86833</v>
      </c>
      <c r="AE23" s="5">
        <v>93580</v>
      </c>
      <c r="AF23" s="5">
        <f>SUM(K23:N23)</f>
        <v>86865</v>
      </c>
      <c r="AG23" s="5">
        <f>SUM(O23:R23)</f>
        <v>87733.65</v>
      </c>
      <c r="AH23" s="5">
        <f>+AG23*1.02</f>
        <v>89488.322999999989</v>
      </c>
      <c r="AI23" s="5">
        <f>+AH23*1.03</f>
        <v>92172.972689999995</v>
      </c>
      <c r="AJ23" s="5">
        <f t="shared" ref="AJ23:AT23" si="11">+AI23*1.03</f>
        <v>94938.161870700002</v>
      </c>
      <c r="AK23" s="5">
        <f t="shared" si="11"/>
        <v>97786.306726821</v>
      </c>
      <c r="AL23" s="5">
        <f t="shared" si="11"/>
        <v>100719.89592862563</v>
      </c>
      <c r="AM23" s="5">
        <f t="shared" si="11"/>
        <v>103741.4928064844</v>
      </c>
      <c r="AN23" s="5">
        <f t="shared" si="11"/>
        <v>106853.73759067894</v>
      </c>
      <c r="AO23" s="5">
        <f t="shared" si="11"/>
        <v>110059.3497183993</v>
      </c>
      <c r="AP23" s="5">
        <f t="shared" si="11"/>
        <v>113361.13020995128</v>
      </c>
      <c r="AQ23" s="5">
        <f t="shared" si="11"/>
        <v>116761.96411624983</v>
      </c>
      <c r="AR23" s="5">
        <f t="shared" si="11"/>
        <v>120264.82303973733</v>
      </c>
      <c r="AS23" s="5">
        <f t="shared" si="11"/>
        <v>123872.76773092945</v>
      </c>
      <c r="AT23" s="5">
        <f t="shared" si="11"/>
        <v>127588.95076285733</v>
      </c>
    </row>
    <row r="24" spans="2:46" s="9" customFormat="1" x14ac:dyDescent="0.2">
      <c r="B24" s="9" t="s">
        <v>21</v>
      </c>
      <c r="C24" s="10">
        <v>5114</v>
      </c>
      <c r="D24" s="10">
        <v>8284</v>
      </c>
      <c r="E24" s="10">
        <v>5978</v>
      </c>
      <c r="F24" s="10">
        <v>7633</v>
      </c>
      <c r="G24" s="10">
        <v>8273</v>
      </c>
      <c r="H24" s="10">
        <v>10136</v>
      </c>
      <c r="I24" s="10">
        <v>7161</v>
      </c>
      <c r="J24" s="10">
        <v>7468</v>
      </c>
      <c r="K24" s="10">
        <v>7207</v>
      </c>
      <c r="L24" s="10">
        <v>9872</v>
      </c>
      <c r="M24" s="10">
        <v>7722</v>
      </c>
      <c r="N24" s="10">
        <v>7979</v>
      </c>
      <c r="O24" s="10">
        <f t="shared" ref="O24:R24" si="12">+O23-O25</f>
        <v>7615.6323000000011</v>
      </c>
      <c r="P24" s="10">
        <f t="shared" si="12"/>
        <v>8892.5651999999991</v>
      </c>
      <c r="Q24" s="10">
        <f t="shared" si="12"/>
        <v>8249.8011999999999</v>
      </c>
      <c r="R24" s="10">
        <f t="shared" si="12"/>
        <v>7703.4517999999989</v>
      </c>
      <c r="V24" s="9">
        <v>7650</v>
      </c>
      <c r="W24" s="9">
        <v>10693</v>
      </c>
      <c r="X24" s="9">
        <v>11598</v>
      </c>
      <c r="Y24" s="9">
        <v>12155</v>
      </c>
      <c r="Z24" s="9">
        <v>12395</v>
      </c>
      <c r="AA24" s="9">
        <v>15577</v>
      </c>
      <c r="AB24" s="9">
        <v>17530</v>
      </c>
      <c r="AC24" s="9">
        <v>20385</v>
      </c>
      <c r="AD24" s="9">
        <v>27078</v>
      </c>
      <c r="AE24" s="9">
        <v>33038</v>
      </c>
      <c r="AF24" s="9">
        <f>SUM(K24:N24)</f>
        <v>32780</v>
      </c>
      <c r="AG24" s="9">
        <f>SUM(O24:R24)</f>
        <v>32461.450500000003</v>
      </c>
      <c r="AH24" s="9">
        <f>+AH23-AH25</f>
        <v>33110.679509999994</v>
      </c>
      <c r="AI24" s="9">
        <f t="shared" ref="AI24:AT24" si="13">+AI23-AI25</f>
        <v>34103.999895299996</v>
      </c>
      <c r="AJ24" s="9">
        <f t="shared" si="13"/>
        <v>35127.119892158997</v>
      </c>
      <c r="AK24" s="9">
        <f t="shared" si="13"/>
        <v>36180.933488923773</v>
      </c>
      <c r="AL24" s="9">
        <f t="shared" si="13"/>
        <v>37266.361493591481</v>
      </c>
      <c r="AM24" s="9">
        <f t="shared" si="13"/>
        <v>38384.352338399229</v>
      </c>
      <c r="AN24" s="9">
        <f t="shared" si="13"/>
        <v>39535.882908551212</v>
      </c>
      <c r="AO24" s="9">
        <f t="shared" si="13"/>
        <v>40721.959395807746</v>
      </c>
      <c r="AP24" s="9">
        <f t="shared" si="13"/>
        <v>41943.618177681972</v>
      </c>
      <c r="AQ24" s="9">
        <f t="shared" si="13"/>
        <v>43201.926723012439</v>
      </c>
      <c r="AR24" s="9">
        <f t="shared" si="13"/>
        <v>44497.984524702813</v>
      </c>
      <c r="AS24" s="9">
        <f t="shared" si="13"/>
        <v>45832.924060443896</v>
      </c>
      <c r="AT24" s="9">
        <f t="shared" si="13"/>
        <v>47207.911782257215</v>
      </c>
    </row>
    <row r="25" spans="2:46" s="9" customFormat="1" x14ac:dyDescent="0.2">
      <c r="B25" s="9" t="s">
        <v>20</v>
      </c>
      <c r="C25" s="10">
        <f t="shared" ref="C25:D25" si="14">+C23-C24</f>
        <v>13415</v>
      </c>
      <c r="D25" s="10">
        <f t="shared" si="14"/>
        <v>16235</v>
      </c>
      <c r="E25" s="10">
        <f t="shared" ref="E25:L25" si="15">+E23-E24</f>
        <v>14425</v>
      </c>
      <c r="F25" s="10">
        <f t="shared" si="15"/>
        <v>15749</v>
      </c>
      <c r="G25" s="10">
        <f t="shared" si="15"/>
        <v>14928</v>
      </c>
      <c r="H25" s="10">
        <f t="shared" si="15"/>
        <v>16334</v>
      </c>
      <c r="I25" s="10">
        <f t="shared" si="15"/>
        <v>14568</v>
      </c>
      <c r="J25" s="10">
        <f t="shared" si="15"/>
        <v>14712</v>
      </c>
      <c r="K25" s="10">
        <f t="shared" si="15"/>
        <v>13172</v>
      </c>
      <c r="L25" s="10">
        <f t="shared" si="15"/>
        <v>13924</v>
      </c>
      <c r="M25" s="10">
        <f>+M23-M24</f>
        <v>14354</v>
      </c>
      <c r="N25" s="10">
        <f>+N23-N24</f>
        <v>12635</v>
      </c>
      <c r="O25" s="10">
        <f t="shared" ref="O25:R25" si="16">+O23*0.63</f>
        <v>12967.1577</v>
      </c>
      <c r="P25" s="10">
        <f t="shared" si="16"/>
        <v>15141.3948</v>
      </c>
      <c r="Q25" s="10">
        <f t="shared" si="16"/>
        <v>14046.958799999999</v>
      </c>
      <c r="R25" s="10">
        <f t="shared" si="16"/>
        <v>13116.688200000001</v>
      </c>
      <c r="V25" s="9">
        <f t="shared" ref="V25:AF25" si="17">V23-V24</f>
        <v>36632</v>
      </c>
      <c r="W25" s="9">
        <f t="shared" si="17"/>
        <v>40429</v>
      </c>
      <c r="X25" s="9">
        <f t="shared" si="17"/>
        <v>48822</v>
      </c>
      <c r="Y25" s="9">
        <f t="shared" si="17"/>
        <v>46282</v>
      </c>
      <c r="Z25" s="9">
        <f t="shared" si="17"/>
        <v>50089</v>
      </c>
      <c r="AA25" s="9">
        <f t="shared" si="17"/>
        <v>54366</v>
      </c>
      <c r="AB25" s="9">
        <f t="shared" si="17"/>
        <v>56193</v>
      </c>
      <c r="AC25" s="9">
        <f t="shared" si="17"/>
        <v>57464</v>
      </c>
      <c r="AD25" s="9">
        <f t="shared" si="17"/>
        <v>59755</v>
      </c>
      <c r="AE25" s="9">
        <f t="shared" si="17"/>
        <v>60542</v>
      </c>
      <c r="AF25" s="9">
        <f t="shared" si="17"/>
        <v>54085</v>
      </c>
      <c r="AG25" s="9">
        <f t="shared" ref="AG25" si="18">AG23-AG24</f>
        <v>55272.199499999988</v>
      </c>
      <c r="AH25" s="9">
        <f>+AH23*0.63</f>
        <v>56377.643489999995</v>
      </c>
      <c r="AI25" s="9">
        <f t="shared" ref="AI25:AT25" si="19">+AI23*0.63</f>
        <v>58068.972794699999</v>
      </c>
      <c r="AJ25" s="9">
        <f t="shared" si="19"/>
        <v>59811.041978541005</v>
      </c>
      <c r="AK25" s="9">
        <f t="shared" si="19"/>
        <v>61605.373237897227</v>
      </c>
      <c r="AL25" s="9">
        <f t="shared" si="19"/>
        <v>63453.534435034147</v>
      </c>
      <c r="AM25" s="9">
        <f t="shared" si="19"/>
        <v>65357.14046808517</v>
      </c>
      <c r="AN25" s="9">
        <f t="shared" si="19"/>
        <v>67317.854682127727</v>
      </c>
      <c r="AO25" s="9">
        <f t="shared" si="19"/>
        <v>69337.390322591556</v>
      </c>
      <c r="AP25" s="9">
        <f t="shared" si="19"/>
        <v>71417.512032269311</v>
      </c>
      <c r="AQ25" s="9">
        <f t="shared" si="19"/>
        <v>73560.037393237391</v>
      </c>
      <c r="AR25" s="9">
        <f t="shared" si="19"/>
        <v>75766.838515034513</v>
      </c>
      <c r="AS25" s="9">
        <f t="shared" si="19"/>
        <v>78039.843670485556</v>
      </c>
      <c r="AT25" s="9">
        <f t="shared" si="19"/>
        <v>80381.038980600119</v>
      </c>
    </row>
    <row r="26" spans="2:46" s="9" customFormat="1" x14ac:dyDescent="0.2">
      <c r="B26" s="9" t="s">
        <v>24</v>
      </c>
      <c r="C26" s="10">
        <v>2767</v>
      </c>
      <c r="D26" s="10">
        <v>2748</v>
      </c>
      <c r="E26" s="10">
        <v>2743</v>
      </c>
      <c r="F26" s="10">
        <v>3123</v>
      </c>
      <c r="G26" s="10">
        <v>3065</v>
      </c>
      <c r="H26" s="10">
        <v>2903</v>
      </c>
      <c r="I26" s="10">
        <v>2984</v>
      </c>
      <c r="J26" s="10">
        <v>3094</v>
      </c>
      <c r="K26" s="10">
        <v>2962</v>
      </c>
      <c r="L26" s="10">
        <v>2900</v>
      </c>
      <c r="M26" s="10">
        <v>2980</v>
      </c>
      <c r="N26" s="10">
        <v>3146</v>
      </c>
      <c r="O26" s="10">
        <f t="shared" ref="O26:R28" si="20">+K26</f>
        <v>2962</v>
      </c>
      <c r="P26" s="10">
        <f t="shared" si="20"/>
        <v>2900</v>
      </c>
      <c r="Q26" s="10">
        <f t="shared" si="20"/>
        <v>2980</v>
      </c>
      <c r="R26" s="10">
        <f t="shared" si="20"/>
        <v>3146</v>
      </c>
      <c r="V26" s="9">
        <v>6584</v>
      </c>
      <c r="W26" s="9">
        <v>7121</v>
      </c>
      <c r="X26" s="9">
        <v>8164</v>
      </c>
      <c r="Y26" s="9">
        <v>9010</v>
      </c>
      <c r="Z26" s="9">
        <v>8714</v>
      </c>
      <c r="AA26" s="9">
        <v>9043</v>
      </c>
      <c r="AB26" s="9">
        <v>9811</v>
      </c>
      <c r="AC26" s="9">
        <v>10411</v>
      </c>
      <c r="AD26" s="9">
        <v>11381</v>
      </c>
      <c r="AE26" s="9">
        <v>12046</v>
      </c>
      <c r="AF26" s="9">
        <f>SUM(K26:N26)</f>
        <v>11988</v>
      </c>
      <c r="AG26" s="9">
        <f>SUM(O26:R26)</f>
        <v>11988</v>
      </c>
      <c r="AH26" s="9">
        <f>+AG26*1.01</f>
        <v>12107.88</v>
      </c>
      <c r="AI26" s="9">
        <f t="shared" ref="AI26:AT26" si="21">+AH26*1.01</f>
        <v>12228.958799999999</v>
      </c>
      <c r="AJ26" s="9">
        <f t="shared" si="21"/>
        <v>12351.248387999998</v>
      </c>
      <c r="AK26" s="9">
        <f t="shared" si="21"/>
        <v>12474.760871879998</v>
      </c>
      <c r="AL26" s="9">
        <f t="shared" si="21"/>
        <v>12599.508480598799</v>
      </c>
      <c r="AM26" s="9">
        <f t="shared" si="21"/>
        <v>12725.503565404788</v>
      </c>
      <c r="AN26" s="9">
        <f t="shared" si="21"/>
        <v>12852.758601058837</v>
      </c>
      <c r="AO26" s="9">
        <f t="shared" si="21"/>
        <v>12981.286187069425</v>
      </c>
      <c r="AP26" s="9">
        <f t="shared" si="21"/>
        <v>13111.099048940119</v>
      </c>
      <c r="AQ26" s="9">
        <f t="shared" si="21"/>
        <v>13242.210039429521</v>
      </c>
      <c r="AR26" s="9">
        <f t="shared" si="21"/>
        <v>13374.632139823816</v>
      </c>
      <c r="AS26" s="9">
        <f t="shared" si="21"/>
        <v>13508.378461222055</v>
      </c>
      <c r="AT26" s="9">
        <f t="shared" si="21"/>
        <v>13643.462245834276</v>
      </c>
    </row>
    <row r="27" spans="2:46" s="9" customFormat="1" x14ac:dyDescent="0.2">
      <c r="B27" s="9" t="s">
        <v>23</v>
      </c>
      <c r="C27" s="10">
        <v>3304</v>
      </c>
      <c r="D27" s="10">
        <v>4283</v>
      </c>
      <c r="E27" s="10">
        <v>3542</v>
      </c>
      <c r="F27" s="10">
        <v>4682</v>
      </c>
      <c r="G27" s="10">
        <v>3728</v>
      </c>
      <c r="H27" s="10">
        <v>4315</v>
      </c>
      <c r="I27" s="10">
        <v>3709</v>
      </c>
      <c r="J27" s="10">
        <v>3961</v>
      </c>
      <c r="K27" s="10">
        <v>3333</v>
      </c>
      <c r="L27" s="10">
        <v>3960</v>
      </c>
      <c r="M27" s="10">
        <v>3406</v>
      </c>
      <c r="N27" s="10">
        <v>3998</v>
      </c>
      <c r="O27" s="10">
        <f t="shared" si="20"/>
        <v>3333</v>
      </c>
      <c r="P27" s="10">
        <f t="shared" si="20"/>
        <v>3960</v>
      </c>
      <c r="Q27" s="10">
        <f t="shared" si="20"/>
        <v>3406</v>
      </c>
      <c r="R27" s="10">
        <f t="shared" si="20"/>
        <v>3998</v>
      </c>
      <c r="V27" s="9">
        <v>9818</v>
      </c>
      <c r="W27" s="9">
        <v>11541</v>
      </c>
      <c r="X27" s="9">
        <v>13260</v>
      </c>
      <c r="Y27" s="9">
        <v>12879</v>
      </c>
      <c r="Z27" s="9">
        <v>13214</v>
      </c>
      <c r="AA27" s="9">
        <v>13940</v>
      </c>
      <c r="AB27" s="9">
        <v>13857</v>
      </c>
      <c r="AC27" s="9">
        <v>15276</v>
      </c>
      <c r="AD27" s="9">
        <v>15811</v>
      </c>
      <c r="AE27" s="9">
        <v>15713</v>
      </c>
      <c r="AF27" s="9">
        <f>SUM(K27:N27)</f>
        <v>14697</v>
      </c>
      <c r="AG27" s="9">
        <f>SUM(O27:R27)</f>
        <v>14697</v>
      </c>
      <c r="AH27" s="9">
        <f t="shared" ref="AH27:AT27" si="22">+AG27*1.01</f>
        <v>14843.97</v>
      </c>
      <c r="AI27" s="9">
        <f t="shared" si="22"/>
        <v>14992.4097</v>
      </c>
      <c r="AJ27" s="9">
        <f t="shared" si="22"/>
        <v>15142.333797000001</v>
      </c>
      <c r="AK27" s="9">
        <f t="shared" si="22"/>
        <v>15293.757134970001</v>
      </c>
      <c r="AL27" s="9">
        <f t="shared" si="22"/>
        <v>15446.6947063197</v>
      </c>
      <c r="AM27" s="9">
        <f t="shared" si="22"/>
        <v>15601.161653382898</v>
      </c>
      <c r="AN27" s="9">
        <f t="shared" si="22"/>
        <v>15757.173269916728</v>
      </c>
      <c r="AO27" s="9">
        <f t="shared" si="22"/>
        <v>15914.745002615895</v>
      </c>
      <c r="AP27" s="9">
        <f t="shared" si="22"/>
        <v>16073.892452642054</v>
      </c>
      <c r="AQ27" s="9">
        <f t="shared" si="22"/>
        <v>16234.631377168475</v>
      </c>
      <c r="AR27" s="9">
        <f t="shared" si="22"/>
        <v>16396.977690940159</v>
      </c>
      <c r="AS27" s="9">
        <f t="shared" si="22"/>
        <v>16560.947467849561</v>
      </c>
      <c r="AT27" s="9">
        <f t="shared" si="22"/>
        <v>16726.556942528056</v>
      </c>
    </row>
    <row r="28" spans="2:46" s="9" customFormat="1" x14ac:dyDescent="0.2">
      <c r="B28" s="9" t="s">
        <v>22</v>
      </c>
      <c r="C28" s="10">
        <v>1010</v>
      </c>
      <c r="D28" s="10">
        <v>1235</v>
      </c>
      <c r="E28" s="10">
        <v>1166</v>
      </c>
      <c r="F28" s="10">
        <v>1335</v>
      </c>
      <c r="G28" s="10">
        <v>1151</v>
      </c>
      <c r="H28" s="10">
        <v>1097</v>
      </c>
      <c r="I28" s="10">
        <v>1091</v>
      </c>
      <c r="J28" s="10">
        <v>1272</v>
      </c>
      <c r="K28" s="10">
        <v>1084</v>
      </c>
      <c r="L28" s="10">
        <v>1038</v>
      </c>
      <c r="M28" s="10">
        <v>1140</v>
      </c>
      <c r="N28" s="10">
        <v>1301</v>
      </c>
      <c r="O28" s="10">
        <f t="shared" si="20"/>
        <v>1084</v>
      </c>
      <c r="P28" s="10">
        <f t="shared" si="20"/>
        <v>1038</v>
      </c>
      <c r="Q28" s="10">
        <f t="shared" si="20"/>
        <v>1140</v>
      </c>
      <c r="R28" s="10">
        <f t="shared" si="20"/>
        <v>1301</v>
      </c>
      <c r="V28" s="9">
        <v>3758</v>
      </c>
      <c r="W28" s="9">
        <v>3329</v>
      </c>
      <c r="X28" s="9">
        <v>5127</v>
      </c>
      <c r="Y28" s="9">
        <v>4030</v>
      </c>
      <c r="Z28" s="9">
        <v>4063</v>
      </c>
      <c r="AA28" s="9">
        <v>4222</v>
      </c>
      <c r="AB28" s="9">
        <v>4569</v>
      </c>
      <c r="AC28" s="9">
        <v>5013</v>
      </c>
      <c r="AD28" s="9">
        <v>4677</v>
      </c>
      <c r="AE28" s="9">
        <v>4611</v>
      </c>
      <c r="AF28" s="9">
        <f>SUM(K28:N28)</f>
        <v>4563</v>
      </c>
      <c r="AG28" s="9">
        <f>SUM(O28:R28)</f>
        <v>4563</v>
      </c>
      <c r="AH28" s="9">
        <f t="shared" ref="AH28:AT28" si="23">+AG28*1.01</f>
        <v>4608.63</v>
      </c>
      <c r="AI28" s="9">
        <f t="shared" si="23"/>
        <v>4654.7163</v>
      </c>
      <c r="AJ28" s="9">
        <f t="shared" si="23"/>
        <v>4701.2634630000002</v>
      </c>
      <c r="AK28" s="9">
        <f t="shared" si="23"/>
        <v>4748.2760976300005</v>
      </c>
      <c r="AL28" s="9">
        <f t="shared" si="23"/>
        <v>4795.7588586063002</v>
      </c>
      <c r="AM28" s="9">
        <f t="shared" si="23"/>
        <v>4843.7164471923634</v>
      </c>
      <c r="AN28" s="9">
        <f t="shared" si="23"/>
        <v>4892.1536116642874</v>
      </c>
      <c r="AO28" s="9">
        <f t="shared" si="23"/>
        <v>4941.0751477809299</v>
      </c>
      <c r="AP28" s="9">
        <f t="shared" si="23"/>
        <v>4990.4858992587397</v>
      </c>
      <c r="AQ28" s="9">
        <f t="shared" si="23"/>
        <v>5040.3907582513275</v>
      </c>
      <c r="AR28" s="9">
        <f t="shared" si="23"/>
        <v>5090.7946658338406</v>
      </c>
      <c r="AS28" s="9">
        <f t="shared" si="23"/>
        <v>5141.7026124921786</v>
      </c>
      <c r="AT28" s="9">
        <f t="shared" si="23"/>
        <v>5193.1196386171005</v>
      </c>
    </row>
    <row r="29" spans="2:46" s="9" customFormat="1" x14ac:dyDescent="0.2">
      <c r="B29" s="9" t="s">
        <v>25</v>
      </c>
      <c r="C29" s="10">
        <f t="shared" ref="C29:D29" si="24">SUM(C26:C28)</f>
        <v>7081</v>
      </c>
      <c r="D29" s="10">
        <f t="shared" si="24"/>
        <v>8266</v>
      </c>
      <c r="E29" s="10">
        <f t="shared" ref="E29:L29" si="25">SUM(E26:E28)</f>
        <v>7451</v>
      </c>
      <c r="F29" s="10">
        <f t="shared" si="25"/>
        <v>9140</v>
      </c>
      <c r="G29" s="10">
        <f t="shared" si="25"/>
        <v>7944</v>
      </c>
      <c r="H29" s="10">
        <f t="shared" si="25"/>
        <v>8315</v>
      </c>
      <c r="I29" s="10">
        <f t="shared" si="25"/>
        <v>7784</v>
      </c>
      <c r="J29" s="10">
        <f t="shared" si="25"/>
        <v>8327</v>
      </c>
      <c r="K29" s="10">
        <f t="shared" si="25"/>
        <v>7379</v>
      </c>
      <c r="L29" s="10">
        <f t="shared" si="25"/>
        <v>7898</v>
      </c>
      <c r="M29" s="10">
        <f t="shared" ref="M29:N29" si="26">SUM(M26:M28)</f>
        <v>7526</v>
      </c>
      <c r="N29" s="10">
        <f t="shared" si="26"/>
        <v>8445</v>
      </c>
      <c r="O29" s="10">
        <f t="shared" ref="O29" si="27">SUM(O26:O28)</f>
        <v>7379</v>
      </c>
      <c r="P29" s="10">
        <f t="shared" ref="P29" si="28">SUM(P26:P28)</f>
        <v>7898</v>
      </c>
      <c r="Q29" s="10">
        <f t="shared" ref="Q29" si="29">SUM(Q26:Q28)</f>
        <v>7526</v>
      </c>
      <c r="R29" s="10">
        <f t="shared" ref="R29" si="30">SUM(R26:R28)</f>
        <v>8445</v>
      </c>
      <c r="V29" s="10">
        <f t="shared" ref="V29:AE29" si="31">SUM(V26:V28)</f>
        <v>20160</v>
      </c>
      <c r="W29" s="10">
        <f t="shared" si="31"/>
        <v>21991</v>
      </c>
      <c r="X29" s="10">
        <f t="shared" si="31"/>
        <v>26551</v>
      </c>
      <c r="Y29" s="10">
        <f t="shared" si="31"/>
        <v>25919</v>
      </c>
      <c r="Z29" s="10">
        <f t="shared" si="31"/>
        <v>25991</v>
      </c>
      <c r="AA29" s="10">
        <f t="shared" si="31"/>
        <v>27205</v>
      </c>
      <c r="AB29" s="10">
        <f t="shared" si="31"/>
        <v>28237</v>
      </c>
      <c r="AC29" s="10">
        <f t="shared" si="31"/>
        <v>30700</v>
      </c>
      <c r="AD29" s="10">
        <f t="shared" si="31"/>
        <v>31869</v>
      </c>
      <c r="AE29" s="10">
        <f t="shared" si="31"/>
        <v>32370</v>
      </c>
      <c r="AF29" s="10">
        <f t="shared" ref="AF29:AG29" si="32">SUM(AF26:AF28)</f>
        <v>31248</v>
      </c>
      <c r="AG29" s="10">
        <f t="shared" si="32"/>
        <v>31248</v>
      </c>
      <c r="AH29" s="10">
        <f t="shared" ref="AH29" si="33">SUM(AH26:AH28)</f>
        <v>31560.48</v>
      </c>
      <c r="AI29" s="10">
        <f t="shared" ref="AI29" si="34">SUM(AI26:AI28)</f>
        <v>31876.084799999997</v>
      </c>
      <c r="AJ29" s="10">
        <f t="shared" ref="AJ29" si="35">SUM(AJ26:AJ28)</f>
        <v>32194.845647999999</v>
      </c>
      <c r="AK29" s="10">
        <f t="shared" ref="AK29" si="36">SUM(AK26:AK28)</f>
        <v>32516.794104479999</v>
      </c>
      <c r="AL29" s="10">
        <f t="shared" ref="AL29" si="37">SUM(AL26:AL28)</f>
        <v>32841.9620455248</v>
      </c>
      <c r="AM29" s="10">
        <f t="shared" ref="AM29" si="38">SUM(AM26:AM28)</f>
        <v>33170.38166598005</v>
      </c>
      <c r="AN29" s="10">
        <f t="shared" ref="AN29" si="39">SUM(AN26:AN28)</f>
        <v>33502.08548263985</v>
      </c>
      <c r="AO29" s="10">
        <f t="shared" ref="AO29" si="40">SUM(AO26:AO28)</f>
        <v>33837.106337466248</v>
      </c>
      <c r="AP29" s="10">
        <f t="shared" ref="AP29" si="41">SUM(AP26:AP28)</f>
        <v>34175.477400840915</v>
      </c>
      <c r="AQ29" s="10">
        <f t="shared" ref="AQ29" si="42">SUM(AQ26:AQ28)</f>
        <v>34517.232174849327</v>
      </c>
      <c r="AR29" s="10">
        <f t="shared" ref="AR29" si="43">SUM(AR26:AR28)</f>
        <v>34862.404496597817</v>
      </c>
      <c r="AS29" s="10">
        <f t="shared" ref="AS29" si="44">SUM(AS26:AS28)</f>
        <v>35211.028541563792</v>
      </c>
      <c r="AT29" s="10">
        <f t="shared" ref="AT29" si="45">SUM(AT26:AT28)</f>
        <v>35563.138826979433</v>
      </c>
    </row>
    <row r="30" spans="2:46" s="9" customFormat="1" x14ac:dyDescent="0.2">
      <c r="B30" s="9" t="s">
        <v>26</v>
      </c>
      <c r="C30" s="10">
        <f t="shared" ref="C30:D30" si="46">C25-C29</f>
        <v>6334</v>
      </c>
      <c r="D30" s="10">
        <f t="shared" si="46"/>
        <v>7969</v>
      </c>
      <c r="E30" s="10">
        <f t="shared" ref="E30:L30" si="47">E25-E29</f>
        <v>6974</v>
      </c>
      <c r="F30" s="10">
        <f t="shared" si="47"/>
        <v>6609</v>
      </c>
      <c r="G30" s="10">
        <f t="shared" si="47"/>
        <v>6984</v>
      </c>
      <c r="H30" s="10">
        <f t="shared" si="47"/>
        <v>8019</v>
      </c>
      <c r="I30" s="10">
        <f t="shared" si="47"/>
        <v>6784</v>
      </c>
      <c r="J30" s="10">
        <f t="shared" si="47"/>
        <v>6385</v>
      </c>
      <c r="K30" s="10">
        <f t="shared" si="47"/>
        <v>5793</v>
      </c>
      <c r="L30" s="10">
        <f t="shared" si="47"/>
        <v>6026</v>
      </c>
      <c r="M30" s="10">
        <f t="shared" ref="M30:N30" si="48">M25-M29</f>
        <v>6828</v>
      </c>
      <c r="N30" s="10">
        <f t="shared" si="48"/>
        <v>4190</v>
      </c>
      <c r="O30" s="10">
        <f t="shared" ref="O30" si="49">O25-O29</f>
        <v>5588.1576999999997</v>
      </c>
      <c r="P30" s="10">
        <f t="shared" ref="P30" si="50">P25-P29</f>
        <v>7243.3948</v>
      </c>
      <c r="Q30" s="10">
        <f t="shared" ref="Q30" si="51">Q25-Q29</f>
        <v>6520.9587999999985</v>
      </c>
      <c r="R30" s="10">
        <f t="shared" ref="R30" si="52">R25-R29</f>
        <v>4671.6882000000005</v>
      </c>
      <c r="V30" s="10">
        <f t="shared" ref="V30:AE30" si="53">V25-V29</f>
        <v>16472</v>
      </c>
      <c r="W30" s="10">
        <f t="shared" si="53"/>
        <v>18438</v>
      </c>
      <c r="X30" s="10">
        <f t="shared" si="53"/>
        <v>22271</v>
      </c>
      <c r="Y30" s="10">
        <f t="shared" si="53"/>
        <v>20363</v>
      </c>
      <c r="Z30" s="10">
        <f t="shared" si="53"/>
        <v>24098</v>
      </c>
      <c r="AA30" s="10">
        <f t="shared" si="53"/>
        <v>27161</v>
      </c>
      <c r="AB30" s="10">
        <f t="shared" si="53"/>
        <v>27956</v>
      </c>
      <c r="AC30" s="10">
        <f t="shared" si="53"/>
        <v>26764</v>
      </c>
      <c r="AD30" s="10">
        <f t="shared" si="53"/>
        <v>27886</v>
      </c>
      <c r="AE30" s="10">
        <f t="shared" si="53"/>
        <v>28172</v>
      </c>
      <c r="AF30" s="10">
        <f t="shared" ref="AF30:AG30" si="54">AF25-AF29</f>
        <v>22837</v>
      </c>
      <c r="AG30" s="10">
        <f t="shared" si="54"/>
        <v>24024.199499999988</v>
      </c>
      <c r="AH30" s="10">
        <f t="shared" ref="AH30" si="55">AH25-AH29</f>
        <v>24817.163489999995</v>
      </c>
      <c r="AI30" s="10">
        <f t="shared" ref="AI30" si="56">AI25-AI29</f>
        <v>26192.887994700002</v>
      </c>
      <c r="AJ30" s="10">
        <f t="shared" ref="AJ30" si="57">AJ25-AJ29</f>
        <v>27616.196330541006</v>
      </c>
      <c r="AK30" s="10">
        <f t="shared" ref="AK30" si="58">AK25-AK29</f>
        <v>29088.579133417228</v>
      </c>
      <c r="AL30" s="10">
        <f t="shared" ref="AL30" si="59">AL25-AL29</f>
        <v>30611.572389509347</v>
      </c>
      <c r="AM30" s="10">
        <f t="shared" ref="AM30" si="60">AM25-AM29</f>
        <v>32186.75880210512</v>
      </c>
      <c r="AN30" s="10">
        <f t="shared" ref="AN30" si="61">AN25-AN29</f>
        <v>33815.769199487877</v>
      </c>
      <c r="AO30" s="10">
        <f t="shared" ref="AO30" si="62">AO25-AO29</f>
        <v>35500.283985125308</v>
      </c>
      <c r="AP30" s="10">
        <f t="shared" ref="AP30" si="63">AP25-AP29</f>
        <v>37242.034631428396</v>
      </c>
      <c r="AQ30" s="10">
        <f t="shared" ref="AQ30" si="64">AQ25-AQ29</f>
        <v>39042.805218388065</v>
      </c>
      <c r="AR30" s="10">
        <f t="shared" ref="AR30" si="65">AR25-AR29</f>
        <v>40904.434018436696</v>
      </c>
      <c r="AS30" s="10">
        <f t="shared" ref="AS30" si="66">AS25-AS29</f>
        <v>42828.815128921764</v>
      </c>
      <c r="AT30" s="10">
        <f t="shared" ref="AT30" si="67">AT25-AT29</f>
        <v>44817.900153620685</v>
      </c>
    </row>
    <row r="31" spans="2:46" s="9" customFormat="1" x14ac:dyDescent="0.2">
      <c r="B31" s="9" t="s">
        <v>32</v>
      </c>
      <c r="C31" s="10">
        <v>74</v>
      </c>
      <c r="D31" s="10">
        <v>-91</v>
      </c>
      <c r="E31" s="10">
        <v>-17</v>
      </c>
      <c r="F31" s="10">
        <v>95</v>
      </c>
      <c r="G31" s="10">
        <v>52</v>
      </c>
      <c r="H31" s="10">
        <v>74</v>
      </c>
      <c r="I31" s="10">
        <v>-77</v>
      </c>
      <c r="J31" s="10">
        <v>297</v>
      </c>
      <c r="K31" s="10">
        <v>-280</v>
      </c>
      <c r="L31" s="10">
        <v>-171</v>
      </c>
      <c r="M31" s="10">
        <v>-247</v>
      </c>
      <c r="N31" s="10">
        <v>267</v>
      </c>
      <c r="O31" s="10">
        <f t="shared" ref="O31:R31" si="68">N31+10</f>
        <v>277</v>
      </c>
      <c r="P31" s="10">
        <f t="shared" si="68"/>
        <v>287</v>
      </c>
      <c r="Q31" s="10">
        <f t="shared" si="68"/>
        <v>297</v>
      </c>
      <c r="R31" s="10">
        <f t="shared" si="68"/>
        <v>307</v>
      </c>
      <c r="V31" s="9">
        <v>1790</v>
      </c>
      <c r="W31" s="9">
        <v>1663</v>
      </c>
      <c r="X31" s="9">
        <v>1543</v>
      </c>
      <c r="Y31" s="9">
        <v>-542</v>
      </c>
      <c r="Z31" s="9">
        <v>915</v>
      </c>
      <c r="AA31" s="9">
        <v>910</v>
      </c>
      <c r="AB31" s="9">
        <v>504</v>
      </c>
      <c r="AC31" s="9">
        <v>288</v>
      </c>
      <c r="AD31" s="9">
        <v>61</v>
      </c>
      <c r="AE31" s="9">
        <v>346</v>
      </c>
      <c r="AF31" s="9">
        <f>SUM(K31:N31)</f>
        <v>-431</v>
      </c>
      <c r="AG31" s="9">
        <f>SUM(O31:R31)</f>
        <v>1168</v>
      </c>
      <c r="AH31" s="9">
        <f t="shared" ref="AH31:AT31" si="69">+AG48*$AW$38</f>
        <v>564.21840797499999</v>
      </c>
      <c r="AI31" s="9">
        <f t="shared" si="69"/>
        <v>665.74393556689995</v>
      </c>
      <c r="AJ31" s="9">
        <f t="shared" si="69"/>
        <v>773.17846328796747</v>
      </c>
      <c r="AK31" s="9">
        <f t="shared" si="69"/>
        <v>886.73596246328339</v>
      </c>
      <c r="AL31" s="9">
        <f t="shared" si="69"/>
        <v>1006.6372228468055</v>
      </c>
      <c r="AM31" s="9">
        <f t="shared" si="69"/>
        <v>1133.11006129623</v>
      </c>
      <c r="AN31" s="9">
        <f t="shared" si="69"/>
        <v>1266.3895367498353</v>
      </c>
      <c r="AO31" s="9">
        <f t="shared" si="69"/>
        <v>1406.7181716947864</v>
      </c>
      <c r="AP31" s="9">
        <f t="shared" si="69"/>
        <v>1554.3461803220666</v>
      </c>
      <c r="AQ31" s="9">
        <f t="shared" si="69"/>
        <v>1709.5317035690684</v>
      </c>
      <c r="AR31" s="9">
        <f t="shared" si="69"/>
        <v>1872.5410512568967</v>
      </c>
      <c r="AS31" s="9">
        <f t="shared" si="69"/>
        <v>2043.6489515356711</v>
      </c>
      <c r="AT31" s="9">
        <f t="shared" si="69"/>
        <v>2223.138807857501</v>
      </c>
    </row>
    <row r="32" spans="2:46" s="9" customFormat="1" x14ac:dyDescent="0.2">
      <c r="B32" s="9" t="s">
        <v>31</v>
      </c>
      <c r="C32" s="10">
        <f t="shared" ref="C32:D32" si="70">+C31+C30</f>
        <v>6408</v>
      </c>
      <c r="D32" s="10">
        <f t="shared" si="70"/>
        <v>7878</v>
      </c>
      <c r="E32" s="10">
        <f t="shared" ref="E32:M32" si="71">+E31+E30</f>
        <v>6957</v>
      </c>
      <c r="F32" s="10">
        <f t="shared" si="71"/>
        <v>6704</v>
      </c>
      <c r="G32" s="10">
        <f t="shared" si="71"/>
        <v>7036</v>
      </c>
      <c r="H32" s="10">
        <f t="shared" si="71"/>
        <v>8093</v>
      </c>
      <c r="I32" s="10">
        <f t="shared" si="71"/>
        <v>6707</v>
      </c>
      <c r="J32" s="10">
        <f t="shared" si="71"/>
        <v>6682</v>
      </c>
      <c r="K32" s="10">
        <f t="shared" si="71"/>
        <v>5513</v>
      </c>
      <c r="L32" s="10">
        <f t="shared" si="71"/>
        <v>5855</v>
      </c>
      <c r="M32" s="10">
        <f t="shared" si="71"/>
        <v>6581</v>
      </c>
      <c r="N32" s="10">
        <f t="shared" ref="N32" si="72">+N31+N30</f>
        <v>4457</v>
      </c>
      <c r="O32" s="10">
        <f t="shared" ref="O32" si="73">+O31+O30</f>
        <v>5865.1576999999997</v>
      </c>
      <c r="P32" s="10">
        <f t="shared" ref="P32" si="74">+P31+P30</f>
        <v>7530.3948</v>
      </c>
      <c r="Q32" s="10">
        <f t="shared" ref="Q32" si="75">+Q31+Q30</f>
        <v>6817.9587999999985</v>
      </c>
      <c r="R32" s="10">
        <f t="shared" ref="R32" si="76">+R31+R30</f>
        <v>4978.6882000000005</v>
      </c>
      <c r="V32" s="10">
        <f t="shared" ref="V32" si="77">+V31+V30</f>
        <v>18262</v>
      </c>
      <c r="W32" s="10">
        <f t="shared" ref="W32:X32" si="78">+W31+W30</f>
        <v>20101</v>
      </c>
      <c r="X32" s="10">
        <f t="shared" si="78"/>
        <v>23814</v>
      </c>
      <c r="Y32" s="10">
        <f t="shared" ref="Y32:Z32" si="79">+Y31+Y30</f>
        <v>19821</v>
      </c>
      <c r="Z32" s="10">
        <f t="shared" si="79"/>
        <v>25013</v>
      </c>
      <c r="AA32" s="10">
        <f t="shared" ref="AA32:AB32" si="80">+AA31+AA30</f>
        <v>28071</v>
      </c>
      <c r="AB32" s="10">
        <f t="shared" si="80"/>
        <v>28460</v>
      </c>
      <c r="AC32" s="10">
        <f t="shared" ref="AC32:AD32" si="81">+AC31+AC30</f>
        <v>27052</v>
      </c>
      <c r="AD32" s="10">
        <f t="shared" si="81"/>
        <v>27947</v>
      </c>
      <c r="AE32" s="10">
        <f t="shared" ref="AE32:AF32" si="82">+AE31+AE30</f>
        <v>28518</v>
      </c>
      <c r="AF32" s="10">
        <f t="shared" si="82"/>
        <v>22406</v>
      </c>
      <c r="AG32" s="10">
        <f>+AG31+AG30</f>
        <v>25192.199499999988</v>
      </c>
      <c r="AH32" s="10">
        <f t="shared" ref="AH32" si="83">+AH31+AH30</f>
        <v>25381.381897974996</v>
      </c>
      <c r="AI32" s="10">
        <f t="shared" ref="AI32" si="84">+AI31+AI30</f>
        <v>26858.631930266904</v>
      </c>
      <c r="AJ32" s="10">
        <f t="shared" ref="AJ32" si="85">+AJ31+AJ30</f>
        <v>28389.374793828974</v>
      </c>
      <c r="AK32" s="10">
        <f t="shared" ref="AK32" si="86">+AK31+AK30</f>
        <v>29975.315095880513</v>
      </c>
      <c r="AL32" s="10">
        <f t="shared" ref="AL32" si="87">+AL31+AL30</f>
        <v>31618.209612356153</v>
      </c>
      <c r="AM32" s="10">
        <f t="shared" ref="AM32" si="88">+AM31+AM30</f>
        <v>33319.868863401352</v>
      </c>
      <c r="AN32" s="10">
        <f t="shared" ref="AN32" si="89">+AN31+AN30</f>
        <v>35082.15873623771</v>
      </c>
      <c r="AO32" s="10">
        <f t="shared" ref="AO32" si="90">+AO31+AO30</f>
        <v>36907.002156820097</v>
      </c>
      <c r="AP32" s="10">
        <f t="shared" ref="AP32" si="91">+AP31+AP30</f>
        <v>38796.38081175046</v>
      </c>
      <c r="AQ32" s="10">
        <f t="shared" ref="AQ32" si="92">+AQ31+AQ30</f>
        <v>40752.336921957132</v>
      </c>
      <c r="AR32" s="10">
        <f t="shared" ref="AR32" si="93">+AR31+AR30</f>
        <v>42776.975069693595</v>
      </c>
      <c r="AS32" s="10">
        <f t="shared" ref="AS32" si="94">+AS31+AS30</f>
        <v>44872.464080457437</v>
      </c>
      <c r="AT32" s="10">
        <f t="shared" ref="AT32" si="95">+AT31+AT30</f>
        <v>47041.038961478189</v>
      </c>
    </row>
    <row r="33" spans="2:149" s="9" customFormat="1" x14ac:dyDescent="0.2">
      <c r="B33" s="9" t="s">
        <v>30</v>
      </c>
      <c r="C33" s="10">
        <v>1164</v>
      </c>
      <c r="D33" s="10">
        <v>1320</v>
      </c>
      <c r="E33" s="10">
        <v>1297</v>
      </c>
      <c r="F33" s="10">
        <v>1965</v>
      </c>
      <c r="G33" s="10">
        <v>1356</v>
      </c>
      <c r="H33" s="10">
        <v>1987</v>
      </c>
      <c r="I33" s="10">
        <v>1532</v>
      </c>
      <c r="J33" s="10">
        <v>1439</v>
      </c>
      <c r="K33" s="10">
        <v>893</v>
      </c>
      <c r="L33" s="10">
        <v>857</v>
      </c>
      <c r="M33" s="10">
        <v>1280</v>
      </c>
      <c r="N33" s="10">
        <v>225</v>
      </c>
      <c r="O33" s="10">
        <f t="shared" ref="O33:R33" si="96">+O32*0.19</f>
        <v>1114.3799629999999</v>
      </c>
      <c r="P33" s="10">
        <f t="shared" si="96"/>
        <v>1430.7750120000001</v>
      </c>
      <c r="Q33" s="10">
        <f t="shared" si="96"/>
        <v>1295.4121719999998</v>
      </c>
      <c r="R33" s="10">
        <f t="shared" si="96"/>
        <v>945.95075800000006</v>
      </c>
      <c r="V33" s="9">
        <v>5663</v>
      </c>
      <c r="W33" s="9">
        <v>6036</v>
      </c>
      <c r="X33" s="9">
        <v>6133</v>
      </c>
      <c r="Y33" s="9">
        <v>5252</v>
      </c>
      <c r="Z33" s="9">
        <v>6253</v>
      </c>
      <c r="AA33" s="9">
        <v>4921</v>
      </c>
      <c r="AB33" s="9">
        <v>5289</v>
      </c>
      <c r="AC33" s="9">
        <v>5189</v>
      </c>
      <c r="AD33" s="9">
        <v>5746</v>
      </c>
      <c r="AE33" s="9">
        <v>6314</v>
      </c>
      <c r="AF33" s="9">
        <f>SUM(K33:N33)</f>
        <v>3255</v>
      </c>
      <c r="AG33" s="9">
        <f>SUM(O33:R33)</f>
        <v>4786.5179049999997</v>
      </c>
      <c r="AH33" s="9">
        <f>+AH32*0.2</f>
        <v>5076.2763795949995</v>
      </c>
      <c r="AI33" s="9">
        <f t="shared" ref="AI33:AT33" si="97">+AI32*0.2</f>
        <v>5371.7263860533812</v>
      </c>
      <c r="AJ33" s="9">
        <f t="shared" si="97"/>
        <v>5677.8749587657949</v>
      </c>
      <c r="AK33" s="9">
        <f t="shared" si="97"/>
        <v>5995.0630191761029</v>
      </c>
      <c r="AL33" s="9">
        <f t="shared" si="97"/>
        <v>6323.6419224712308</v>
      </c>
      <c r="AM33" s="9">
        <f t="shared" si="97"/>
        <v>6663.9737726802705</v>
      </c>
      <c r="AN33" s="9">
        <f t="shared" si="97"/>
        <v>7016.4317472475423</v>
      </c>
      <c r="AO33" s="9">
        <f t="shared" si="97"/>
        <v>7381.4004313640198</v>
      </c>
      <c r="AP33" s="9">
        <f t="shared" si="97"/>
        <v>7759.2761623500919</v>
      </c>
      <c r="AQ33" s="9">
        <f t="shared" si="97"/>
        <v>8150.467384391427</v>
      </c>
      <c r="AR33" s="9">
        <f t="shared" si="97"/>
        <v>8555.3950139387198</v>
      </c>
      <c r="AS33" s="9">
        <f t="shared" si="97"/>
        <v>8974.4928160914878</v>
      </c>
      <c r="AT33" s="9">
        <f t="shared" si="97"/>
        <v>9408.2077922956378</v>
      </c>
    </row>
    <row r="34" spans="2:149" s="5" customFormat="1" x14ac:dyDescent="0.2">
      <c r="B34" s="5" t="s">
        <v>29</v>
      </c>
      <c r="C34" s="6">
        <f t="shared" ref="C34:D34" si="98">+C32-C33</f>
        <v>5244</v>
      </c>
      <c r="D34" s="6">
        <f t="shared" si="98"/>
        <v>6558</v>
      </c>
      <c r="E34" s="6">
        <f t="shared" ref="E34:M34" si="99">+E32-E33</f>
        <v>5660</v>
      </c>
      <c r="F34" s="6">
        <f t="shared" si="99"/>
        <v>4739</v>
      </c>
      <c r="G34" s="6">
        <f t="shared" si="99"/>
        <v>5680</v>
      </c>
      <c r="H34" s="6">
        <f t="shared" si="99"/>
        <v>6106</v>
      </c>
      <c r="I34" s="6">
        <f t="shared" si="99"/>
        <v>5175</v>
      </c>
      <c r="J34" s="6">
        <f t="shared" si="99"/>
        <v>5243</v>
      </c>
      <c r="K34" s="6">
        <f t="shared" si="99"/>
        <v>4620</v>
      </c>
      <c r="L34" s="6">
        <f t="shared" si="99"/>
        <v>4998</v>
      </c>
      <c r="M34" s="6">
        <f t="shared" si="99"/>
        <v>5301</v>
      </c>
      <c r="N34" s="6">
        <f t="shared" ref="N34" si="100">+N32-N33</f>
        <v>4232</v>
      </c>
      <c r="O34" s="6">
        <f t="shared" ref="O34" si="101">+O32-O33</f>
        <v>4750.7777370000003</v>
      </c>
      <c r="P34" s="6">
        <f t="shared" ref="P34" si="102">+P32-P33</f>
        <v>6099.619788</v>
      </c>
      <c r="Q34" s="6">
        <f t="shared" ref="Q34" si="103">+Q32-Q33</f>
        <v>5522.5466279999982</v>
      </c>
      <c r="R34" s="6">
        <f t="shared" ref="R34" si="104">+R32-R33</f>
        <v>4032.7374420000006</v>
      </c>
      <c r="V34" s="6">
        <f t="shared" ref="V34" si="105">+V32-V33</f>
        <v>12599</v>
      </c>
      <c r="W34" s="6">
        <f t="shared" ref="W34:X34" si="106">+W32-W33</f>
        <v>14065</v>
      </c>
      <c r="X34" s="6">
        <f t="shared" si="106"/>
        <v>17681</v>
      </c>
      <c r="Y34" s="6">
        <f t="shared" ref="Y34:Z34" si="107">+Y32-Y33</f>
        <v>14569</v>
      </c>
      <c r="Z34" s="6">
        <f t="shared" si="107"/>
        <v>18760</v>
      </c>
      <c r="AA34" s="6">
        <f t="shared" ref="AA34:AB34" si="108">+AA32-AA33</f>
        <v>23150</v>
      </c>
      <c r="AB34" s="6">
        <f t="shared" si="108"/>
        <v>23171</v>
      </c>
      <c r="AC34" s="6">
        <f t="shared" ref="AC34:AD34" si="109">+AC32-AC33</f>
        <v>21863</v>
      </c>
      <c r="AD34" s="6">
        <f t="shared" si="109"/>
        <v>22201</v>
      </c>
      <c r="AE34" s="6">
        <f t="shared" ref="AE34:AF34" si="110">+AE32-AE33</f>
        <v>22204</v>
      </c>
      <c r="AF34" s="6">
        <f t="shared" si="110"/>
        <v>19151</v>
      </c>
      <c r="AG34" s="6">
        <f t="shared" ref="AG34" si="111">+AG32-AG33</f>
        <v>20405.681594999987</v>
      </c>
      <c r="AH34" s="6">
        <f t="shared" ref="AH34" si="112">+AH32-AH33</f>
        <v>20305.105518379998</v>
      </c>
      <c r="AI34" s="6">
        <f t="shared" ref="AI34" si="113">+AI32-AI33</f>
        <v>21486.905544213521</v>
      </c>
      <c r="AJ34" s="6">
        <f t="shared" ref="AJ34" si="114">+AJ32-AJ33</f>
        <v>22711.499835063179</v>
      </c>
      <c r="AK34" s="6">
        <f t="shared" ref="AK34" si="115">+AK32-AK33</f>
        <v>23980.252076704412</v>
      </c>
      <c r="AL34" s="6">
        <f t="shared" ref="AL34" si="116">+AL32-AL33</f>
        <v>25294.567689884923</v>
      </c>
      <c r="AM34" s="6">
        <f t="shared" ref="AM34" si="117">+AM32-AM33</f>
        <v>26655.895090721082</v>
      </c>
      <c r="AN34" s="6">
        <f t="shared" ref="AN34" si="118">+AN32-AN33</f>
        <v>28065.726988990169</v>
      </c>
      <c r="AO34" s="6">
        <f t="shared" ref="AO34" si="119">+AO32-AO33</f>
        <v>29525.601725456079</v>
      </c>
      <c r="AP34" s="6">
        <f t="shared" ref="AP34" si="120">+AP32-AP33</f>
        <v>31037.104649400368</v>
      </c>
      <c r="AQ34" s="6">
        <f t="shared" ref="AQ34" si="121">+AQ32-AQ33</f>
        <v>32601.869537565704</v>
      </c>
      <c r="AR34" s="6">
        <f t="shared" ref="AR34" si="122">+AR32-AR33</f>
        <v>34221.580055754879</v>
      </c>
      <c r="AS34" s="6">
        <f t="shared" ref="AS34" si="123">+AS32-AS33</f>
        <v>35897.971264365951</v>
      </c>
      <c r="AT34" s="6">
        <f t="shared" ref="AT34" si="124">+AT32-AT33</f>
        <v>37632.831169182551</v>
      </c>
      <c r="AU34" s="5">
        <f>AT34*(1+$AW$37)</f>
        <v>36503.846234107077</v>
      </c>
      <c r="AV34" s="5">
        <f t="shared" ref="AV34:DG34" si="125">AU34*(1+$AW$37)</f>
        <v>35408.730847083862</v>
      </c>
      <c r="AW34" s="5">
        <f t="shared" si="125"/>
        <v>34346.468921671345</v>
      </c>
      <c r="AX34" s="5">
        <f t="shared" si="125"/>
        <v>33316.074854021201</v>
      </c>
      <c r="AY34" s="5">
        <f t="shared" si="125"/>
        <v>32316.592608400562</v>
      </c>
      <c r="AZ34" s="5">
        <f t="shared" si="125"/>
        <v>31347.094830148544</v>
      </c>
      <c r="BA34" s="5">
        <f t="shared" si="125"/>
        <v>30406.681985244086</v>
      </c>
      <c r="BB34" s="5">
        <f t="shared" si="125"/>
        <v>29494.481525686762</v>
      </c>
      <c r="BC34" s="5">
        <f t="shared" si="125"/>
        <v>28609.647079916158</v>
      </c>
      <c r="BD34" s="5">
        <f t="shared" si="125"/>
        <v>27751.357667518674</v>
      </c>
      <c r="BE34" s="5">
        <f t="shared" si="125"/>
        <v>26918.816937493113</v>
      </c>
      <c r="BF34" s="5">
        <f t="shared" si="125"/>
        <v>26111.25242936832</v>
      </c>
      <c r="BG34" s="5">
        <f t="shared" si="125"/>
        <v>25327.91485648727</v>
      </c>
      <c r="BH34" s="5">
        <f t="shared" si="125"/>
        <v>24568.077410792652</v>
      </c>
      <c r="BI34" s="5">
        <f t="shared" si="125"/>
        <v>23831.035088468871</v>
      </c>
      <c r="BJ34" s="5">
        <f t="shared" si="125"/>
        <v>23116.104035814802</v>
      </c>
      <c r="BK34" s="5">
        <f t="shared" si="125"/>
        <v>22422.620914740357</v>
      </c>
      <c r="BL34" s="5">
        <f t="shared" si="125"/>
        <v>21749.942287298145</v>
      </c>
      <c r="BM34" s="5">
        <f t="shared" si="125"/>
        <v>21097.444018679202</v>
      </c>
      <c r="BN34" s="5">
        <f t="shared" si="125"/>
        <v>20464.520698118824</v>
      </c>
      <c r="BO34" s="5">
        <f t="shared" si="125"/>
        <v>19850.585077175259</v>
      </c>
      <c r="BP34" s="5">
        <f t="shared" si="125"/>
        <v>19255.067524860002</v>
      </c>
      <c r="BQ34" s="5">
        <f t="shared" si="125"/>
        <v>18677.415499114202</v>
      </c>
      <c r="BR34" s="5">
        <f t="shared" si="125"/>
        <v>18117.093034140777</v>
      </c>
      <c r="BS34" s="5">
        <f t="shared" si="125"/>
        <v>17573.580243116554</v>
      </c>
      <c r="BT34" s="5">
        <f t="shared" si="125"/>
        <v>17046.372835823058</v>
      </c>
      <c r="BU34" s="5">
        <f t="shared" si="125"/>
        <v>16534.981650748367</v>
      </c>
      <c r="BV34" s="5">
        <f t="shared" si="125"/>
        <v>16038.932201225914</v>
      </c>
      <c r="BW34" s="5">
        <f t="shared" si="125"/>
        <v>15557.764235189137</v>
      </c>
      <c r="BX34" s="5">
        <f t="shared" si="125"/>
        <v>15091.031308133463</v>
      </c>
      <c r="BY34" s="5">
        <f t="shared" si="125"/>
        <v>14638.300368889459</v>
      </c>
      <c r="BZ34" s="5">
        <f t="shared" si="125"/>
        <v>14199.151357822775</v>
      </c>
      <c r="CA34" s="5">
        <f t="shared" si="125"/>
        <v>13773.176817088091</v>
      </c>
      <c r="CB34" s="5">
        <f t="shared" si="125"/>
        <v>13359.981512575449</v>
      </c>
      <c r="CC34" s="5">
        <f t="shared" si="125"/>
        <v>12959.182067198184</v>
      </c>
      <c r="CD34" s="5">
        <f t="shared" si="125"/>
        <v>12570.406605182237</v>
      </c>
      <c r="CE34" s="5">
        <f t="shared" si="125"/>
        <v>12193.294407026769</v>
      </c>
      <c r="CF34" s="5">
        <f t="shared" si="125"/>
        <v>11827.495574815966</v>
      </c>
      <c r="CG34" s="5">
        <f t="shared" si="125"/>
        <v>11472.670707571488</v>
      </c>
      <c r="CH34" s="5">
        <f t="shared" si="125"/>
        <v>11128.490586344342</v>
      </c>
      <c r="CI34" s="5">
        <f t="shared" si="125"/>
        <v>10794.635868754011</v>
      </c>
      <c r="CJ34" s="5">
        <f t="shared" si="125"/>
        <v>10470.79679269139</v>
      </c>
      <c r="CK34" s="5">
        <f t="shared" si="125"/>
        <v>10156.672888910647</v>
      </c>
      <c r="CL34" s="5">
        <f t="shared" si="125"/>
        <v>9851.9727022433271</v>
      </c>
      <c r="CM34" s="5">
        <f t="shared" si="125"/>
        <v>9556.4135211760276</v>
      </c>
      <c r="CN34" s="5">
        <f t="shared" si="125"/>
        <v>9269.7211155407458</v>
      </c>
      <c r="CO34" s="5">
        <f t="shared" si="125"/>
        <v>8991.6294820745225</v>
      </c>
      <c r="CP34" s="5">
        <f t="shared" si="125"/>
        <v>8721.8805976122858</v>
      </c>
      <c r="CQ34" s="5">
        <f t="shared" si="125"/>
        <v>8460.2241796839171</v>
      </c>
      <c r="CR34" s="5">
        <f t="shared" si="125"/>
        <v>8206.4174542933997</v>
      </c>
      <c r="CS34" s="5">
        <f t="shared" si="125"/>
        <v>7960.2249306645972</v>
      </c>
      <c r="CT34" s="5">
        <f t="shared" si="125"/>
        <v>7721.4181827446591</v>
      </c>
      <c r="CU34" s="5">
        <f t="shared" si="125"/>
        <v>7489.7756372623189</v>
      </c>
      <c r="CV34" s="5">
        <f t="shared" si="125"/>
        <v>7265.082368144449</v>
      </c>
      <c r="CW34" s="5">
        <f t="shared" si="125"/>
        <v>7047.1298971001152</v>
      </c>
      <c r="CX34" s="5">
        <f t="shared" si="125"/>
        <v>6835.7160001871116</v>
      </c>
      <c r="CY34" s="5">
        <f t="shared" si="125"/>
        <v>6630.6445201814977</v>
      </c>
      <c r="CZ34" s="5">
        <f t="shared" si="125"/>
        <v>6431.7251845760529</v>
      </c>
      <c r="DA34" s="5">
        <f t="shared" si="125"/>
        <v>6238.7734290387716</v>
      </c>
      <c r="DB34" s="5">
        <f t="shared" si="125"/>
        <v>6051.6102261676087</v>
      </c>
      <c r="DC34" s="5">
        <f t="shared" si="125"/>
        <v>5870.0619193825805</v>
      </c>
      <c r="DD34" s="5">
        <f t="shared" si="125"/>
        <v>5693.9600618011027</v>
      </c>
      <c r="DE34" s="5">
        <f t="shared" si="125"/>
        <v>5523.1412599470696</v>
      </c>
      <c r="DF34" s="5">
        <f t="shared" si="125"/>
        <v>5357.4470221486572</v>
      </c>
      <c r="DG34" s="5">
        <f t="shared" si="125"/>
        <v>5196.7236114841971</v>
      </c>
      <c r="DH34" s="5">
        <f t="shared" ref="DH34:ES34" si="126">DG34*(1+$AW$37)</f>
        <v>5040.8219031396711</v>
      </c>
      <c r="DI34" s="5">
        <f t="shared" si="126"/>
        <v>4889.5972460454805</v>
      </c>
      <c r="DJ34" s="5">
        <f t="shared" si="126"/>
        <v>4742.9093286641155</v>
      </c>
      <c r="DK34" s="5">
        <f t="shared" si="126"/>
        <v>4600.6220488041918</v>
      </c>
      <c r="DL34" s="5">
        <f t="shared" si="126"/>
        <v>4462.6033873400656</v>
      </c>
      <c r="DM34" s="5">
        <f t="shared" si="126"/>
        <v>4328.7252857198637</v>
      </c>
      <c r="DN34" s="5">
        <f t="shared" si="126"/>
        <v>4198.8635271482681</v>
      </c>
      <c r="DO34" s="5">
        <f t="shared" si="126"/>
        <v>4072.8976213338201</v>
      </c>
      <c r="DP34" s="5">
        <f t="shared" si="126"/>
        <v>3950.7106926938054</v>
      </c>
      <c r="DQ34" s="5">
        <f t="shared" si="126"/>
        <v>3832.1893719129912</v>
      </c>
      <c r="DR34" s="5">
        <f t="shared" si="126"/>
        <v>3717.2236907556012</v>
      </c>
      <c r="DS34" s="5">
        <f t="shared" si="126"/>
        <v>3605.7069800329332</v>
      </c>
      <c r="DT34" s="5">
        <f t="shared" si="126"/>
        <v>3497.5357706319451</v>
      </c>
      <c r="DU34" s="5">
        <f t="shared" si="126"/>
        <v>3392.6096975129867</v>
      </c>
      <c r="DV34" s="5">
        <f t="shared" si="126"/>
        <v>3290.831406587597</v>
      </c>
      <c r="DW34" s="5">
        <f t="shared" si="126"/>
        <v>3192.106464389969</v>
      </c>
      <c r="DX34" s="5">
        <f t="shared" si="126"/>
        <v>3096.3432704582697</v>
      </c>
      <c r="DY34" s="5">
        <f t="shared" si="126"/>
        <v>3003.4529723445216</v>
      </c>
      <c r="DZ34" s="5">
        <f t="shared" si="126"/>
        <v>2913.3493831741857</v>
      </c>
      <c r="EA34" s="5">
        <f t="shared" si="126"/>
        <v>2825.9489016789603</v>
      </c>
      <c r="EB34" s="5">
        <f t="shared" si="126"/>
        <v>2741.1704346285915</v>
      </c>
      <c r="EC34" s="5">
        <f t="shared" si="126"/>
        <v>2658.9353215897336</v>
      </c>
      <c r="ED34" s="5">
        <f t="shared" si="126"/>
        <v>2579.1672619420415</v>
      </c>
      <c r="EE34" s="5">
        <f t="shared" si="126"/>
        <v>2501.7922440837801</v>
      </c>
      <c r="EF34" s="5">
        <f t="shared" si="126"/>
        <v>2426.7384767612666</v>
      </c>
      <c r="EG34" s="5">
        <f t="shared" si="126"/>
        <v>2353.9363224584285</v>
      </c>
      <c r="EH34" s="5">
        <f t="shared" si="126"/>
        <v>2283.3182327846757</v>
      </c>
      <c r="EI34" s="5">
        <f t="shared" si="126"/>
        <v>2214.8186858011354</v>
      </c>
      <c r="EJ34" s="5">
        <f t="shared" si="126"/>
        <v>2148.3741252271011</v>
      </c>
      <c r="EK34" s="5">
        <f t="shared" si="126"/>
        <v>2083.9229014702878</v>
      </c>
      <c r="EL34" s="5">
        <f t="shared" si="126"/>
        <v>2021.4052144261791</v>
      </c>
      <c r="EM34" s="5">
        <f t="shared" si="126"/>
        <v>1960.7630579933937</v>
      </c>
      <c r="EN34" s="5">
        <f t="shared" si="126"/>
        <v>1901.9401662535918</v>
      </c>
      <c r="EO34" s="5">
        <f t="shared" si="126"/>
        <v>1844.881961265984</v>
      </c>
      <c r="EP34" s="5">
        <f t="shared" si="126"/>
        <v>1789.5355024280045</v>
      </c>
      <c r="EQ34" s="5">
        <f t="shared" si="126"/>
        <v>1735.8494373551644</v>
      </c>
      <c r="ER34" s="5">
        <f t="shared" si="126"/>
        <v>1683.7739542345093</v>
      </c>
      <c r="ES34" s="5">
        <f t="shared" si="126"/>
        <v>1633.2607356074741</v>
      </c>
    </row>
    <row r="35" spans="2:149" s="9" customFormat="1" x14ac:dyDescent="0.2">
      <c r="B35" s="9" t="s">
        <v>28</v>
      </c>
      <c r="C35" s="31">
        <f t="shared" ref="C35:D35" si="127">C34/C36</f>
        <v>0.62885238038134073</v>
      </c>
      <c r="D35" s="31">
        <f t="shared" si="127"/>
        <v>0.78765313475858756</v>
      </c>
      <c r="E35" s="31">
        <f t="shared" ref="E35:M35" si="128">E34/E36</f>
        <v>0.6764670730249791</v>
      </c>
      <c r="F35" s="31">
        <f t="shared" si="128"/>
        <v>0.56788496105452368</v>
      </c>
      <c r="G35" s="31">
        <f t="shared" si="128"/>
        <v>0.68015806490240693</v>
      </c>
      <c r="H35" s="31">
        <f t="shared" si="128"/>
        <v>0.73592864890924425</v>
      </c>
      <c r="I35" s="31">
        <f t="shared" si="128"/>
        <v>0.62826271700861969</v>
      </c>
      <c r="J35" s="31">
        <f t="shared" si="128"/>
        <v>0.65041558119340037</v>
      </c>
      <c r="K35" s="31">
        <f t="shared" si="128"/>
        <v>0.57277460947185721</v>
      </c>
      <c r="L35" s="31">
        <f t="shared" si="128"/>
        <v>0.62257100149476829</v>
      </c>
      <c r="M35" s="31">
        <f t="shared" si="128"/>
        <v>0.66386975579211016</v>
      </c>
      <c r="N35" s="31">
        <f t="shared" ref="N35" si="129">N34/N36</f>
        <v>0.53965825044631477</v>
      </c>
      <c r="O35" s="31">
        <f t="shared" ref="O35" si="130">O34/O36</f>
        <v>0.60581200420811021</v>
      </c>
      <c r="P35" s="31">
        <f t="shared" ref="P35" si="131">P34/P36</f>
        <v>0.7778143060443764</v>
      </c>
      <c r="Q35" s="31">
        <f t="shared" ref="Q35" si="132">Q34/Q36</f>
        <v>0.70422680795715353</v>
      </c>
      <c r="R35" s="31">
        <f t="shared" ref="R35" si="133">R34/R36</f>
        <v>0.51424858990053568</v>
      </c>
      <c r="V35" s="31">
        <f t="shared" ref="V35" si="134">V34/V36</f>
        <v>1.1963726141866868</v>
      </c>
      <c r="W35" s="31">
        <f t="shared" ref="W35:X35" si="135">W34/W36</f>
        <v>1.4227189965607931</v>
      </c>
      <c r="X35" s="31">
        <f t="shared" si="135"/>
        <v>1.867053854276663</v>
      </c>
      <c r="Y35" s="31">
        <f t="shared" ref="Y35:Z35" si="136">Y34/Y36</f>
        <v>1.6194975544686527</v>
      </c>
      <c r="Z35" s="31">
        <f t="shared" si="136"/>
        <v>2.1014898622157498</v>
      </c>
      <c r="AA35" s="31">
        <f t="shared" ref="AA35:AB35" si="137">AA34/AA36</f>
        <v>2.6940532991970207</v>
      </c>
      <c r="AB35" s="31">
        <f t="shared" si="137"/>
        <v>2.724077122031507</v>
      </c>
      <c r="AC35" s="31">
        <f t="shared" ref="AC35:AD35" si="138">AC34/AC36</f>
        <v>2.581227863046045</v>
      </c>
      <c r="AD35" s="31">
        <f t="shared" si="138"/>
        <v>2.6432908679604714</v>
      </c>
      <c r="AE35" s="31">
        <f t="shared" ref="AE35:AF35" si="139">AE34/AE36</f>
        <v>2.6900896535013326</v>
      </c>
      <c r="AF35" s="31">
        <f t="shared" si="139"/>
        <v>2.3997995050280378</v>
      </c>
      <c r="AG35" s="31">
        <f t="shared" ref="AG35:AH35" si="140">AG34/AG36</f>
        <v>2.6021017081101743</v>
      </c>
      <c r="AH35" s="31">
        <f t="shared" si="140"/>
        <v>2.5892763986712573</v>
      </c>
      <c r="AI35" s="31">
        <f t="shared" ref="AI35" si="141">AI34/AI36</f>
        <v>2.7399777536615049</v>
      </c>
      <c r="AJ35" s="31">
        <f t="shared" ref="AJ35" si="142">AJ34/AJ36</f>
        <v>2.8961361687150191</v>
      </c>
      <c r="AK35" s="31">
        <f t="shared" ref="AK35" si="143">AK34/AK36</f>
        <v>3.0579255389829649</v>
      </c>
      <c r="AL35" s="31">
        <f t="shared" ref="AL35" si="144">AL34/AL36</f>
        <v>3.2255250815971594</v>
      </c>
      <c r="AM35" s="31">
        <f t="shared" ref="AM35" si="145">AM34/AM36</f>
        <v>3.3991194963939151</v>
      </c>
      <c r="AN35" s="31">
        <f t="shared" ref="AN35" si="146">AN34/AN36</f>
        <v>3.5788991314703096</v>
      </c>
      <c r="AO35" s="31">
        <f t="shared" ref="AO35" si="147">AO34/AO36</f>
        <v>3.7650601537179393</v>
      </c>
      <c r="AP35" s="31">
        <f t="shared" ref="AP35" si="148">AP34/AP36</f>
        <v>3.957804724483597</v>
      </c>
      <c r="AQ35" s="31">
        <f t="shared" ref="AQ35" si="149">AQ34/AQ36</f>
        <v>4.1573411805108016</v>
      </c>
      <c r="AR35" s="31">
        <f t="shared" ref="AR35" si="150">AR34/AR36</f>
        <v>4.3638842203206938</v>
      </c>
      <c r="AS35" s="31">
        <f t="shared" ref="AS35" si="151">AS34/AS36</f>
        <v>4.5776550961956071</v>
      </c>
      <c r="AT35" s="31">
        <f t="shared" ref="AT35" si="152">AT34/AT36</f>
        <v>4.7988818119335059</v>
      </c>
    </row>
    <row r="36" spans="2:149" s="9" customFormat="1" x14ac:dyDescent="0.2">
      <c r="B36" s="9" t="s">
        <v>1</v>
      </c>
      <c r="C36" s="10">
        <v>8339</v>
      </c>
      <c r="D36" s="10">
        <v>8326</v>
      </c>
      <c r="E36" s="10">
        <v>8367</v>
      </c>
      <c r="F36" s="10">
        <v>8345</v>
      </c>
      <c r="G36" s="10">
        <v>8351</v>
      </c>
      <c r="H36" s="10">
        <v>8297</v>
      </c>
      <c r="I36" s="10">
        <v>8237</v>
      </c>
      <c r="J36" s="10">
        <v>8061</v>
      </c>
      <c r="K36" s="10">
        <v>8066</v>
      </c>
      <c r="L36" s="10">
        <v>8028</v>
      </c>
      <c r="M36" s="10">
        <v>7985</v>
      </c>
      <c r="N36" s="10">
        <v>7842</v>
      </c>
      <c r="O36" s="10">
        <f t="shared" ref="O36:R36" si="153">+N36</f>
        <v>7842</v>
      </c>
      <c r="P36" s="10">
        <f t="shared" si="153"/>
        <v>7842</v>
      </c>
      <c r="Q36" s="10">
        <f t="shared" si="153"/>
        <v>7842</v>
      </c>
      <c r="R36" s="10">
        <f t="shared" si="153"/>
        <v>7842</v>
      </c>
      <c r="V36" s="9">
        <v>10531</v>
      </c>
      <c r="W36" s="9">
        <v>9886</v>
      </c>
      <c r="X36" s="9">
        <v>9470</v>
      </c>
      <c r="Y36" s="9">
        <v>8996</v>
      </c>
      <c r="Z36" s="9">
        <v>8927</v>
      </c>
      <c r="AA36" s="9">
        <v>8593</v>
      </c>
      <c r="AB36" s="9">
        <v>8506</v>
      </c>
      <c r="AC36" s="9">
        <v>8470</v>
      </c>
      <c r="AD36" s="9">
        <v>8399</v>
      </c>
      <c r="AE36" s="9">
        <v>8254</v>
      </c>
      <c r="AF36" s="9">
        <f>AVERAGE(K36:N36)</f>
        <v>7980.25</v>
      </c>
      <c r="AG36" s="9">
        <f>AVERAGE(O36:R36)</f>
        <v>7842</v>
      </c>
      <c r="AH36" s="9">
        <f>+AG36</f>
        <v>7842</v>
      </c>
      <c r="AI36" s="9">
        <f t="shared" ref="AI36:AT36" si="154">+AH36</f>
        <v>7842</v>
      </c>
      <c r="AJ36" s="9">
        <f t="shared" si="154"/>
        <v>7842</v>
      </c>
      <c r="AK36" s="9">
        <f t="shared" si="154"/>
        <v>7842</v>
      </c>
      <c r="AL36" s="9">
        <f t="shared" si="154"/>
        <v>7842</v>
      </c>
      <c r="AM36" s="9">
        <f t="shared" si="154"/>
        <v>7842</v>
      </c>
      <c r="AN36" s="9">
        <f t="shared" si="154"/>
        <v>7842</v>
      </c>
      <c r="AO36" s="9">
        <f t="shared" si="154"/>
        <v>7842</v>
      </c>
      <c r="AP36" s="9">
        <f t="shared" si="154"/>
        <v>7842</v>
      </c>
      <c r="AQ36" s="9">
        <f t="shared" si="154"/>
        <v>7842</v>
      </c>
      <c r="AR36" s="9">
        <f t="shared" si="154"/>
        <v>7842</v>
      </c>
      <c r="AS36" s="9">
        <f t="shared" si="154"/>
        <v>7842</v>
      </c>
      <c r="AT36" s="9">
        <f t="shared" si="154"/>
        <v>7842</v>
      </c>
    </row>
    <row r="37" spans="2:149" x14ac:dyDescent="0.2">
      <c r="AV37" s="26" t="s">
        <v>105</v>
      </c>
      <c r="AW37" s="32">
        <v>-0.03</v>
      </c>
      <c r="AY37" s="26" t="s">
        <v>5</v>
      </c>
      <c r="AZ37" s="9">
        <f>Main!K7</f>
        <v>373324.26</v>
      </c>
    </row>
    <row r="38" spans="2:149" x14ac:dyDescent="0.2">
      <c r="AV38" s="9" t="s">
        <v>102</v>
      </c>
      <c r="AW38" s="32">
        <v>5.0000000000000001E-3</v>
      </c>
      <c r="AY38" s="26" t="s">
        <v>116</v>
      </c>
      <c r="AZ38" s="9">
        <f>AE34</f>
        <v>22204</v>
      </c>
    </row>
    <row r="39" spans="2:149" s="7" customFormat="1" x14ac:dyDescent="0.2">
      <c r="B39" s="5" t="s">
        <v>34</v>
      </c>
      <c r="C39" s="8"/>
      <c r="D39" s="8"/>
      <c r="E39" s="8"/>
      <c r="F39" s="8"/>
      <c r="G39" s="8"/>
      <c r="H39" s="11">
        <f>H23/D23-1</f>
        <v>7.9570944981443015E-2</v>
      </c>
      <c r="I39" s="11">
        <f>I23/E23-1</f>
        <v>6.4990442581973173E-2</v>
      </c>
      <c r="J39" s="11">
        <f>J23/F23-1</f>
        <v>-5.1407065263878171E-2</v>
      </c>
      <c r="K39" s="11">
        <f>K23/G23-1</f>
        <v>-0.12163268824619633</v>
      </c>
      <c r="L39" s="11">
        <f>L23/H23-1</f>
        <v>-0.10102002266717036</v>
      </c>
      <c r="M39" s="11">
        <f t="shared" ref="M39:R39" si="155">M23/I23-1</f>
        <v>1.5969441759860148E-2</v>
      </c>
      <c r="N39" s="11">
        <f t="shared" si="155"/>
        <v>-7.06041478809738E-2</v>
      </c>
      <c r="O39" s="11">
        <f t="shared" si="155"/>
        <v>1.0000000000000009E-2</v>
      </c>
      <c r="P39" s="11">
        <f t="shared" si="155"/>
        <v>1.0000000000000009E-2</v>
      </c>
      <c r="Q39" s="11">
        <f t="shared" si="155"/>
        <v>1.0000000000000009E-2</v>
      </c>
      <c r="R39" s="11">
        <f t="shared" si="155"/>
        <v>1.0000000000000009E-2</v>
      </c>
      <c r="U39" s="22">
        <f t="shared" ref="U39:AF39" si="156">U23/T23-1</f>
        <v>8.0168318175648068E-2</v>
      </c>
      <c r="V39" s="22">
        <f t="shared" si="156"/>
        <v>0.11294862772695291</v>
      </c>
      <c r="W39" s="22">
        <f t="shared" si="156"/>
        <v>0.15446456799602548</v>
      </c>
      <c r="X39" s="22">
        <f t="shared" si="156"/>
        <v>0.18187864324556946</v>
      </c>
      <c r="Y39" s="22">
        <f t="shared" si="156"/>
        <v>-3.2820258192651441E-2</v>
      </c>
      <c r="Z39" s="22">
        <f t="shared" si="156"/>
        <v>6.9254068484008391E-2</v>
      </c>
      <c r="AA39" s="22">
        <f t="shared" si="156"/>
        <v>0.11937455988733126</v>
      </c>
      <c r="AB39" s="22">
        <f t="shared" si="156"/>
        <v>5.4044007263057026E-2</v>
      </c>
      <c r="AC39" s="22">
        <f t="shared" si="156"/>
        <v>5.5966252051598442E-2</v>
      </c>
      <c r="AD39" s="22">
        <f t="shared" si="156"/>
        <v>0.11540289534868786</v>
      </c>
      <c r="AE39" s="22">
        <f t="shared" si="156"/>
        <v>7.7700874091647165E-2</v>
      </c>
      <c r="AF39" s="22">
        <f t="shared" si="156"/>
        <v>-7.1756785637956844E-2</v>
      </c>
      <c r="AG39" s="22">
        <f>AG23/AF23-1</f>
        <v>1.0000000000000009E-2</v>
      </c>
      <c r="AH39" s="22">
        <f t="shared" ref="AH39:AT39" si="157">AH23/AG23-1</f>
        <v>2.0000000000000018E-2</v>
      </c>
      <c r="AI39" s="22">
        <f t="shared" si="157"/>
        <v>3.0000000000000027E-2</v>
      </c>
      <c r="AJ39" s="22">
        <f t="shared" si="157"/>
        <v>3.0000000000000027E-2</v>
      </c>
      <c r="AK39" s="22">
        <f t="shared" si="157"/>
        <v>3.0000000000000027E-2</v>
      </c>
      <c r="AL39" s="22">
        <f t="shared" si="157"/>
        <v>3.0000000000000027E-2</v>
      </c>
      <c r="AM39" s="22">
        <f t="shared" si="157"/>
        <v>3.0000000000000027E-2</v>
      </c>
      <c r="AN39" s="22">
        <f t="shared" si="157"/>
        <v>3.0000000000000027E-2</v>
      </c>
      <c r="AO39" s="22">
        <f t="shared" si="157"/>
        <v>3.0000000000000027E-2</v>
      </c>
      <c r="AP39" s="22">
        <f t="shared" si="157"/>
        <v>3.0000000000000027E-2</v>
      </c>
      <c r="AQ39" s="22">
        <f t="shared" si="157"/>
        <v>3.0000000000000027E-2</v>
      </c>
      <c r="AR39" s="22">
        <f t="shared" si="157"/>
        <v>3.0000000000000027E-2</v>
      </c>
      <c r="AS39" s="22">
        <f t="shared" si="157"/>
        <v>3.0000000000000027E-2</v>
      </c>
      <c r="AT39" s="22">
        <f t="shared" si="157"/>
        <v>3.0000000000000027E-2</v>
      </c>
      <c r="AV39" s="26" t="s">
        <v>103</v>
      </c>
      <c r="AW39" s="32">
        <v>0.05</v>
      </c>
      <c r="AY39" s="26" t="s">
        <v>115</v>
      </c>
      <c r="AZ39" s="34">
        <f>AZ37/AZ38</f>
        <v>16.813378670509817</v>
      </c>
    </row>
    <row r="40" spans="2:149" s="7" customFormat="1" x14ac:dyDescent="0.2">
      <c r="B40" s="5" t="s">
        <v>69</v>
      </c>
      <c r="C40" s="8"/>
      <c r="D40" s="8"/>
      <c r="E40" s="8"/>
      <c r="F40" s="8"/>
      <c r="G40" s="8"/>
      <c r="H40" s="8"/>
      <c r="I40" s="11"/>
      <c r="J40" s="11"/>
      <c r="K40" s="11"/>
      <c r="L40" s="11">
        <v>0.03</v>
      </c>
      <c r="M40" s="11">
        <v>0.05</v>
      </c>
      <c r="N40" s="8"/>
      <c r="AV40" s="7" t="s">
        <v>104</v>
      </c>
      <c r="AW40" s="5">
        <f>NPV(AW39,AH34:ES34)+AG34</f>
        <v>520113.28183199966</v>
      </c>
      <c r="AY40" s="26" t="s">
        <v>117</v>
      </c>
      <c r="AZ40" s="33">
        <f>AZ38/AZ37</f>
        <v>5.9476445490041281E-2</v>
      </c>
    </row>
    <row r="41" spans="2:149" x14ac:dyDescent="0.2">
      <c r="AV41" s="26" t="s">
        <v>3</v>
      </c>
      <c r="AW41" s="9">
        <f>Main!K5-Main!K6</f>
        <v>69984</v>
      </c>
    </row>
    <row r="42" spans="2:149" x14ac:dyDescent="0.2">
      <c r="B42" s="26" t="s">
        <v>19</v>
      </c>
      <c r="D42" s="24">
        <f t="shared" ref="D42" si="158">D25/D23</f>
        <v>0.66213956523512374</v>
      </c>
      <c r="E42" s="24">
        <f t="shared" ref="E42:L42" si="159">E25/E23</f>
        <v>0.70700387197961079</v>
      </c>
      <c r="F42" s="24">
        <f t="shared" si="159"/>
        <v>0.67355230519202802</v>
      </c>
      <c r="G42" s="24">
        <f t="shared" si="159"/>
        <v>0.64342054221800782</v>
      </c>
      <c r="H42" s="24">
        <f t="shared" si="159"/>
        <v>0.61707593502077829</v>
      </c>
      <c r="I42" s="24">
        <f t="shared" si="159"/>
        <v>0.67044042523816094</v>
      </c>
      <c r="J42" s="24">
        <f t="shared" si="159"/>
        <v>0.66330027051397655</v>
      </c>
      <c r="K42" s="24">
        <f t="shared" si="159"/>
        <v>0.6463516364885421</v>
      </c>
      <c r="L42" s="24">
        <f t="shared" si="159"/>
        <v>0.58514035972432343</v>
      </c>
      <c r="M42" s="24">
        <f t="shared" ref="M42:R42" si="160">M25/M23</f>
        <v>0.6502083710817177</v>
      </c>
      <c r="N42" s="24">
        <f t="shared" si="160"/>
        <v>0.61293295818375859</v>
      </c>
      <c r="O42" s="24">
        <f t="shared" si="160"/>
        <v>0.63</v>
      </c>
      <c r="P42" s="24">
        <f t="shared" si="160"/>
        <v>0.63</v>
      </c>
      <c r="Q42" s="24">
        <f t="shared" si="160"/>
        <v>0.63</v>
      </c>
      <c r="R42" s="24">
        <f t="shared" si="160"/>
        <v>0.63</v>
      </c>
      <c r="V42" s="24">
        <f t="shared" ref="V42" si="161">V25/V23</f>
        <v>0.82724357526760306</v>
      </c>
      <c r="W42" s="24">
        <f t="shared" ref="W42:X42" si="162">W25/W23</f>
        <v>0.79083369195258402</v>
      </c>
      <c r="X42" s="24">
        <f t="shared" si="162"/>
        <v>0.80804369414101296</v>
      </c>
      <c r="Y42" s="24">
        <f t="shared" ref="Y42:Z42" si="163">Y25/Y23</f>
        <v>0.79199822030562828</v>
      </c>
      <c r="Z42" s="24">
        <f t="shared" si="163"/>
        <v>0.80162921707957235</v>
      </c>
      <c r="AA42" s="24">
        <f t="shared" ref="AA42" si="164">AA25/AA23</f>
        <v>0.77729007906438097</v>
      </c>
      <c r="AB42" s="24">
        <f t="shared" ref="AB42" si="165">AB25/AB23</f>
        <v>0.76221803236439101</v>
      </c>
      <c r="AC42" s="24">
        <f t="shared" ref="AC42:AE42" si="166">AC25/AC23</f>
        <v>0.73814692545825888</v>
      </c>
      <c r="AD42" s="24">
        <f t="shared" si="166"/>
        <v>0.68816003132449644</v>
      </c>
      <c r="AE42" s="24">
        <f t="shared" si="166"/>
        <v>0.64695447745244705</v>
      </c>
      <c r="AF42" s="24">
        <f t="shared" ref="AF42:AT42" si="167">AF25/AF23</f>
        <v>0.62263282104414897</v>
      </c>
      <c r="AG42" s="24">
        <f t="shared" si="167"/>
        <v>0.62999999999999989</v>
      </c>
      <c r="AH42" s="24">
        <f t="shared" si="167"/>
        <v>0.63</v>
      </c>
      <c r="AI42" s="24">
        <f t="shared" si="167"/>
        <v>0.63</v>
      </c>
      <c r="AJ42" s="24">
        <f t="shared" si="167"/>
        <v>0.63</v>
      </c>
      <c r="AK42" s="24">
        <f t="shared" si="167"/>
        <v>0.63</v>
      </c>
      <c r="AL42" s="24">
        <f t="shared" si="167"/>
        <v>0.63</v>
      </c>
      <c r="AM42" s="24">
        <f t="shared" si="167"/>
        <v>0.63</v>
      </c>
      <c r="AN42" s="24">
        <f t="shared" si="167"/>
        <v>0.63</v>
      </c>
      <c r="AO42" s="24">
        <f t="shared" si="167"/>
        <v>0.63</v>
      </c>
      <c r="AP42" s="24">
        <f t="shared" si="167"/>
        <v>0.63</v>
      </c>
      <c r="AQ42" s="24">
        <f t="shared" si="167"/>
        <v>0.63</v>
      </c>
      <c r="AR42" s="24">
        <f t="shared" si="167"/>
        <v>0.63</v>
      </c>
      <c r="AS42" s="24">
        <f t="shared" si="167"/>
        <v>0.63</v>
      </c>
      <c r="AT42" s="24">
        <f t="shared" si="167"/>
        <v>0.63</v>
      </c>
      <c r="AV42" s="7" t="s">
        <v>111</v>
      </c>
      <c r="AW42" s="5">
        <f>AW40+AW41</f>
        <v>590097.28183199966</v>
      </c>
    </row>
    <row r="43" spans="2:149" x14ac:dyDescent="0.2">
      <c r="B43" s="26" t="s">
        <v>27</v>
      </c>
      <c r="D43" s="24">
        <f t="shared" ref="D43" si="168">D30/D23</f>
        <v>0.32501325502671397</v>
      </c>
      <c r="E43" s="24">
        <f t="shared" ref="E43:L43" si="169">E30/E23</f>
        <v>0.34181247855707492</v>
      </c>
      <c r="F43" s="24">
        <f t="shared" si="169"/>
        <v>0.28265332306902746</v>
      </c>
      <c r="G43" s="24">
        <f t="shared" si="169"/>
        <v>0.30102150769363389</v>
      </c>
      <c r="H43" s="24">
        <f t="shared" si="169"/>
        <v>0.30294673214960333</v>
      </c>
      <c r="I43" s="24">
        <f t="shared" si="169"/>
        <v>0.31220948962216394</v>
      </c>
      <c r="J43" s="24">
        <f t="shared" si="169"/>
        <v>0.28787195671776378</v>
      </c>
      <c r="K43" s="24">
        <f t="shared" si="169"/>
        <v>0.28426321213013395</v>
      </c>
      <c r="L43" s="24">
        <f t="shared" si="169"/>
        <v>0.253235837955959</v>
      </c>
      <c r="M43" s="24">
        <f t="shared" ref="M43:R43" si="170">M30/M23</f>
        <v>0.30929516216705927</v>
      </c>
      <c r="N43" s="24">
        <f t="shared" si="170"/>
        <v>0.20325992044241778</v>
      </c>
      <c r="O43" s="24">
        <f t="shared" si="170"/>
        <v>0.27149660954613053</v>
      </c>
      <c r="P43" s="24">
        <f t="shared" si="170"/>
        <v>0.3013816616154808</v>
      </c>
      <c r="Q43" s="24">
        <f t="shared" si="170"/>
        <v>0.29246216939142722</v>
      </c>
      <c r="R43" s="24">
        <f t="shared" si="170"/>
        <v>0.22438313094916751</v>
      </c>
      <c r="V43" s="33">
        <f t="shared" ref="V43" si="171">V30/V23</f>
        <v>0.37197958538458065</v>
      </c>
      <c r="W43" s="33">
        <f t="shared" ref="W43:X43" si="172">W30/W23</f>
        <v>0.3606666405852666</v>
      </c>
      <c r="X43" s="33">
        <f t="shared" si="172"/>
        <v>0.36860311155246606</v>
      </c>
      <c r="Y43" s="33">
        <f t="shared" ref="Y43:Z43" si="173">Y30/Y23</f>
        <v>0.348460735492924</v>
      </c>
      <c r="Z43" s="33">
        <f t="shared" si="173"/>
        <v>0.38566673068305485</v>
      </c>
      <c r="AA43" s="33">
        <f t="shared" ref="AA43" si="174">AA30/AA23</f>
        <v>0.38833049769097694</v>
      </c>
      <c r="AB43" s="33">
        <f t="shared" ref="AB43" si="175">AB30/AB23</f>
        <v>0.37920323372624554</v>
      </c>
      <c r="AC43" s="33">
        <f t="shared" ref="AC43:AE43" si="176">AC30/AC23</f>
        <v>0.34379375457616668</v>
      </c>
      <c r="AD43" s="33">
        <f t="shared" si="176"/>
        <v>0.32114518673776099</v>
      </c>
      <c r="AE43" s="33">
        <f t="shared" si="176"/>
        <v>0.30104723231459712</v>
      </c>
      <c r="AF43" s="33">
        <f>AF30/AF23</f>
        <v>0.26290220457031027</v>
      </c>
      <c r="AG43" s="33">
        <f>AG30/AG23</f>
        <v>0.27383107279817936</v>
      </c>
      <c r="AH43" s="33">
        <f>AH30/AH23</f>
        <v>0.27732292502564831</v>
      </c>
      <c r="AI43" s="33">
        <f t="shared" ref="AI43:AT43" si="177">AI30/AI23</f>
        <v>0.28417102356883966</v>
      </c>
      <c r="AJ43" s="33">
        <f t="shared" si="177"/>
        <v>0.29088614932478452</v>
      </c>
      <c r="AK43" s="33">
        <f t="shared" si="177"/>
        <v>0.29747088428935176</v>
      </c>
      <c r="AL43" s="33">
        <f t="shared" si="177"/>
        <v>0.30392776032256824</v>
      </c>
      <c r="AM43" s="33">
        <f t="shared" si="177"/>
        <v>0.31025926012213001</v>
      </c>
      <c r="AN43" s="33">
        <f t="shared" si="177"/>
        <v>0.31646781817801095</v>
      </c>
      <c r="AO43" s="33">
        <f t="shared" si="177"/>
        <v>0.32255582170853503</v>
      </c>
      <c r="AP43" s="33">
        <f t="shared" si="177"/>
        <v>0.3285256115782722</v>
      </c>
      <c r="AQ43" s="33">
        <f t="shared" si="177"/>
        <v>0.33437948319811156</v>
      </c>
      <c r="AR43" s="33">
        <f t="shared" si="177"/>
        <v>0.34011968740785697</v>
      </c>
      <c r="AS43" s="33">
        <f t="shared" si="177"/>
        <v>0.34574843134168509</v>
      </c>
      <c r="AT43" s="33">
        <f t="shared" si="177"/>
        <v>0.35126787927679792</v>
      </c>
    </row>
    <row r="44" spans="2:149" x14ac:dyDescent="0.2">
      <c r="B44" s="26" t="s">
        <v>114</v>
      </c>
      <c r="D44" s="24">
        <f>D34/D23</f>
        <v>0.26746604673926344</v>
      </c>
      <c r="E44" s="24">
        <f t="shared" ref="E44:R44" si="178">E34/E23</f>
        <v>0.2774101847767485</v>
      </c>
      <c r="F44" s="24">
        <f t="shared" si="178"/>
        <v>0.2026772731160722</v>
      </c>
      <c r="G44" s="24">
        <f t="shared" si="178"/>
        <v>0.24481703374854533</v>
      </c>
      <c r="H44" s="24">
        <f t="shared" si="178"/>
        <v>0.23067623724971667</v>
      </c>
      <c r="I44" s="24">
        <f t="shared" si="178"/>
        <v>0.23816098301808644</v>
      </c>
      <c r="J44" s="24">
        <f t="shared" si="178"/>
        <v>0.23638412984670876</v>
      </c>
      <c r="K44" s="24">
        <f t="shared" si="178"/>
        <v>0.22670395995878109</v>
      </c>
      <c r="L44" s="24">
        <f t="shared" si="178"/>
        <v>0.21003530005042864</v>
      </c>
      <c r="M44" s="24">
        <f t="shared" si="178"/>
        <v>0.24012502264903063</v>
      </c>
      <c r="N44" s="24">
        <f t="shared" si="178"/>
        <v>0.2052973707189289</v>
      </c>
      <c r="O44" s="24">
        <f t="shared" si="178"/>
        <v>0.23081310828123885</v>
      </c>
      <c r="P44" s="24">
        <f t="shared" si="178"/>
        <v>0.25379170923143751</v>
      </c>
      <c r="Q44" s="24">
        <f t="shared" si="178"/>
        <v>0.24768381720034655</v>
      </c>
      <c r="R44" s="24">
        <f t="shared" si="178"/>
        <v>0.19369405979018395</v>
      </c>
      <c r="V44" s="24">
        <f t="shared" ref="V44:AT44" si="179">V34/V23</f>
        <v>0.28451741113770834</v>
      </c>
      <c r="W44" s="24">
        <f t="shared" si="179"/>
        <v>0.27512616877273971</v>
      </c>
      <c r="X44" s="24">
        <f t="shared" si="179"/>
        <v>0.29263488910956637</v>
      </c>
      <c r="Y44" s="24">
        <f t="shared" si="179"/>
        <v>0.24931122405325393</v>
      </c>
      <c r="Z44" s="24">
        <f t="shared" si="179"/>
        <v>0.30023686063632288</v>
      </c>
      <c r="AA44" s="24">
        <f t="shared" si="179"/>
        <v>0.3309838010951775</v>
      </c>
      <c r="AB44" s="24">
        <f t="shared" si="179"/>
        <v>0.31429811592040474</v>
      </c>
      <c r="AC44" s="24">
        <f t="shared" si="179"/>
        <v>0.28083854641678119</v>
      </c>
      <c r="AD44" s="24">
        <f t="shared" si="179"/>
        <v>0.2556746858913086</v>
      </c>
      <c r="AE44" s="24">
        <f t="shared" si="179"/>
        <v>0.23727292156443686</v>
      </c>
      <c r="AF44" s="24">
        <f t="shared" si="179"/>
        <v>0.22046854314165659</v>
      </c>
      <c r="AG44" s="24">
        <f t="shared" si="179"/>
        <v>0.23258671667028544</v>
      </c>
      <c r="AH44" s="24">
        <f t="shared" si="179"/>
        <v>0.2269022911333359</v>
      </c>
      <c r="AI44" s="24">
        <f t="shared" si="179"/>
        <v>0.23311503271657716</v>
      </c>
      <c r="AJ44" s="24">
        <f t="shared" si="179"/>
        <v>0.23922413692814973</v>
      </c>
      <c r="AK44" s="24">
        <f t="shared" si="179"/>
        <v>0.24523118705869956</v>
      </c>
      <c r="AL44" s="24">
        <f t="shared" si="179"/>
        <v>0.25113774648664972</v>
      </c>
      <c r="AM44" s="24">
        <f t="shared" si="179"/>
        <v>0.25694535879143382</v>
      </c>
      <c r="AN44" s="24">
        <f t="shared" si="179"/>
        <v>0.26265554787143353</v>
      </c>
      <c r="AO44" s="24">
        <f t="shared" si="179"/>
        <v>0.26826981806635281</v>
      </c>
      <c r="AP44" s="24">
        <f t="shared" si="179"/>
        <v>0.27378965428377328</v>
      </c>
      <c r="AQ44" s="24">
        <f t="shared" si="179"/>
        <v>0.27921652212964515</v>
      </c>
      <c r="AR44" s="24">
        <f t="shared" si="179"/>
        <v>0.28455186804247445</v>
      </c>
      <c r="AS44" s="24">
        <f t="shared" si="179"/>
        <v>0.28979711943097791</v>
      </c>
      <c r="AT44" s="24">
        <f t="shared" si="179"/>
        <v>0.29495368481498568</v>
      </c>
    </row>
    <row r="45" spans="2:149" x14ac:dyDescent="0.2">
      <c r="B45" s="26" t="s">
        <v>33</v>
      </c>
      <c r="D45" s="24">
        <f t="shared" ref="D45" si="180">D33/D32</f>
        <v>0.16755521706016754</v>
      </c>
      <c r="E45" s="24">
        <f t="shared" ref="E45:L45" si="181">E33/E32</f>
        <v>0.18643093287336496</v>
      </c>
      <c r="F45" s="24">
        <f t="shared" si="181"/>
        <v>0.29310859188544153</v>
      </c>
      <c r="G45" s="24">
        <f t="shared" si="181"/>
        <v>0.19272313814667424</v>
      </c>
      <c r="H45" s="24">
        <f t="shared" si="181"/>
        <v>0.24552082046212775</v>
      </c>
      <c r="I45" s="24">
        <f t="shared" si="181"/>
        <v>0.22841807067243178</v>
      </c>
      <c r="J45" s="24">
        <f t="shared" si="181"/>
        <v>0.21535468422627957</v>
      </c>
      <c r="K45" s="24">
        <f t="shared" si="181"/>
        <v>0.16198077271902775</v>
      </c>
      <c r="L45" s="24">
        <f t="shared" si="181"/>
        <v>0.14637062339880444</v>
      </c>
      <c r="M45" s="24">
        <f t="shared" ref="M45:R45" si="182">M33/M32</f>
        <v>0.19449931621334143</v>
      </c>
      <c r="N45" s="24">
        <f t="shared" si="182"/>
        <v>5.0482387256001793E-2</v>
      </c>
      <c r="O45" s="24">
        <f t="shared" si="182"/>
        <v>0.18999999999999997</v>
      </c>
      <c r="P45" s="24">
        <f t="shared" si="182"/>
        <v>0.19</v>
      </c>
      <c r="Q45" s="24">
        <f t="shared" si="182"/>
        <v>0.19</v>
      </c>
      <c r="R45" s="24">
        <f t="shared" si="182"/>
        <v>0.19</v>
      </c>
      <c r="V45" s="24">
        <f t="shared" ref="V45:AT45" si="183">V33/V32</f>
        <v>0.31009747015660938</v>
      </c>
      <c r="W45" s="24">
        <f t="shared" si="183"/>
        <v>0.30028356798169248</v>
      </c>
      <c r="X45" s="24">
        <f t="shared" si="183"/>
        <v>0.25753758293440832</v>
      </c>
      <c r="Y45" s="24">
        <f t="shared" si="183"/>
        <v>0.26497149487916855</v>
      </c>
      <c r="Z45" s="24">
        <f t="shared" si="183"/>
        <v>0.24999000519729742</v>
      </c>
      <c r="AA45" s="24">
        <f t="shared" si="183"/>
        <v>0.17530547540166008</v>
      </c>
      <c r="AB45" s="24">
        <f t="shared" si="183"/>
        <v>0.18583977512297961</v>
      </c>
      <c r="AC45" s="24">
        <f t="shared" si="183"/>
        <v>0.19181576223569421</v>
      </c>
      <c r="AD45" s="24">
        <f t="shared" si="183"/>
        <v>0.20560346369914481</v>
      </c>
      <c r="AE45" s="24">
        <f t="shared" si="183"/>
        <v>0.22140402552773686</v>
      </c>
      <c r="AF45" s="24">
        <f t="shared" si="183"/>
        <v>0.14527358743193788</v>
      </c>
      <c r="AG45" s="24">
        <f t="shared" si="183"/>
        <v>0.19000000000000009</v>
      </c>
      <c r="AH45" s="24">
        <f t="shared" si="183"/>
        <v>0.2</v>
      </c>
      <c r="AI45" s="24">
        <f t="shared" si="183"/>
        <v>0.2</v>
      </c>
      <c r="AJ45" s="24">
        <f t="shared" si="183"/>
        <v>0.2</v>
      </c>
      <c r="AK45" s="24">
        <f t="shared" si="183"/>
        <v>0.2</v>
      </c>
      <c r="AL45" s="24">
        <f t="shared" si="183"/>
        <v>0.2</v>
      </c>
      <c r="AM45" s="24">
        <f t="shared" si="183"/>
        <v>0.2</v>
      </c>
      <c r="AN45" s="24">
        <f t="shared" si="183"/>
        <v>0.2</v>
      </c>
      <c r="AO45" s="24">
        <f t="shared" si="183"/>
        <v>0.2</v>
      </c>
      <c r="AP45" s="24">
        <f t="shared" si="183"/>
        <v>0.2</v>
      </c>
      <c r="AQ45" s="24">
        <f t="shared" si="183"/>
        <v>0.2</v>
      </c>
      <c r="AR45" s="24">
        <f t="shared" si="183"/>
        <v>0.2</v>
      </c>
      <c r="AS45" s="24">
        <f t="shared" si="183"/>
        <v>0.2</v>
      </c>
      <c r="AT45" s="24">
        <f t="shared" si="183"/>
        <v>0.2</v>
      </c>
      <c r="AV45" s="7" t="s">
        <v>112</v>
      </c>
      <c r="AW45" s="23">
        <f>AW42/Main!K3</f>
        <v>75.24831443917364</v>
      </c>
    </row>
    <row r="46" spans="2:149" x14ac:dyDescent="0.2">
      <c r="AV46" s="7" t="s">
        <v>113</v>
      </c>
      <c r="AW46" s="23">
        <f>Main!K2</f>
        <v>56.53</v>
      </c>
    </row>
    <row r="48" spans="2:149" x14ac:dyDescent="0.2">
      <c r="B48" s="26" t="s">
        <v>35</v>
      </c>
      <c r="I48" s="6">
        <f t="shared" ref="I48:N48" si="184">I49-I60</f>
        <v>75589</v>
      </c>
      <c r="J48" s="6">
        <f t="shared" si="184"/>
        <v>73287</v>
      </c>
      <c r="K48" s="6">
        <f t="shared" si="184"/>
        <v>72226</v>
      </c>
      <c r="L48" s="6">
        <f t="shared" si="184"/>
        <v>69725</v>
      </c>
      <c r="M48" s="6">
        <f t="shared" si="184"/>
        <v>70473</v>
      </c>
      <c r="N48" s="6">
        <f t="shared" si="184"/>
        <v>69984</v>
      </c>
      <c r="O48" s="6">
        <f>+N48+O34</f>
        <v>74734.777736999997</v>
      </c>
      <c r="P48" s="6">
        <f>+O48+P34</f>
        <v>80834.397524999993</v>
      </c>
      <c r="Q48" s="6">
        <f>+P48+Q34</f>
        <v>86356.944152999989</v>
      </c>
      <c r="R48" s="6">
        <f>+Q48+R34</f>
        <v>90389.681594999987</v>
      </c>
      <c r="AE48" s="9">
        <f>+AE49-AE60</f>
        <v>73287</v>
      </c>
      <c r="AF48" s="9">
        <f>+AE48+AF34</f>
        <v>92438</v>
      </c>
      <c r="AG48" s="9">
        <f>+AF48+AG34</f>
        <v>112843.68159499999</v>
      </c>
      <c r="AH48" s="9">
        <f>+AG48+AH34</f>
        <v>133148.78711337998</v>
      </c>
      <c r="AI48" s="9">
        <f>+AH48+AI34</f>
        <v>154635.69265759349</v>
      </c>
      <c r="AJ48" s="9">
        <f t="shared" ref="AJ48:AT48" si="185">+AI48+AJ34</f>
        <v>177347.19249265667</v>
      </c>
      <c r="AK48" s="9">
        <f t="shared" si="185"/>
        <v>201327.44456936108</v>
      </c>
      <c r="AL48" s="9">
        <f t="shared" si="185"/>
        <v>226622.012259246</v>
      </c>
      <c r="AM48" s="9">
        <f t="shared" si="185"/>
        <v>253277.90734996708</v>
      </c>
      <c r="AN48" s="9">
        <f t="shared" si="185"/>
        <v>281343.63433895726</v>
      </c>
      <c r="AO48" s="9">
        <f t="shared" si="185"/>
        <v>310869.23606441333</v>
      </c>
      <c r="AP48" s="9">
        <f t="shared" si="185"/>
        <v>341906.34071381367</v>
      </c>
      <c r="AQ48" s="9">
        <f t="shared" si="185"/>
        <v>374508.21025137935</v>
      </c>
      <c r="AR48" s="9">
        <f t="shared" si="185"/>
        <v>408729.79030713422</v>
      </c>
      <c r="AS48" s="9">
        <f t="shared" si="185"/>
        <v>444627.76157150016</v>
      </c>
      <c r="AT48" s="9">
        <f t="shared" si="185"/>
        <v>482260.59274068271</v>
      </c>
      <c r="AW48" s="33">
        <f>AW45/Main!K2-1</f>
        <v>0.33112178381697577</v>
      </c>
    </row>
    <row r="49" spans="2:31" s="9" customFormat="1" x14ac:dyDescent="0.2">
      <c r="B49" s="9" t="s">
        <v>3</v>
      </c>
      <c r="C49" s="10"/>
      <c r="D49" s="10"/>
      <c r="E49" s="10"/>
      <c r="F49" s="10"/>
      <c r="G49" s="10"/>
      <c r="H49" s="10"/>
      <c r="I49" s="10">
        <f>7414+88024+12019</f>
        <v>107457</v>
      </c>
      <c r="J49" s="10">
        <f>96526+12053</f>
        <v>108579</v>
      </c>
      <c r="K49" s="10">
        <f>5431+93924+11438</f>
        <v>110793</v>
      </c>
      <c r="L49" s="10">
        <f>102640+11514</f>
        <v>114154</v>
      </c>
      <c r="M49" s="10">
        <f>7170+98382+11315</f>
        <v>116867</v>
      </c>
      <c r="N49" s="10">
        <f>6510+106730+10431</f>
        <v>123671</v>
      </c>
      <c r="AE49" s="9">
        <f>5595+90931+12053</f>
        <v>108579</v>
      </c>
    </row>
    <row r="50" spans="2:31" s="9" customFormat="1" x14ac:dyDescent="0.2">
      <c r="B50" s="9" t="s">
        <v>36</v>
      </c>
      <c r="C50" s="10"/>
      <c r="D50" s="10"/>
      <c r="E50" s="10"/>
      <c r="F50" s="10"/>
      <c r="G50" s="10"/>
      <c r="H50" s="10"/>
      <c r="I50" s="10">
        <v>12427</v>
      </c>
      <c r="J50" s="10">
        <v>17908</v>
      </c>
      <c r="K50" s="10">
        <v>11444</v>
      </c>
      <c r="L50" s="10">
        <v>14507</v>
      </c>
      <c r="M50" s="10">
        <v>12247</v>
      </c>
      <c r="N50" s="10">
        <v>18277</v>
      </c>
      <c r="AE50" s="9">
        <v>17908</v>
      </c>
    </row>
    <row r="51" spans="2:31" s="9" customFormat="1" x14ac:dyDescent="0.2">
      <c r="B51" s="9" t="s">
        <v>37</v>
      </c>
      <c r="C51" s="10"/>
      <c r="D51" s="10"/>
      <c r="E51" s="10"/>
      <c r="F51" s="10"/>
      <c r="G51" s="10"/>
      <c r="H51" s="10"/>
      <c r="I51" s="10">
        <v>2469</v>
      </c>
      <c r="J51" s="10">
        <v>2902</v>
      </c>
      <c r="K51" s="10">
        <v>3816</v>
      </c>
      <c r="L51" s="10">
        <v>2702</v>
      </c>
      <c r="M51" s="10">
        <v>2450</v>
      </c>
      <c r="N51" s="10">
        <v>2251</v>
      </c>
      <c r="AE51" s="9">
        <v>2902</v>
      </c>
    </row>
    <row r="52" spans="2:31" s="9" customFormat="1" x14ac:dyDescent="0.2">
      <c r="B52" s="9" t="s">
        <v>38</v>
      </c>
      <c r="C52" s="10"/>
      <c r="D52" s="10"/>
      <c r="E52" s="10"/>
      <c r="F52" s="10"/>
      <c r="G52" s="10"/>
      <c r="H52" s="10"/>
      <c r="I52" s="10">
        <v>1688</v>
      </c>
      <c r="J52" s="10">
        <v>1915</v>
      </c>
      <c r="K52" s="10">
        <v>1447</v>
      </c>
      <c r="L52" s="10">
        <v>1618</v>
      </c>
      <c r="M52" s="10">
        <v>1574</v>
      </c>
      <c r="N52" s="10">
        <v>0</v>
      </c>
      <c r="AE52" s="9">
        <v>1915</v>
      </c>
    </row>
    <row r="53" spans="2:31" s="9" customFormat="1" x14ac:dyDescent="0.2">
      <c r="B53" s="9" t="s">
        <v>39</v>
      </c>
      <c r="C53" s="10"/>
      <c r="D53" s="10"/>
      <c r="E53" s="10"/>
      <c r="F53" s="10"/>
      <c r="G53" s="10"/>
      <c r="H53" s="10"/>
      <c r="I53" s="10">
        <v>6376</v>
      </c>
      <c r="J53" s="10">
        <v>5461</v>
      </c>
      <c r="K53" s="10">
        <v>5594</v>
      </c>
      <c r="L53" s="10">
        <v>6345</v>
      </c>
      <c r="M53" s="10">
        <v>6598</v>
      </c>
      <c r="N53" s="10">
        <v>5892</v>
      </c>
      <c r="AE53" s="9">
        <v>5461</v>
      </c>
    </row>
    <row r="54" spans="2:31" s="9" customFormat="1" x14ac:dyDescent="0.2">
      <c r="B54" s="9" t="s">
        <v>40</v>
      </c>
      <c r="C54" s="10"/>
      <c r="D54" s="10"/>
      <c r="E54" s="10"/>
      <c r="F54" s="10"/>
      <c r="G54" s="10"/>
      <c r="H54" s="10"/>
      <c r="I54" s="10">
        <v>14375</v>
      </c>
      <c r="J54" s="10">
        <v>14731</v>
      </c>
      <c r="K54" s="10">
        <v>15046</v>
      </c>
      <c r="L54" s="10">
        <v>15789</v>
      </c>
      <c r="M54" s="10">
        <v>16831</v>
      </c>
      <c r="N54" s="10">
        <v>18356</v>
      </c>
      <c r="AE54" s="9">
        <v>14731</v>
      </c>
    </row>
    <row r="55" spans="2:31" s="9" customFormat="1" x14ac:dyDescent="0.2">
      <c r="B55" s="9" t="s">
        <v>41</v>
      </c>
      <c r="C55" s="10"/>
      <c r="D55" s="10"/>
      <c r="E55" s="10"/>
      <c r="F55" s="10"/>
      <c r="G55" s="10"/>
      <c r="H55" s="10"/>
      <c r="I55" s="10">
        <f>21728+6963</f>
        <v>28691</v>
      </c>
      <c r="J55" s="10">
        <f>16939+4835</f>
        <v>21774</v>
      </c>
      <c r="K55" s="10">
        <f>17142+4745</f>
        <v>21887</v>
      </c>
      <c r="L55" s="10">
        <f>17436+4619</f>
        <v>22055</v>
      </c>
      <c r="M55" s="10">
        <f>17948+4459</f>
        <v>22407</v>
      </c>
      <c r="N55" s="10">
        <f>17872+3733</f>
        <v>21605</v>
      </c>
      <c r="AE55" s="9">
        <f>16939+4835</f>
        <v>21774</v>
      </c>
    </row>
    <row r="56" spans="2:31" s="9" customFormat="1" x14ac:dyDescent="0.2">
      <c r="B56" s="9" t="s">
        <v>42</v>
      </c>
      <c r="C56" s="10"/>
      <c r="D56" s="10"/>
      <c r="E56" s="10"/>
      <c r="F56" s="10"/>
      <c r="G56" s="10"/>
      <c r="H56" s="10"/>
      <c r="I56" s="10">
        <v>3200</v>
      </c>
      <c r="J56" s="10">
        <v>2953</v>
      </c>
      <c r="K56" s="10">
        <v>2869</v>
      </c>
      <c r="L56" s="10">
        <v>2928</v>
      </c>
      <c r="M56" s="10">
        <v>2895</v>
      </c>
      <c r="N56" s="10">
        <v>3642</v>
      </c>
      <c r="AE56" s="9">
        <v>2953</v>
      </c>
    </row>
    <row r="57" spans="2:31" x14ac:dyDescent="0.2">
      <c r="B57" s="9" t="s">
        <v>61</v>
      </c>
      <c r="I57" s="10">
        <f t="shared" ref="I57:N57" si="186">SUM(I49:I56)</f>
        <v>176683</v>
      </c>
      <c r="J57" s="10">
        <f t="shared" si="186"/>
        <v>176223</v>
      </c>
      <c r="K57" s="10">
        <f t="shared" si="186"/>
        <v>172896</v>
      </c>
      <c r="L57" s="10">
        <f t="shared" si="186"/>
        <v>180098</v>
      </c>
      <c r="M57" s="10">
        <f t="shared" si="186"/>
        <v>181869</v>
      </c>
      <c r="N57" s="10">
        <f t="shared" si="186"/>
        <v>193694</v>
      </c>
      <c r="AE57" s="10">
        <f>SUM(AE49:AE56)</f>
        <v>176223</v>
      </c>
    </row>
    <row r="59" spans="2:31" s="9" customFormat="1" x14ac:dyDescent="0.2">
      <c r="B59" s="9" t="s">
        <v>49</v>
      </c>
      <c r="C59" s="10"/>
      <c r="D59" s="10"/>
      <c r="E59" s="10"/>
      <c r="F59" s="10"/>
      <c r="G59" s="10"/>
      <c r="H59" s="10"/>
      <c r="I59" s="10">
        <v>6690</v>
      </c>
      <c r="J59" s="10">
        <v>6591</v>
      </c>
      <c r="K59" s="10">
        <v>6630</v>
      </c>
      <c r="L59" s="10">
        <v>6936</v>
      </c>
      <c r="M59" s="10">
        <v>6759</v>
      </c>
      <c r="N59" s="10">
        <v>6898</v>
      </c>
      <c r="AE59" s="9">
        <v>6591</v>
      </c>
    </row>
    <row r="60" spans="2:31" s="9" customFormat="1" x14ac:dyDescent="0.2">
      <c r="B60" s="9" t="s">
        <v>4</v>
      </c>
      <c r="C60" s="10"/>
      <c r="D60" s="10"/>
      <c r="E60" s="10"/>
      <c r="F60" s="10"/>
      <c r="G60" s="10"/>
      <c r="H60" s="10"/>
      <c r="I60" s="10">
        <f>1725+2499+27644</f>
        <v>31868</v>
      </c>
      <c r="J60" s="10">
        <f>4985+27808+2499</f>
        <v>35292</v>
      </c>
      <c r="K60" s="10">
        <f>9998+27819+750</f>
        <v>38567</v>
      </c>
      <c r="L60" s="10">
        <f>3750+40679</f>
        <v>44429</v>
      </c>
      <c r="M60" s="10">
        <f>40896+5498</f>
        <v>46394</v>
      </c>
      <c r="N60" s="10">
        <f>12904+0+40783</f>
        <v>53687</v>
      </c>
      <c r="AE60" s="9">
        <f>4985+2499+27808</f>
        <v>35292</v>
      </c>
    </row>
    <row r="61" spans="2:31" s="9" customFormat="1" x14ac:dyDescent="0.2">
      <c r="B61" s="9" t="s">
        <v>48</v>
      </c>
      <c r="C61" s="10"/>
      <c r="D61" s="10"/>
      <c r="E61" s="10"/>
      <c r="F61" s="10"/>
      <c r="G61" s="10"/>
      <c r="H61" s="10"/>
      <c r="I61" s="10">
        <v>3902</v>
      </c>
      <c r="J61" s="10">
        <v>5096</v>
      </c>
      <c r="K61" s="10">
        <v>3450</v>
      </c>
      <c r="L61" s="10">
        <v>3649</v>
      </c>
      <c r="M61" s="10">
        <v>4276</v>
      </c>
      <c r="N61" s="10">
        <v>5264</v>
      </c>
      <c r="AE61" s="9">
        <v>5096</v>
      </c>
    </row>
    <row r="62" spans="2:31" s="9" customFormat="1" x14ac:dyDescent="0.2">
      <c r="B62" s="9" t="s">
        <v>30</v>
      </c>
      <c r="C62" s="10"/>
      <c r="D62" s="10"/>
      <c r="E62" s="10"/>
      <c r="F62" s="10"/>
      <c r="G62" s="10"/>
      <c r="H62" s="10"/>
      <c r="I62" s="10">
        <v>758</v>
      </c>
      <c r="J62" s="10">
        <v>606</v>
      </c>
      <c r="K62" s="10">
        <v>607</v>
      </c>
      <c r="L62" s="10">
        <v>493</v>
      </c>
      <c r="M62" s="10">
        <v>685</v>
      </c>
      <c r="N62" s="10">
        <v>580</v>
      </c>
      <c r="AE62" s="9">
        <v>606</v>
      </c>
    </row>
    <row r="63" spans="2:31" s="9" customFormat="1" x14ac:dyDescent="0.2">
      <c r="B63" s="9" t="s">
        <v>47</v>
      </c>
      <c r="C63" s="10"/>
      <c r="D63" s="10"/>
      <c r="E63" s="10"/>
      <c r="F63" s="10"/>
      <c r="G63" s="10"/>
      <c r="H63" s="10"/>
      <c r="I63" s="10">
        <f>18232+1966</f>
        <v>20198</v>
      </c>
      <c r="J63" s="10">
        <f>23223+2095</f>
        <v>25318</v>
      </c>
      <c r="K63" s="10">
        <f>21603+2784</f>
        <v>24387</v>
      </c>
      <c r="L63" s="10">
        <f>20929+4102</f>
        <v>25031</v>
      </c>
      <c r="M63" s="10">
        <f>20876+5017</f>
        <v>25893</v>
      </c>
      <c r="N63" s="10">
        <f>27468+6441</f>
        <v>33909</v>
      </c>
      <c r="AE63" s="9">
        <f>23223+2095</f>
        <v>25318</v>
      </c>
    </row>
    <row r="64" spans="2:31" s="9" customFormat="1" x14ac:dyDescent="0.2">
      <c r="B64" s="9" t="s">
        <v>46</v>
      </c>
      <c r="C64" s="10"/>
      <c r="D64" s="10"/>
      <c r="E64" s="10"/>
      <c r="F64" s="10"/>
      <c r="G64" s="10"/>
      <c r="H64" s="10"/>
      <c r="I64" s="10">
        <v>96</v>
      </c>
      <c r="J64" s="10">
        <v>92</v>
      </c>
      <c r="K64" s="10">
        <v>154</v>
      </c>
      <c r="L64" s="10">
        <v>439</v>
      </c>
      <c r="M64" s="10">
        <v>373</v>
      </c>
      <c r="N64" s="10">
        <v>294</v>
      </c>
      <c r="AE64" s="9">
        <v>92</v>
      </c>
    </row>
    <row r="65" spans="2:31" s="9" customFormat="1" x14ac:dyDescent="0.2">
      <c r="B65" s="9" t="s">
        <v>45</v>
      </c>
      <c r="C65" s="10"/>
      <c r="D65" s="10"/>
      <c r="E65" s="10"/>
      <c r="F65" s="10"/>
      <c r="G65" s="10"/>
      <c r="H65" s="10"/>
      <c r="I65" s="10">
        <v>6846</v>
      </c>
      <c r="J65" s="10">
        <v>6766</v>
      </c>
      <c r="K65" s="10">
        <v>6207</v>
      </c>
      <c r="L65" s="10">
        <v>6447</v>
      </c>
      <c r="M65" s="10">
        <v>5887</v>
      </c>
      <c r="N65" s="10">
        <f>193694-187745</f>
        <v>5949</v>
      </c>
      <c r="AE65" s="9">
        <v>6766</v>
      </c>
    </row>
    <row r="66" spans="2:31" s="9" customFormat="1" x14ac:dyDescent="0.2">
      <c r="B66" s="9" t="s">
        <v>38</v>
      </c>
      <c r="C66" s="10"/>
      <c r="D66" s="10"/>
      <c r="E66" s="10"/>
      <c r="F66" s="10"/>
      <c r="G66" s="10"/>
      <c r="H66" s="10"/>
      <c r="I66" s="10">
        <v>2919</v>
      </c>
      <c r="J66" s="10">
        <v>2835</v>
      </c>
      <c r="K66" s="10">
        <v>2169</v>
      </c>
      <c r="L66" s="10">
        <v>2194</v>
      </c>
      <c r="M66" s="10">
        <v>2674</v>
      </c>
      <c r="N66" s="10">
        <v>696</v>
      </c>
      <c r="AE66" s="9">
        <v>2835</v>
      </c>
    </row>
    <row r="67" spans="2:31" s="9" customFormat="1" x14ac:dyDescent="0.2">
      <c r="B67" s="9" t="s">
        <v>44</v>
      </c>
      <c r="C67" s="10"/>
      <c r="D67" s="10"/>
      <c r="E67" s="10"/>
      <c r="F67" s="10"/>
      <c r="G67" s="10"/>
      <c r="H67" s="10"/>
      <c r="I67" s="10">
        <v>13274</v>
      </c>
      <c r="J67" s="10">
        <v>13544</v>
      </c>
      <c r="K67" s="10">
        <v>13280</v>
      </c>
      <c r="L67" s="10">
        <v>13700</v>
      </c>
      <c r="M67" s="10">
        <v>14122</v>
      </c>
      <c r="N67" s="10">
        <v>14420</v>
      </c>
      <c r="AE67" s="9">
        <v>13544</v>
      </c>
    </row>
    <row r="68" spans="2:31" s="9" customFormat="1" x14ac:dyDescent="0.2">
      <c r="B68" s="9" t="s">
        <v>50</v>
      </c>
      <c r="C68" s="10"/>
      <c r="D68" s="10"/>
      <c r="E68" s="10"/>
      <c r="F68" s="10"/>
      <c r="G68" s="10"/>
      <c r="H68" s="10"/>
      <c r="I68" s="10">
        <v>90132</v>
      </c>
      <c r="J68" s="10">
        <v>80083</v>
      </c>
      <c r="K68" s="10">
        <v>77445</v>
      </c>
      <c r="L68" s="10">
        <v>76780</v>
      </c>
      <c r="M68" s="10">
        <v>74806</v>
      </c>
      <c r="N68" s="10">
        <v>71997</v>
      </c>
      <c r="AE68" s="9">
        <v>80083</v>
      </c>
    </row>
    <row r="69" spans="2:31" s="9" customFormat="1" x14ac:dyDescent="0.2">
      <c r="B69" s="9" t="s">
        <v>43</v>
      </c>
      <c r="C69" s="10"/>
      <c r="D69" s="10"/>
      <c r="E69" s="10"/>
      <c r="F69" s="10"/>
      <c r="G69" s="10"/>
      <c r="H69" s="10"/>
      <c r="I69" s="10">
        <f t="shared" ref="I69:N69" si="187">SUM(I59:I68)</f>
        <v>176683</v>
      </c>
      <c r="J69" s="10">
        <f t="shared" si="187"/>
        <v>176223</v>
      </c>
      <c r="K69" s="10">
        <f t="shared" si="187"/>
        <v>172896</v>
      </c>
      <c r="L69" s="10">
        <f t="shared" si="187"/>
        <v>180098</v>
      </c>
      <c r="M69" s="10">
        <f t="shared" si="187"/>
        <v>181869</v>
      </c>
      <c r="N69" s="10">
        <f t="shared" si="187"/>
        <v>193694</v>
      </c>
      <c r="AE69" s="9">
        <f>SUM(AE59:AE68)</f>
        <v>176223</v>
      </c>
    </row>
    <row r="71" spans="2:31" s="9" customFormat="1" x14ac:dyDescent="0.2">
      <c r="B71" s="5" t="s">
        <v>51</v>
      </c>
      <c r="C71" s="6"/>
      <c r="D71" s="6"/>
      <c r="E71" s="6"/>
      <c r="F71" s="6"/>
      <c r="G71" s="6"/>
      <c r="H71" s="6"/>
      <c r="I71" s="6">
        <f t="shared" ref="I71:N71" si="188">I34</f>
        <v>5175</v>
      </c>
      <c r="J71" s="6">
        <f t="shared" si="188"/>
        <v>5243</v>
      </c>
      <c r="K71" s="6">
        <f t="shared" si="188"/>
        <v>4620</v>
      </c>
      <c r="L71" s="6">
        <f t="shared" si="188"/>
        <v>4998</v>
      </c>
      <c r="M71" s="6">
        <f t="shared" si="188"/>
        <v>5301</v>
      </c>
      <c r="N71" s="6">
        <f t="shared" si="188"/>
        <v>4232</v>
      </c>
    </row>
    <row r="72" spans="2:31" s="9" customFormat="1" x14ac:dyDescent="0.2">
      <c r="B72" s="9" t="s">
        <v>52</v>
      </c>
      <c r="C72" s="10"/>
      <c r="D72" s="10"/>
      <c r="E72" s="10"/>
      <c r="F72" s="10"/>
      <c r="G72" s="10"/>
      <c r="H72" s="10"/>
      <c r="I72" s="10">
        <v>4985</v>
      </c>
      <c r="J72" s="10">
        <v>-3195</v>
      </c>
      <c r="K72" s="10">
        <v>4620</v>
      </c>
      <c r="L72" s="10">
        <v>4998</v>
      </c>
      <c r="M72" s="10">
        <v>3756</v>
      </c>
      <c r="N72" s="10">
        <v>3122</v>
      </c>
    </row>
    <row r="73" spans="2:31" s="9" customFormat="1" x14ac:dyDescent="0.2">
      <c r="B73" s="9" t="s">
        <v>60</v>
      </c>
      <c r="C73" s="10"/>
      <c r="D73" s="10"/>
      <c r="E73" s="10"/>
      <c r="F73" s="10"/>
      <c r="G73" s="10"/>
      <c r="H73" s="10"/>
      <c r="I73" s="10">
        <v>0</v>
      </c>
      <c r="J73" s="10">
        <v>7498</v>
      </c>
      <c r="K73" s="10">
        <v>0</v>
      </c>
      <c r="L73" s="10">
        <v>0</v>
      </c>
      <c r="M73" s="10">
        <v>0</v>
      </c>
      <c r="N73" s="10">
        <v>630</v>
      </c>
    </row>
    <row r="74" spans="2:31" s="9" customFormat="1" x14ac:dyDescent="0.2">
      <c r="B74" s="9" t="s">
        <v>53</v>
      </c>
      <c r="C74" s="10"/>
      <c r="D74" s="10"/>
      <c r="E74" s="10"/>
      <c r="F74" s="10"/>
      <c r="G74" s="10"/>
      <c r="H74" s="10"/>
      <c r="I74" s="10">
        <v>1515</v>
      </c>
      <c r="J74" s="10">
        <v>1493</v>
      </c>
      <c r="K74" s="10">
        <v>1461</v>
      </c>
      <c r="L74" s="10">
        <v>1544</v>
      </c>
      <c r="M74" s="10">
        <v>1707</v>
      </c>
      <c r="N74" s="10">
        <v>1910</v>
      </c>
    </row>
    <row r="75" spans="2:31" s="9" customFormat="1" x14ac:dyDescent="0.2">
      <c r="B75" s="9" t="s">
        <v>54</v>
      </c>
      <c r="C75" s="10"/>
      <c r="D75" s="10"/>
      <c r="E75" s="10"/>
      <c r="F75" s="10"/>
      <c r="G75" s="10"/>
      <c r="H75" s="10"/>
      <c r="I75" s="10">
        <v>641</v>
      </c>
      <c r="J75" s="10">
        <v>654</v>
      </c>
      <c r="K75" s="10">
        <v>674</v>
      </c>
      <c r="L75" s="10">
        <v>658</v>
      </c>
      <c r="M75" s="10">
        <v>672</v>
      </c>
      <c r="N75" s="10">
        <v>664</v>
      </c>
    </row>
    <row r="76" spans="2:31" s="9" customFormat="1" x14ac:dyDescent="0.2">
      <c r="B76" s="9" t="s">
        <v>56</v>
      </c>
      <c r="C76" s="10"/>
      <c r="D76" s="10"/>
      <c r="E76" s="10"/>
      <c r="F76" s="10"/>
      <c r="G76" s="10"/>
      <c r="H76" s="10"/>
      <c r="I76" s="10">
        <v>-55</v>
      </c>
      <c r="J76" s="10">
        <v>-264</v>
      </c>
      <c r="K76" s="10">
        <v>101</v>
      </c>
      <c r="L76" s="10">
        <v>50</v>
      </c>
      <c r="M76" s="10">
        <v>65</v>
      </c>
      <c r="N76" s="10">
        <v>-439</v>
      </c>
    </row>
    <row r="77" spans="2:31" s="9" customFormat="1" x14ac:dyDescent="0.2">
      <c r="B77" s="9" t="s">
        <v>55</v>
      </c>
      <c r="C77" s="10"/>
      <c r="D77" s="10"/>
      <c r="E77" s="10"/>
      <c r="F77" s="10"/>
      <c r="G77" s="10"/>
      <c r="H77" s="10"/>
      <c r="I77" s="10">
        <v>-31</v>
      </c>
      <c r="J77" s="10">
        <v>-33</v>
      </c>
      <c r="K77" s="10">
        <v>-282</v>
      </c>
      <c r="L77" s="10">
        <v>-20</v>
      </c>
      <c r="M77" s="10">
        <v>0</v>
      </c>
      <c r="N77" s="10">
        <v>0</v>
      </c>
    </row>
    <row r="78" spans="2:31" s="9" customFormat="1" x14ac:dyDescent="0.2">
      <c r="B78" s="9" t="s">
        <v>38</v>
      </c>
      <c r="C78" s="10"/>
      <c r="D78" s="10"/>
      <c r="E78" s="10"/>
      <c r="F78" s="10"/>
      <c r="G78" s="10"/>
      <c r="H78" s="10"/>
      <c r="I78" s="10">
        <v>253</v>
      </c>
      <c r="J78" s="10">
        <v>-644</v>
      </c>
      <c r="K78" s="10">
        <v>73</v>
      </c>
      <c r="L78" s="10">
        <v>-247</v>
      </c>
      <c r="M78" s="10">
        <v>351</v>
      </c>
      <c r="N78" s="10">
        <v>-625</v>
      </c>
    </row>
    <row r="79" spans="2:31" s="9" customFormat="1" x14ac:dyDescent="0.2">
      <c r="B79" s="9" t="s">
        <v>47</v>
      </c>
      <c r="C79" s="10"/>
      <c r="D79" s="10"/>
      <c r="E79" s="10"/>
      <c r="F79" s="10"/>
      <c r="G79" s="10"/>
      <c r="H79" s="10"/>
      <c r="I79" s="10">
        <f>10163-11209</f>
        <v>-1046</v>
      </c>
      <c r="J79" s="10">
        <f>16687-11573</f>
        <v>5114</v>
      </c>
      <c r="K79" s="10">
        <f>10423-11355</f>
        <v>-932</v>
      </c>
      <c r="L79" s="10">
        <f>12570-11929</f>
        <v>641</v>
      </c>
      <c r="M79" s="10">
        <f>13073-12210</f>
        <v>863</v>
      </c>
      <c r="N79" s="10">
        <f>21006-13004</f>
        <v>8002</v>
      </c>
    </row>
    <row r="80" spans="2:31" s="9" customFormat="1" x14ac:dyDescent="0.2">
      <c r="B80" s="9" t="s">
        <v>36</v>
      </c>
      <c r="C80" s="10"/>
      <c r="D80" s="10"/>
      <c r="E80" s="10"/>
      <c r="F80" s="10"/>
      <c r="G80" s="10"/>
      <c r="H80" s="10"/>
      <c r="I80" s="10">
        <v>3655</v>
      </c>
      <c r="J80" s="10">
        <v>-5448</v>
      </c>
      <c r="K80" s="10">
        <v>6376</v>
      </c>
      <c r="L80" s="10">
        <v>-3118</v>
      </c>
      <c r="M80" s="10">
        <v>2288</v>
      </c>
      <c r="N80" s="10">
        <v>-6076</v>
      </c>
    </row>
    <row r="81" spans="2:14" s="9" customFormat="1" x14ac:dyDescent="0.2">
      <c r="B81" s="9" t="s">
        <v>37</v>
      </c>
      <c r="C81" s="10"/>
      <c r="D81" s="10"/>
      <c r="E81" s="10"/>
      <c r="F81" s="10"/>
      <c r="G81" s="10"/>
      <c r="H81" s="10"/>
      <c r="I81" s="10">
        <v>-430</v>
      </c>
      <c r="J81" s="10">
        <v>-429</v>
      </c>
      <c r="K81" s="10">
        <v>-937</v>
      </c>
      <c r="L81" s="10">
        <v>1104</v>
      </c>
      <c r="M81" s="10">
        <v>241</v>
      </c>
      <c r="N81" s="10">
        <v>192</v>
      </c>
    </row>
    <row r="82" spans="2:14" s="9" customFormat="1" x14ac:dyDescent="0.2">
      <c r="B82" s="9" t="s">
        <v>59</v>
      </c>
      <c r="C82" s="10"/>
      <c r="D82" s="10"/>
      <c r="E82" s="10"/>
      <c r="F82" s="10"/>
      <c r="G82" s="10"/>
      <c r="H82" s="10"/>
      <c r="I82" s="10">
        <v>-111</v>
      </c>
      <c r="J82" s="10">
        <v>612</v>
      </c>
      <c r="K82" s="10">
        <v>-280</v>
      </c>
      <c r="L82" s="10">
        <v>-912</v>
      </c>
      <c r="M82" s="10">
        <v>-420</v>
      </c>
      <c r="N82" s="10">
        <v>747</v>
      </c>
    </row>
    <row r="83" spans="2:14" s="9" customFormat="1" x14ac:dyDescent="0.2">
      <c r="B83" s="9" t="s">
        <v>42</v>
      </c>
      <c r="C83" s="10"/>
      <c r="D83" s="10"/>
      <c r="E83" s="10"/>
      <c r="F83" s="10"/>
      <c r="G83" s="10"/>
      <c r="H83" s="10"/>
      <c r="I83" s="10">
        <v>-108</v>
      </c>
      <c r="J83" s="10">
        <v>5</v>
      </c>
      <c r="K83" s="10">
        <v>-5</v>
      </c>
      <c r="L83" s="10">
        <v>56</v>
      </c>
      <c r="M83" s="10">
        <v>7</v>
      </c>
      <c r="N83" s="10">
        <v>-99</v>
      </c>
    </row>
    <row r="84" spans="2:14" s="9" customFormat="1" x14ac:dyDescent="0.2">
      <c r="B84" s="9" t="s">
        <v>49</v>
      </c>
      <c r="C84" s="10"/>
      <c r="D84" s="10"/>
      <c r="E84" s="10"/>
      <c r="F84" s="10"/>
      <c r="G84" s="10"/>
      <c r="H84" s="10"/>
      <c r="I84" s="10">
        <v>-390</v>
      </c>
      <c r="J84" s="10">
        <v>-142</v>
      </c>
      <c r="K84" s="10">
        <v>-135</v>
      </c>
      <c r="L84" s="10">
        <v>369</v>
      </c>
      <c r="M84" s="10">
        <v>-129</v>
      </c>
      <c r="N84" s="10">
        <v>-17</v>
      </c>
    </row>
    <row r="85" spans="2:14" x14ac:dyDescent="0.2">
      <c r="B85" s="26" t="s">
        <v>58</v>
      </c>
      <c r="I85" s="30">
        <v>200</v>
      </c>
      <c r="J85" s="30">
        <v>1328</v>
      </c>
      <c r="K85" s="30">
        <v>-2024</v>
      </c>
      <c r="L85" s="30">
        <v>105</v>
      </c>
      <c r="M85" s="30">
        <v>626</v>
      </c>
      <c r="N85" s="30">
        <v>1033</v>
      </c>
    </row>
    <row r="86" spans="2:14" x14ac:dyDescent="0.2">
      <c r="B86" s="26" t="s">
        <v>44</v>
      </c>
      <c r="I86" s="30">
        <v>492</v>
      </c>
      <c r="J86" s="30">
        <v>267</v>
      </c>
      <c r="K86" s="30">
        <v>-116</v>
      </c>
      <c r="L86" s="30">
        <v>370</v>
      </c>
      <c r="M86" s="30">
        <v>340</v>
      </c>
      <c r="N86" s="30">
        <v>-580</v>
      </c>
    </row>
    <row r="87" spans="2:14" x14ac:dyDescent="0.2">
      <c r="B87" s="7" t="s">
        <v>57</v>
      </c>
      <c r="I87" s="6">
        <f t="shared" ref="I87:N87" si="189">SUM(I72:I86)</f>
        <v>9570</v>
      </c>
      <c r="J87" s="6">
        <f t="shared" si="189"/>
        <v>6816</v>
      </c>
      <c r="K87" s="6">
        <f t="shared" si="189"/>
        <v>8594</v>
      </c>
      <c r="L87" s="6">
        <f t="shared" si="189"/>
        <v>5598</v>
      </c>
      <c r="M87" s="6">
        <f t="shared" si="189"/>
        <v>10367</v>
      </c>
      <c r="N87" s="6">
        <f t="shared" si="189"/>
        <v>8464</v>
      </c>
    </row>
    <row r="89" spans="2:14" s="9" customFormat="1" x14ac:dyDescent="0.2">
      <c r="B89" s="9" t="s">
        <v>62</v>
      </c>
      <c r="C89" s="10"/>
      <c r="D89" s="10"/>
      <c r="E89" s="10"/>
      <c r="F89" s="10"/>
      <c r="G89" s="10"/>
      <c r="H89" s="10"/>
      <c r="I89" s="10">
        <v>1391</v>
      </c>
      <c r="J89" s="10">
        <v>1781</v>
      </c>
      <c r="K89" s="10">
        <v>1356</v>
      </c>
      <c r="L89" s="10">
        <v>2024</v>
      </c>
      <c r="M89" s="10">
        <v>2308</v>
      </c>
      <c r="N89" s="10">
        <v>2655</v>
      </c>
    </row>
    <row r="90" spans="2:14" s="7" customFormat="1" x14ac:dyDescent="0.2">
      <c r="B90" s="7" t="s">
        <v>63</v>
      </c>
      <c r="C90" s="8"/>
      <c r="D90" s="8"/>
      <c r="E90" s="8"/>
      <c r="F90" s="8"/>
      <c r="G90" s="8"/>
      <c r="H90" s="8"/>
      <c r="I90" s="6">
        <f>+I87-I89</f>
        <v>8179</v>
      </c>
      <c r="J90" s="6">
        <f t="shared" ref="J90:M90" si="190">+J87-J89</f>
        <v>5035</v>
      </c>
      <c r="K90" s="6">
        <f t="shared" si="190"/>
        <v>7238</v>
      </c>
      <c r="L90" s="6">
        <f t="shared" si="190"/>
        <v>3574</v>
      </c>
      <c r="M90" s="6">
        <f t="shared" si="190"/>
        <v>8059</v>
      </c>
      <c r="N90" s="6">
        <f t="shared" ref="N90" si="191">+N87-N89</f>
        <v>5809</v>
      </c>
    </row>
    <row r="91" spans="2:14" s="7" customFormat="1" x14ac:dyDescent="0.2">
      <c r="C91" s="8"/>
      <c r="D91" s="8"/>
      <c r="E91" s="8"/>
      <c r="F91" s="8"/>
      <c r="G91" s="8"/>
      <c r="H91" s="8"/>
      <c r="I91" s="6"/>
      <c r="J91" s="6"/>
      <c r="K91" s="6"/>
      <c r="L91" s="6"/>
      <c r="M91" s="8"/>
      <c r="N91" s="8"/>
    </row>
    <row r="92" spans="2:14" x14ac:dyDescent="0.2">
      <c r="B92" s="7" t="s">
        <v>67</v>
      </c>
      <c r="I92" s="10"/>
      <c r="J92" s="10"/>
      <c r="K92" s="10"/>
      <c r="L92" s="6">
        <f>SUM(I90:L90)</f>
        <v>24026</v>
      </c>
    </row>
    <row r="93" spans="2:14" x14ac:dyDescent="0.2">
      <c r="B93" s="7" t="s">
        <v>68</v>
      </c>
      <c r="I93" s="10"/>
      <c r="J93" s="10"/>
      <c r="K93" s="10"/>
      <c r="L93" s="6">
        <f>SUM(I71:L71)</f>
        <v>20036</v>
      </c>
    </row>
    <row r="94" spans="2:14" x14ac:dyDescent="0.2">
      <c r="I94" s="10"/>
      <c r="J94" s="10"/>
      <c r="K94" s="10"/>
      <c r="L94" s="10"/>
    </row>
    <row r="96" spans="2:14" s="9" customFormat="1" x14ac:dyDescent="0.2">
      <c r="B96" s="9" t="s">
        <v>64</v>
      </c>
      <c r="C96" s="10"/>
      <c r="D96" s="10"/>
      <c r="E96" s="10"/>
      <c r="F96" s="10"/>
      <c r="G96" s="10"/>
      <c r="H96" s="10"/>
      <c r="I96" s="10">
        <v>-162</v>
      </c>
      <c r="J96" s="10">
        <v>-626</v>
      </c>
      <c r="K96" s="10">
        <v>-390</v>
      </c>
      <c r="L96" s="10">
        <v>-381</v>
      </c>
      <c r="M96" s="10">
        <v>-559</v>
      </c>
      <c r="N96" s="10">
        <v>-63</v>
      </c>
    </row>
    <row r="97" spans="2:14" s="9" customFormat="1" x14ac:dyDescent="0.2">
      <c r="B97" s="9" t="s">
        <v>65</v>
      </c>
      <c r="C97" s="10"/>
      <c r="D97" s="10"/>
      <c r="E97" s="10"/>
      <c r="F97" s="10"/>
      <c r="G97" s="10"/>
      <c r="H97" s="10"/>
      <c r="I97" s="10">
        <f>-5131+146</f>
        <v>-4985</v>
      </c>
      <c r="J97" s="10">
        <f>-4279+151</f>
        <v>-4128</v>
      </c>
      <c r="K97" s="10">
        <f>-4757+219</f>
        <v>-4538</v>
      </c>
      <c r="L97" s="10">
        <f>-3678+117</f>
        <v>-3561</v>
      </c>
      <c r="M97" s="10">
        <f>-3857+159</f>
        <v>-3698</v>
      </c>
      <c r="N97" s="10">
        <f>-4279+151</f>
        <v>-4128</v>
      </c>
    </row>
    <row r="98" spans="2:14" s="9" customFormat="1" x14ac:dyDescent="0.2">
      <c r="B98" s="9" t="s">
        <v>66</v>
      </c>
      <c r="C98" s="10"/>
      <c r="D98" s="10"/>
      <c r="E98" s="10"/>
      <c r="F98" s="10"/>
      <c r="G98" s="10"/>
      <c r="H98" s="10"/>
      <c r="I98" s="10">
        <v>-2532</v>
      </c>
      <c r="J98" s="10">
        <v>-2496</v>
      </c>
      <c r="K98" s="10">
        <v>-2475</v>
      </c>
      <c r="L98" s="10">
        <v>-2868</v>
      </c>
      <c r="M98" s="10">
        <v>-2842</v>
      </c>
      <c r="N98" s="10">
        <v>-2821</v>
      </c>
    </row>
    <row r="102" spans="2:14" x14ac:dyDescent="0.2">
      <c r="B102" s="26" t="s">
        <v>70</v>
      </c>
      <c r="L102" s="10">
        <v>200000</v>
      </c>
    </row>
    <row r="103" spans="2:14" s="9" customFormat="1" x14ac:dyDescent="0.2">
      <c r="B103" s="9" t="s">
        <v>75</v>
      </c>
      <c r="C103" s="10"/>
      <c r="D103" s="10"/>
      <c r="E103" s="10"/>
      <c r="F103" s="10"/>
      <c r="G103" s="10"/>
      <c r="H103" s="10"/>
      <c r="I103" s="10"/>
      <c r="J103" s="10"/>
      <c r="K103" s="10">
        <v>18200</v>
      </c>
      <c r="L103" s="10">
        <v>20600</v>
      </c>
      <c r="M103" s="10"/>
      <c r="N103" s="10">
        <v>23100</v>
      </c>
    </row>
    <row r="104" spans="2:14" s="9" customFormat="1" x14ac:dyDescent="0.2">
      <c r="B104" s="9" t="s">
        <v>84</v>
      </c>
      <c r="C104" s="10"/>
      <c r="D104" s="10"/>
      <c r="E104" s="10"/>
      <c r="F104" s="10"/>
      <c r="G104" s="10"/>
      <c r="H104" s="10"/>
      <c r="I104" s="10"/>
      <c r="J104" s="10"/>
      <c r="K104" s="10">
        <v>39000</v>
      </c>
      <c r="L104" s="10">
        <v>48000</v>
      </c>
      <c r="M104" s="10"/>
      <c r="N104" s="10">
        <v>49000</v>
      </c>
    </row>
    <row r="106" spans="2:14" x14ac:dyDescent="0.2">
      <c r="B106" s="26" t="s">
        <v>101</v>
      </c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LOOK</cp:lastModifiedBy>
  <dcterms:created xsi:type="dcterms:W3CDTF">2016-03-08T01:24:04Z</dcterms:created>
  <dcterms:modified xsi:type="dcterms:W3CDTF">2016-10-16T04:01:05Z</dcterms:modified>
</cp:coreProperties>
</file>