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LOOK\Desktop\stock-exchange-berkeley\investing spreadsheets\"/>
    </mc:Choice>
  </mc:AlternateContent>
  <bookViews>
    <workbookView xWindow="0" yWindow="465" windowWidth="33600" windowHeight="20535" tabRatio="500" activeTab="1"/>
  </bookViews>
  <sheets>
    <sheet name="Main" sheetId="1" r:id="rId1"/>
    <sheet name="Model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1" i="2" l="1"/>
  <c r="X41" i="2" l="1"/>
  <c r="Y41" i="2" s="1"/>
  <c r="L26" i="2" l="1"/>
  <c r="AM35" i="2" l="1"/>
  <c r="N6" i="2"/>
  <c r="J41" i="2"/>
  <c r="J58" i="2"/>
  <c r="J60" i="2" s="1"/>
  <c r="J56" i="2"/>
  <c r="J54" i="2"/>
  <c r="J53" i="2"/>
  <c r="J49" i="2"/>
  <c r="J42" i="2"/>
  <c r="I54" i="2"/>
  <c r="I53" i="2"/>
  <c r="I58" i="2" s="1"/>
  <c r="I56" i="2"/>
  <c r="I42" i="2"/>
  <c r="L56" i="2"/>
  <c r="K56" i="2"/>
  <c r="K54" i="2"/>
  <c r="K58" i="2" s="1"/>
  <c r="K60" i="2" s="1"/>
  <c r="K53" i="2"/>
  <c r="K42" i="2"/>
  <c r="K49" i="2" s="1"/>
  <c r="L54" i="2"/>
  <c r="L53" i="2"/>
  <c r="L58" i="2" s="1"/>
  <c r="L60" i="2" s="1"/>
  <c r="L42" i="2"/>
  <c r="L41" i="2" s="1"/>
  <c r="L30" i="2"/>
  <c r="M30" i="2"/>
  <c r="O13" i="2"/>
  <c r="W13" i="2" s="1"/>
  <c r="X13" i="2" s="1"/>
  <c r="Y13" i="2" s="1"/>
  <c r="P13" i="2"/>
  <c r="M13" i="2"/>
  <c r="Q13" i="2"/>
  <c r="N13" i="2"/>
  <c r="R13" i="2"/>
  <c r="Z13" i="2"/>
  <c r="AA13" i="2" s="1"/>
  <c r="AB13" i="2" s="1"/>
  <c r="AC13" i="2" s="1"/>
  <c r="AD13" i="2" s="1"/>
  <c r="AE13" i="2" s="1"/>
  <c r="AF13" i="2" s="1"/>
  <c r="AG13" i="2" s="1"/>
  <c r="AH13" i="2"/>
  <c r="AI13" i="2" s="1"/>
  <c r="AJ13" i="2" s="1"/>
  <c r="M19" i="2"/>
  <c r="N19" i="2"/>
  <c r="O19" i="2" s="1"/>
  <c r="M20" i="2"/>
  <c r="N20" i="2"/>
  <c r="O20" i="2" s="1"/>
  <c r="L23" i="2"/>
  <c r="M23" i="2" s="1"/>
  <c r="N23" i="2" s="1"/>
  <c r="O23" i="2" s="1"/>
  <c r="P23" i="2" s="1"/>
  <c r="Q23" i="2" s="1"/>
  <c r="R23" i="2" s="1"/>
  <c r="M28" i="2"/>
  <c r="N28" i="2"/>
  <c r="O28" i="2" s="1"/>
  <c r="M21" i="2"/>
  <c r="K14" i="2"/>
  <c r="K17" i="2"/>
  <c r="K18" i="2" s="1"/>
  <c r="K22" i="2" s="1"/>
  <c r="K24" i="2" s="1"/>
  <c r="K35" i="2" s="1"/>
  <c r="K21" i="2"/>
  <c r="K23" i="2"/>
  <c r="L14" i="2"/>
  <c r="L17" i="2"/>
  <c r="L18" i="2"/>
  <c r="L37" i="2" s="1"/>
  <c r="L21" i="2"/>
  <c r="U35" i="2"/>
  <c r="T25" i="2"/>
  <c r="T12" i="2"/>
  <c r="T14" i="2" s="1"/>
  <c r="T13" i="2"/>
  <c r="T15" i="2"/>
  <c r="T16" i="2"/>
  <c r="T17" i="2" s="1"/>
  <c r="T19" i="2"/>
  <c r="T20" i="2"/>
  <c r="T21" i="2" s="1"/>
  <c r="C23" i="2"/>
  <c r="D23" i="2"/>
  <c r="T23" i="2" s="1"/>
  <c r="E23" i="2"/>
  <c r="F23" i="2"/>
  <c r="V20" i="2"/>
  <c r="U21" i="2"/>
  <c r="U6" i="2"/>
  <c r="V13" i="2"/>
  <c r="V16" i="2"/>
  <c r="V15" i="2"/>
  <c r="J14" i="2"/>
  <c r="I14" i="2"/>
  <c r="J17" i="2"/>
  <c r="J18" i="2"/>
  <c r="J21" i="2"/>
  <c r="J23" i="2"/>
  <c r="I17" i="2"/>
  <c r="I18" i="2" s="1"/>
  <c r="I21" i="2"/>
  <c r="I23" i="2"/>
  <c r="H14" i="2"/>
  <c r="H17" i="2"/>
  <c r="H18" i="2" s="1"/>
  <c r="H21" i="2"/>
  <c r="H23" i="2"/>
  <c r="G14" i="2"/>
  <c r="G17" i="2"/>
  <c r="G18" i="2" s="1"/>
  <c r="G21" i="2"/>
  <c r="G23" i="2"/>
  <c r="G37" i="2"/>
  <c r="F14" i="2"/>
  <c r="F17" i="2"/>
  <c r="F18" i="2" s="1"/>
  <c r="F22" i="2" s="1"/>
  <c r="F24" i="2" s="1"/>
  <c r="F37" i="2"/>
  <c r="E14" i="2"/>
  <c r="E18" i="2" s="1"/>
  <c r="E17" i="2"/>
  <c r="E37" i="2"/>
  <c r="D14" i="2"/>
  <c r="D17" i="2"/>
  <c r="D18" i="2" s="1"/>
  <c r="D37" i="2" s="1"/>
  <c r="C14" i="2"/>
  <c r="C18" i="2" s="1"/>
  <c r="C22" i="2" s="1"/>
  <c r="C24" i="2" s="1"/>
  <c r="C26" i="2" s="1"/>
  <c r="C27" i="2" s="1"/>
  <c r="C17" i="2"/>
  <c r="I30" i="2"/>
  <c r="K30" i="2"/>
  <c r="J30" i="2"/>
  <c r="H30" i="2"/>
  <c r="G30" i="2"/>
  <c r="L9" i="2"/>
  <c r="K9" i="2"/>
  <c r="J9" i="2"/>
  <c r="I9" i="2"/>
  <c r="H9" i="2"/>
  <c r="J8" i="2"/>
  <c r="L8" i="2"/>
  <c r="K8" i="2"/>
  <c r="I8" i="2"/>
  <c r="H8" i="2"/>
  <c r="G8" i="2"/>
  <c r="M8" i="2"/>
  <c r="M9" i="2"/>
  <c r="T28" i="2"/>
  <c r="U2" i="2"/>
  <c r="V2" i="2" s="1"/>
  <c r="W2" i="2" s="1"/>
  <c r="X2" i="2" s="1"/>
  <c r="Y2" i="2"/>
  <c r="Z2" i="2" s="1"/>
  <c r="AA2" i="2" s="1"/>
  <c r="AB2" i="2" s="1"/>
  <c r="AC2" i="2"/>
  <c r="AD2" i="2" s="1"/>
  <c r="AE2" i="2" s="1"/>
  <c r="AF2" i="2" s="1"/>
  <c r="AG2" i="2" s="1"/>
  <c r="AH2" i="2" s="1"/>
  <c r="AI2" i="2" s="1"/>
  <c r="AJ2" i="2" s="1"/>
  <c r="K34" i="2"/>
  <c r="J34" i="2"/>
  <c r="I34" i="2"/>
  <c r="H34" i="2"/>
  <c r="G34" i="2"/>
  <c r="L34" i="2"/>
  <c r="C21" i="2"/>
  <c r="D21" i="2"/>
  <c r="D22" i="2"/>
  <c r="D24" i="2" s="1"/>
  <c r="D26" i="2" s="1"/>
  <c r="D27" i="2" s="1"/>
  <c r="E21" i="2"/>
  <c r="F21" i="2"/>
  <c r="F26" i="2"/>
  <c r="F27" i="2" s="1"/>
  <c r="L49" i="2"/>
  <c r="J6" i="1"/>
  <c r="J8" i="1"/>
  <c r="J5" i="1"/>
  <c r="K26" i="2" l="1"/>
  <c r="K27" i="2" s="1"/>
  <c r="C37" i="2"/>
  <c r="E22" i="2"/>
  <c r="E24" i="2" s="1"/>
  <c r="E26" i="2" s="1"/>
  <c r="E27" i="2" s="1"/>
  <c r="G22" i="2"/>
  <c r="G24" i="2" s="1"/>
  <c r="I37" i="2"/>
  <c r="I22" i="2"/>
  <c r="I24" i="2" s="1"/>
  <c r="P20" i="2"/>
  <c r="Q20" i="2" s="1"/>
  <c r="R20" i="2" s="1"/>
  <c r="I41" i="2"/>
  <c r="I49" i="2"/>
  <c r="M12" i="2"/>
  <c r="N30" i="2"/>
  <c r="O30" i="2" s="1"/>
  <c r="P30" i="2" s="1"/>
  <c r="Q30" i="2" s="1"/>
  <c r="R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P28" i="2"/>
  <c r="Q28" i="2" s="1"/>
  <c r="R28" i="2" s="1"/>
  <c r="W28" i="2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J22" i="2"/>
  <c r="J24" i="2" s="1"/>
  <c r="J37" i="2"/>
  <c r="N9" i="2"/>
  <c r="V6" i="2"/>
  <c r="O6" i="2"/>
  <c r="N12" i="2"/>
  <c r="N14" i="2" s="1"/>
  <c r="H37" i="2"/>
  <c r="H22" i="2"/>
  <c r="H24" i="2" s="1"/>
  <c r="T18" i="2"/>
  <c r="T22" i="2" s="1"/>
  <c r="T24" i="2" s="1"/>
  <c r="V23" i="2"/>
  <c r="O21" i="2"/>
  <c r="P19" i="2"/>
  <c r="K37" i="2"/>
  <c r="N21" i="2"/>
  <c r="K41" i="2"/>
  <c r="V28" i="2"/>
  <c r="V19" i="2"/>
  <c r="V21" i="2" s="1"/>
  <c r="L22" i="2"/>
  <c r="L24" i="2" s="1"/>
  <c r="T35" i="2" l="1"/>
  <c r="T26" i="2"/>
  <c r="T27" i="2" s="1"/>
  <c r="I35" i="2"/>
  <c r="I26" i="2"/>
  <c r="I27" i="2" s="1"/>
  <c r="G35" i="2"/>
  <c r="G26" i="2"/>
  <c r="G27" i="2" s="1"/>
  <c r="M14" i="2"/>
  <c r="V12" i="2"/>
  <c r="V14" i="2" s="1"/>
  <c r="J35" i="2"/>
  <c r="J26" i="2"/>
  <c r="J27" i="2" s="1"/>
  <c r="N34" i="2"/>
  <c r="N17" i="2"/>
  <c r="N18" i="2"/>
  <c r="P6" i="2"/>
  <c r="O12" i="2"/>
  <c r="O9" i="2"/>
  <c r="P21" i="2"/>
  <c r="Q19" i="2"/>
  <c r="H26" i="2"/>
  <c r="H27" i="2" s="1"/>
  <c r="H35" i="2"/>
  <c r="L35" i="2"/>
  <c r="L27" i="2"/>
  <c r="W20" i="2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N37" i="2" l="1"/>
  <c r="N22" i="2"/>
  <c r="N24" i="2" s="1"/>
  <c r="P12" i="2"/>
  <c r="P14" i="2" s="1"/>
  <c r="Q6" i="2"/>
  <c r="P9" i="2"/>
  <c r="O14" i="2"/>
  <c r="M18" i="2"/>
  <c r="M17" i="2" s="1"/>
  <c r="V17" i="2" s="1"/>
  <c r="V18" i="2" s="1"/>
  <c r="V22" i="2" s="1"/>
  <c r="M34" i="2"/>
  <c r="Q21" i="2"/>
  <c r="R19" i="2"/>
  <c r="R21" i="2" s="1"/>
  <c r="W19" i="2"/>
  <c r="O34" i="2" l="1"/>
  <c r="O18" i="2"/>
  <c r="O17" i="2"/>
  <c r="R6" i="2"/>
  <c r="Q12" i="2"/>
  <c r="Q9" i="2"/>
  <c r="W6" i="2"/>
  <c r="X6" i="2" s="1"/>
  <c r="P34" i="2"/>
  <c r="P18" i="2"/>
  <c r="N25" i="2"/>
  <c r="N35" i="2" s="1"/>
  <c r="N26" i="2"/>
  <c r="N27" i="2" s="1"/>
  <c r="X19" i="2"/>
  <c r="W21" i="2"/>
  <c r="M22" i="2"/>
  <c r="M24" i="2" s="1"/>
  <c r="M37" i="2"/>
  <c r="M25" i="2" l="1"/>
  <c r="V24" i="2"/>
  <c r="P22" i="2"/>
  <c r="P24" i="2" s="1"/>
  <c r="P37" i="2"/>
  <c r="Y19" i="2"/>
  <c r="X21" i="2"/>
  <c r="Q14" i="2"/>
  <c r="R9" i="2"/>
  <c r="R12" i="2"/>
  <c r="R14" i="2" s="1"/>
  <c r="Y6" i="2"/>
  <c r="X12" i="2"/>
  <c r="X14" i="2" s="1"/>
  <c r="P17" i="2"/>
  <c r="O37" i="2"/>
  <c r="O22" i="2"/>
  <c r="O24" i="2" s="1"/>
  <c r="Q34" i="2" l="1"/>
  <c r="Q18" i="2"/>
  <c r="X18" i="2"/>
  <c r="X22" i="2" s="1"/>
  <c r="X24" i="2" s="1"/>
  <c r="Z6" i="2"/>
  <c r="Y12" i="2"/>
  <c r="Y14" i="2" s="1"/>
  <c r="P26" i="2"/>
  <c r="P27" i="2" s="1"/>
  <c r="P25" i="2"/>
  <c r="P35" i="2" s="1"/>
  <c r="R18" i="2"/>
  <c r="R17" i="2"/>
  <c r="R34" i="2"/>
  <c r="Z19" i="2"/>
  <c r="Y21" i="2"/>
  <c r="V25" i="2"/>
  <c r="V35" i="2" s="1"/>
  <c r="M35" i="2"/>
  <c r="O25" i="2"/>
  <c r="O26" i="2"/>
  <c r="O27" i="2" s="1"/>
  <c r="W12" i="2"/>
  <c r="W14" i="2" s="1"/>
  <c r="M26" i="2"/>
  <c r="M27" i="2" l="1"/>
  <c r="M41" i="2"/>
  <c r="N41" i="2" s="1"/>
  <c r="O41" i="2" s="1"/>
  <c r="P41" i="2" s="1"/>
  <c r="X25" i="2"/>
  <c r="X35" i="2" s="1"/>
  <c r="X26" i="2"/>
  <c r="Z21" i="2"/>
  <c r="AA19" i="2"/>
  <c r="V26" i="2"/>
  <c r="V27" i="2" s="1"/>
  <c r="X17" i="2"/>
  <c r="Q22" i="2"/>
  <c r="Q24" i="2" s="1"/>
  <c r="Q37" i="2"/>
  <c r="Y18" i="2"/>
  <c r="Y22" i="2" s="1"/>
  <c r="Y24" i="2" s="1"/>
  <c r="Y17" i="2"/>
  <c r="AA6" i="2"/>
  <c r="Z12" i="2"/>
  <c r="Z14" i="2" s="1"/>
  <c r="O35" i="2"/>
  <c r="R22" i="2"/>
  <c r="R24" i="2" s="1"/>
  <c r="R37" i="2"/>
  <c r="Q17" i="2"/>
  <c r="W17" i="2" s="1"/>
  <c r="W18" i="2" s="1"/>
  <c r="W22" i="2" s="1"/>
  <c r="AB19" i="2" l="1"/>
  <c r="AA21" i="2"/>
  <c r="X27" i="2"/>
  <c r="Z18" i="2"/>
  <c r="Z22" i="2" s="1"/>
  <c r="Y25" i="2"/>
  <c r="Y35" i="2" s="1"/>
  <c r="Y26" i="2"/>
  <c r="AB6" i="2"/>
  <c r="AA12" i="2"/>
  <c r="AA14" i="2" s="1"/>
  <c r="R25" i="2"/>
  <c r="R35" i="2" s="1"/>
  <c r="Q25" i="2"/>
  <c r="Q26" i="2"/>
  <c r="Q27" i="2" s="1"/>
  <c r="W24" i="2"/>
  <c r="Q35" i="2" l="1"/>
  <c r="W25" i="2"/>
  <c r="W35" i="2" s="1"/>
  <c r="Z17" i="2"/>
  <c r="W26" i="2"/>
  <c r="R26" i="2"/>
  <c r="R27" i="2" s="1"/>
  <c r="AA18" i="2"/>
  <c r="AA22" i="2" s="1"/>
  <c r="Y27" i="2"/>
  <c r="Q41" i="2"/>
  <c r="AB12" i="2"/>
  <c r="AB14" i="2" s="1"/>
  <c r="AC6" i="2"/>
  <c r="AB21" i="2"/>
  <c r="AC19" i="2"/>
  <c r="AC12" i="2" l="1"/>
  <c r="AC14" i="2" s="1"/>
  <c r="AD6" i="2"/>
  <c r="AB18" i="2"/>
  <c r="AB22" i="2" s="1"/>
  <c r="W27" i="2"/>
  <c r="AC21" i="2"/>
  <c r="AD19" i="2"/>
  <c r="R41" i="2"/>
  <c r="Z23" i="2"/>
  <c r="Z24" i="2" s="1"/>
  <c r="AA17" i="2"/>
  <c r="AB17" i="2" l="1"/>
  <c r="AE6" i="2"/>
  <c r="AD12" i="2"/>
  <c r="AD14" i="2" s="1"/>
  <c r="AC18" i="2"/>
  <c r="AC22" i="2" s="1"/>
  <c r="Z25" i="2"/>
  <c r="Z35" i="2" s="1"/>
  <c r="AD21" i="2"/>
  <c r="AE19" i="2"/>
  <c r="AD18" i="2" l="1"/>
  <c r="AD22" i="2" s="1"/>
  <c r="AD17" i="2"/>
  <c r="AC17" i="2"/>
  <c r="AE12" i="2"/>
  <c r="AE14" i="2" s="1"/>
  <c r="AF6" i="2"/>
  <c r="AF19" i="2"/>
  <c r="AE21" i="2"/>
  <c r="Z26" i="2"/>
  <c r="Z41" i="2" s="1"/>
  <c r="AF12" i="2" l="1"/>
  <c r="AF14" i="2" s="1"/>
  <c r="AG6" i="2"/>
  <c r="AG19" i="2"/>
  <c r="AF21" i="2"/>
  <c r="AE18" i="2"/>
  <c r="AE22" i="2" s="1"/>
  <c r="Z27" i="2"/>
  <c r="AH19" i="2" l="1"/>
  <c r="AG21" i="2"/>
  <c r="AA23" i="2"/>
  <c r="AA24" i="2" s="1"/>
  <c r="AG12" i="2"/>
  <c r="AG14" i="2" s="1"/>
  <c r="AH6" i="2"/>
  <c r="AE17" i="2"/>
  <c r="AF18" i="2"/>
  <c r="AF22" i="2" s="1"/>
  <c r="AF17" i="2"/>
  <c r="AA25" i="2" l="1"/>
  <c r="AA35" i="2" s="1"/>
  <c r="AA26" i="2"/>
  <c r="AA41" i="2" s="1"/>
  <c r="AI6" i="2"/>
  <c r="AH12" i="2"/>
  <c r="AH14" i="2" s="1"/>
  <c r="AG18" i="2"/>
  <c r="AG22" i="2" s="1"/>
  <c r="AG17" i="2"/>
  <c r="AH21" i="2"/>
  <c r="AI19" i="2"/>
  <c r="AH18" i="2" l="1"/>
  <c r="AH22" i="2" s="1"/>
  <c r="AI12" i="2"/>
  <c r="AI14" i="2" s="1"/>
  <c r="AJ6" i="2"/>
  <c r="AJ12" i="2" s="1"/>
  <c r="AJ14" i="2" s="1"/>
  <c r="AA27" i="2"/>
  <c r="AJ19" i="2"/>
  <c r="AJ21" i="2" s="1"/>
  <c r="AI21" i="2"/>
  <c r="AJ18" i="2" l="1"/>
  <c r="AJ22" i="2" s="1"/>
  <c r="AI18" i="2"/>
  <c r="AI22" i="2" s="1"/>
  <c r="AI17" i="2"/>
  <c r="AB23" i="2"/>
  <c r="AB24" i="2" s="1"/>
  <c r="AH17" i="2"/>
  <c r="AB25" i="2" l="1"/>
  <c r="AB35" i="2" s="1"/>
  <c r="AJ17" i="2"/>
  <c r="AB26" i="2" l="1"/>
  <c r="AB41" i="2" s="1"/>
  <c r="AB27" i="2" l="1"/>
  <c r="AC23" i="2" l="1"/>
  <c r="AC24" i="2" s="1"/>
  <c r="AC25" i="2" l="1"/>
  <c r="AC35" i="2" s="1"/>
  <c r="AC26" i="2" l="1"/>
  <c r="AC41" i="2" s="1"/>
  <c r="AC27" i="2" l="1"/>
  <c r="AD23" i="2" l="1"/>
  <c r="AD24" i="2" s="1"/>
  <c r="AD25" i="2" l="1"/>
  <c r="AD35" i="2" s="1"/>
  <c r="AD26" i="2"/>
  <c r="AD41" i="2" s="1"/>
  <c r="AD27" i="2" l="1"/>
  <c r="AE23" i="2" l="1"/>
  <c r="AE24" i="2" s="1"/>
  <c r="AE25" i="2" l="1"/>
  <c r="AE35" i="2" s="1"/>
  <c r="AE26" i="2"/>
  <c r="AE41" i="2" s="1"/>
  <c r="AE27" i="2" l="1"/>
  <c r="AF23" i="2" l="1"/>
  <c r="AF24" i="2" s="1"/>
  <c r="AF25" i="2" l="1"/>
  <c r="AF35" i="2" s="1"/>
  <c r="AF26" i="2"/>
  <c r="AF41" i="2" s="1"/>
  <c r="AF27" i="2" l="1"/>
  <c r="AG23" i="2"/>
  <c r="AG24" i="2" s="1"/>
  <c r="AG25" i="2" l="1"/>
  <c r="AG35" i="2" s="1"/>
  <c r="AG26" i="2" l="1"/>
  <c r="AG41" i="2" s="1"/>
  <c r="AH23" i="2"/>
  <c r="AH24" i="2" s="1"/>
  <c r="AG27" i="2" l="1"/>
  <c r="AH25" i="2"/>
  <c r="AH35" i="2" s="1"/>
  <c r="AH26" i="2" l="1"/>
  <c r="AH41" i="2" s="1"/>
  <c r="AH27" i="2" l="1"/>
  <c r="AI23" i="2"/>
  <c r="AI24" i="2" s="1"/>
  <c r="AI25" i="2" l="1"/>
  <c r="AI35" i="2" s="1"/>
  <c r="AI26" i="2" l="1"/>
  <c r="AI41" i="2" s="1"/>
  <c r="AI27" i="2"/>
  <c r="AJ23" i="2"/>
  <c r="AJ24" i="2" s="1"/>
  <c r="AJ25" i="2" l="1"/>
  <c r="AJ35" i="2" s="1"/>
  <c r="AJ26" i="2" l="1"/>
  <c r="AJ41" i="2" s="1"/>
  <c r="AK26" i="2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AM32" i="2" s="1"/>
  <c r="AM33" i="2" s="1"/>
  <c r="AM34" i="2" s="1"/>
  <c r="AM36" i="2" s="1"/>
  <c r="AJ27" i="2"/>
</calcChain>
</file>

<file path=xl/sharedStrings.xml><?xml version="1.0" encoding="utf-8"?>
<sst xmlns="http://schemas.openxmlformats.org/spreadsheetml/2006/main" count="73" uniqueCount="69">
  <si>
    <t>Price</t>
  </si>
  <si>
    <t>Cash</t>
  </si>
  <si>
    <t>Debt</t>
  </si>
  <si>
    <t>Shares</t>
  </si>
  <si>
    <t>MC</t>
  </si>
  <si>
    <t>EV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</si>
  <si>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</si>
  <si>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</si>
  <si>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</si>
  <si>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</si>
  <si>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</si>
  <si>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</si>
  <si>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</si>
  <si>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</si>
  <si>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</si>
  <si>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</si>
  <si>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</si>
  <si>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</si>
  <si>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</si>
  <si>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</si>
  <si>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</si>
  <si>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</si>
  <si>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Revenue</t>
  </si>
  <si>
    <t>A/R</t>
  </si>
  <si>
    <t>Inventory</t>
  </si>
  <si>
    <t>Prepaids</t>
  </si>
  <si>
    <t>OLV</t>
  </si>
  <si>
    <t>PP&amp;E</t>
  </si>
  <si>
    <t>OA</t>
  </si>
  <si>
    <t>A/P</t>
  </si>
  <si>
    <t>AL</t>
  </si>
  <si>
    <t>OLTL</t>
  </si>
  <si>
    <t>S/E</t>
  </si>
  <si>
    <t>L+S/E</t>
  </si>
  <si>
    <t>Assets</t>
  </si>
  <si>
    <t>Automotive</t>
  </si>
  <si>
    <t>COGS</t>
  </si>
  <si>
    <t>Gross Profit</t>
  </si>
  <si>
    <t>R&amp;D</t>
  </si>
  <si>
    <t>SG&amp;A</t>
  </si>
  <si>
    <t>Operating Expenses</t>
  </si>
  <si>
    <t>Interest Income</t>
  </si>
  <si>
    <t>Pretax Income</t>
  </si>
  <si>
    <t>Taxes</t>
  </si>
  <si>
    <t>Net Income</t>
  </si>
  <si>
    <t>EPS</t>
  </si>
  <si>
    <t>Operating Income</t>
  </si>
  <si>
    <t>Automotive COGS</t>
  </si>
  <si>
    <t>Services COGS</t>
  </si>
  <si>
    <t>Services</t>
  </si>
  <si>
    <t>Revenue Y/Y</t>
  </si>
  <si>
    <t>Production</t>
  </si>
  <si>
    <t>Delivered</t>
  </si>
  <si>
    <t>Production Q/Q</t>
  </si>
  <si>
    <t>Delivered %</t>
  </si>
  <si>
    <t>Avg. Price per Car</t>
  </si>
  <si>
    <t>Gross Margin %</t>
  </si>
  <si>
    <t>Tax Rate</t>
  </si>
  <si>
    <t>Discount</t>
  </si>
  <si>
    <t>Maturity</t>
  </si>
  <si>
    <t>ROIC</t>
  </si>
  <si>
    <t>NPV</t>
  </si>
  <si>
    <t>Net</t>
  </si>
  <si>
    <t>Liabilities</t>
  </si>
  <si>
    <t>Net Cash</t>
  </si>
  <si>
    <t>Resale Guarantees</t>
  </si>
  <si>
    <t>Deposits</t>
  </si>
  <si>
    <t>D/R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</si>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</sst>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i/>
      <sz val="10"/>
      <color theme="1"/>
      <name val="Arial"/>
    </font>
    <font>
      <b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3" fontId="6" fillId="0" borderId="0" xfId="0" applyNumberFormat="1" applyFont="1"/>
    <xf numFmtId="9" fontId="1" fillId="0" borderId="0" xfId="0" applyNumberFormat="1" applyFont="1"/>
    <xf numFmtId="9" fontId="3" fillId="0" borderId="0" xfId="0" applyNumberFormat="1" applyFont="1"/>
    <xf numFmtId="2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10673</xdr:colOff>
      <xdr:row>0</xdr:row>
      <xdr:rowOff>0</xdr:rowOff>
    </xdr:from>
    <xdr:to>
      <xdr:col>12</xdr:col>
      <xdr:colOff>10673</xdr:colOff>
      <xdr:row>60</xdr:row>
      <xdr:rowOff>96051</xdr:rowOff>
    </xdr:to>
    <xdr:cxnSp macro="">
      <xdr:nvCxnSpPr>
        <xdr:cNvPr id="3" name="Straight Connector 2"/>
        <xdr:cNvCxnSpPr/>
      </xdr:nvCxnSpPr>
      <xdr:spPr>
        <a:xfrm>
          <a:off x="9690421" y="0"/>
          <a:ext cx="0" cy="89006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J8"/>
  <sheetViews>
    <sheetView zoomScaleNormal="100" workbookViewId="0">
      <selection activeCell="L4" sqref="L4"/>
    </sheetView>
  </sheetViews>
  <sheetFormatPr defaultColWidth="10.875" defaultRowHeight="12.75" x14ac:dyDescent="0.2"/>
  <cols>
    <col min="1" max="16384" width="10.875" style="1"/>
  </cols>
  <sheetData>
    <row r="3" spans="9:10" x14ac:dyDescent="0.2">
      <c r="I3" s="1" t="s">
        <v>0</v>
      </c>
      <c r="J3" s="1">
        <v>200.24</v>
      </c>
    </row>
    <row r="4" spans="9:10" x14ac:dyDescent="0.2">
      <c r="I4" s="1" t="s">
        <v>3</v>
      </c>
      <c r="J4" s="1">
        <v>148.69200000000001</v>
      </c>
    </row>
    <row r="5" spans="9:10" x14ac:dyDescent="0.2">
      <c r="I5" s="1" t="s">
        <v>4</v>
      </c>
      <c r="J5" s="2">
        <f>J3*J4</f>
        <v>29774.086080000005</v>
      </c>
    </row>
    <row r="6" spans="9:10" x14ac:dyDescent="0.2">
      <c r="I6" s="1" t="s">
        <v>1</v>
      </c>
      <c r="J6" s="2">
        <f>3246.301+24.525+71.621</f>
        <v>3342.4470000000001</v>
      </c>
    </row>
    <row r="7" spans="9:10" x14ac:dyDescent="0.2">
      <c r="I7" s="1" t="s">
        <v>2</v>
      </c>
      <c r="J7" s="2">
        <v>2620</v>
      </c>
    </row>
    <row r="8" spans="9:10" x14ac:dyDescent="0.2">
      <c r="I8" s="1" t="s">
        <v>5</v>
      </c>
      <c r="J8" s="2">
        <f>J5-J6+J7</f>
        <v>29051.639080000004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D61"/>
  <sheetViews>
    <sheetView tabSelected="1" zoomScaleNormal="100" workbookViewId="0">
      <pane xSplit="2" ySplit="2" topLeftCell="Y9" activePane="bottomRight" state="frozen"/>
      <selection pane="topRight" activeCell="B1" sqref="B1"/>
      <selection pane="bottomLeft" activeCell="A3" sqref="A3"/>
      <selection pane="bottomRight" activeCell="AH41" sqref="AH41"/>
    </sheetView>
  </sheetViews>
  <sheetFormatPr defaultColWidth="10.875" defaultRowHeight="12.75" x14ac:dyDescent="0.2"/>
  <cols>
    <col min="1" max="1" width="4.5" style="1" customWidth="1"/>
    <col min="2" max="2" width="22" style="1" customWidth="1"/>
    <col min="3" max="10" width="10.875" style="1"/>
    <col min="11" max="11" width="13.375" style="1" customWidth="1"/>
    <col min="12" max="12" width="10.875" style="1"/>
    <col min="13" max="13" width="11.625" style="1" bestFit="1" customWidth="1"/>
    <col min="14" max="16384" width="10.875" style="1"/>
  </cols>
  <sheetData>
    <row r="2" spans="2:36" x14ac:dyDescent="0.2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T2" s="1">
        <v>2014</v>
      </c>
      <c r="U2" s="1">
        <f>T2+1</f>
        <v>2015</v>
      </c>
      <c r="V2" s="1">
        <f t="shared" ref="V2:AJ2" si="0">U2+1</f>
        <v>2016</v>
      </c>
      <c r="W2" s="1">
        <f t="shared" si="0"/>
        <v>2017</v>
      </c>
      <c r="X2" s="1">
        <f t="shared" si="0"/>
        <v>2018</v>
      </c>
      <c r="Y2" s="1">
        <f t="shared" si="0"/>
        <v>2019</v>
      </c>
      <c r="Z2" s="1">
        <f t="shared" si="0"/>
        <v>2020</v>
      </c>
      <c r="AA2" s="1">
        <f t="shared" si="0"/>
        <v>2021</v>
      </c>
      <c r="AB2" s="1">
        <f t="shared" si="0"/>
        <v>2022</v>
      </c>
      <c r="AC2" s="1">
        <f t="shared" si="0"/>
        <v>2023</v>
      </c>
      <c r="AD2" s="1">
        <f t="shared" si="0"/>
        <v>2024</v>
      </c>
      <c r="AE2" s="1">
        <f t="shared" si="0"/>
        <v>2025</v>
      </c>
      <c r="AF2" s="1">
        <f t="shared" si="0"/>
        <v>2026</v>
      </c>
      <c r="AG2" s="1">
        <f t="shared" si="0"/>
        <v>2027</v>
      </c>
      <c r="AH2" s="1">
        <f t="shared" si="0"/>
        <v>2028</v>
      </c>
      <c r="AI2" s="1">
        <f t="shared" si="0"/>
        <v>2029</v>
      </c>
      <c r="AJ2" s="1">
        <f t="shared" si="0"/>
        <v>2030</v>
      </c>
    </row>
    <row r="3" spans="2:36" s="2" customFormat="1" x14ac:dyDescent="0.2"/>
    <row r="4" spans="2:36" s="2" customFormat="1" x14ac:dyDescent="0.2"/>
    <row r="5" spans="2:36" s="2" customFormat="1" x14ac:dyDescent="0.2"/>
    <row r="6" spans="2:36" s="2" customFormat="1" x14ac:dyDescent="0.2">
      <c r="B6" s="2" t="s">
        <v>51</v>
      </c>
      <c r="G6" s="2">
        <v>11160</v>
      </c>
      <c r="H6" s="2">
        <v>12807</v>
      </c>
      <c r="I6" s="2">
        <v>13091</v>
      </c>
      <c r="J6" s="2">
        <v>14037</v>
      </c>
      <c r="K6" s="2">
        <v>15510</v>
      </c>
      <c r="L6" s="2">
        <v>18345</v>
      </c>
      <c r="M6" s="2">
        <v>25185</v>
      </c>
      <c r="N6" s="2">
        <f>M6+3000</f>
        <v>28185</v>
      </c>
      <c r="O6" s="2">
        <f t="shared" ref="O6:R6" si="1">N6+3000</f>
        <v>31185</v>
      </c>
      <c r="P6" s="2">
        <f t="shared" si="1"/>
        <v>34185</v>
      </c>
      <c r="Q6" s="2">
        <f t="shared" si="1"/>
        <v>37185</v>
      </c>
      <c r="R6" s="2">
        <f t="shared" si="1"/>
        <v>40185</v>
      </c>
      <c r="U6" s="2">
        <f>SUM(G6:J6)</f>
        <v>51095</v>
      </c>
      <c r="V6" s="2">
        <f>SUM(K6:N6)</f>
        <v>87225</v>
      </c>
      <c r="W6" s="2">
        <f>SUM(O6:R6)</f>
        <v>142740</v>
      </c>
      <c r="X6" s="2">
        <f>W6*1.5</f>
        <v>214110</v>
      </c>
      <c r="Y6" s="2">
        <f>X6*1.5</f>
        <v>321165</v>
      </c>
      <c r="Z6" s="2">
        <f t="shared" ref="Z6:AJ6" si="2">Y6*1.1</f>
        <v>353281.5</v>
      </c>
      <c r="AA6" s="2">
        <f t="shared" si="2"/>
        <v>388609.65</v>
      </c>
      <c r="AB6" s="2">
        <f t="shared" si="2"/>
        <v>427470.61500000005</v>
      </c>
      <c r="AC6" s="2">
        <f t="shared" si="2"/>
        <v>470217.67650000012</v>
      </c>
      <c r="AD6" s="2">
        <f t="shared" si="2"/>
        <v>517239.44415000017</v>
      </c>
      <c r="AE6" s="2">
        <f t="shared" si="2"/>
        <v>568963.38856500026</v>
      </c>
      <c r="AF6" s="2">
        <f t="shared" si="2"/>
        <v>625859.72742150037</v>
      </c>
      <c r="AG6" s="2">
        <f t="shared" si="2"/>
        <v>688445.70016365044</v>
      </c>
      <c r="AH6" s="2">
        <f t="shared" si="2"/>
        <v>757290.27018001559</v>
      </c>
      <c r="AI6" s="2">
        <f t="shared" si="2"/>
        <v>833019.29719801724</v>
      </c>
      <c r="AJ6" s="2">
        <f t="shared" si="2"/>
        <v>916321.226917819</v>
      </c>
    </row>
    <row r="7" spans="2:36" s="2" customFormat="1" x14ac:dyDescent="0.2">
      <c r="B7" s="2" t="s">
        <v>52</v>
      </c>
      <c r="G7" s="2">
        <v>10045</v>
      </c>
      <c r="H7" s="2">
        <v>11532</v>
      </c>
      <c r="I7" s="2">
        <v>11603</v>
      </c>
      <c r="J7" s="2">
        <v>17478</v>
      </c>
      <c r="K7" s="2">
        <v>14820</v>
      </c>
      <c r="L7" s="2">
        <v>14402</v>
      </c>
      <c r="M7" s="2">
        <v>24500</v>
      </c>
      <c r="N7" s="3"/>
    </row>
    <row r="8" spans="2:36" s="7" customFormat="1" x14ac:dyDescent="0.2">
      <c r="B8" s="7" t="s">
        <v>54</v>
      </c>
      <c r="G8" s="7">
        <f t="shared" ref="G8:L8" si="3">G7/G6</f>
        <v>0.90008960573476704</v>
      </c>
      <c r="H8" s="7">
        <f t="shared" si="3"/>
        <v>0.90044506910283439</v>
      </c>
      <c r="I8" s="7">
        <f t="shared" si="3"/>
        <v>0.88633412267970357</v>
      </c>
      <c r="J8" s="7">
        <f t="shared" si="3"/>
        <v>1.245137849967942</v>
      </c>
      <c r="K8" s="7">
        <f t="shared" si="3"/>
        <v>0.95551257253384914</v>
      </c>
      <c r="L8" s="7">
        <f t="shared" si="3"/>
        <v>0.78506405014990466</v>
      </c>
      <c r="M8" s="7">
        <f>M7/M6</f>
        <v>0.97280127059757793</v>
      </c>
    </row>
    <row r="9" spans="2:36" s="7" customFormat="1" x14ac:dyDescent="0.2">
      <c r="B9" s="7" t="s">
        <v>53</v>
      </c>
      <c r="H9" s="7">
        <f t="shared" ref="H9:L9" si="4">H6/G6-1</f>
        <v>0.14758064516129021</v>
      </c>
      <c r="I9" s="7">
        <f t="shared" si="4"/>
        <v>2.2175372842976548E-2</v>
      </c>
      <c r="J9" s="7">
        <f t="shared" si="4"/>
        <v>7.2263387059812167E-2</v>
      </c>
      <c r="K9" s="7">
        <f t="shared" si="4"/>
        <v>0.10493695234024369</v>
      </c>
      <c r="L9" s="7">
        <f t="shared" si="4"/>
        <v>0.18278529980657643</v>
      </c>
      <c r="M9" s="7">
        <f>M6/L6-1</f>
        <v>0.37285363859362231</v>
      </c>
      <c r="N9" s="7">
        <f t="shared" ref="N9:R9" si="5">N6/M6-1</f>
        <v>0.11911852293031577</v>
      </c>
      <c r="O9" s="7">
        <f t="shared" si="5"/>
        <v>0.10643959552953697</v>
      </c>
      <c r="P9" s="7">
        <f t="shared" si="5"/>
        <v>9.6200096200096175E-2</v>
      </c>
      <c r="Q9" s="7">
        <f t="shared" si="5"/>
        <v>8.7757788503729728E-2</v>
      </c>
      <c r="R9" s="7">
        <f t="shared" si="5"/>
        <v>8.067769261799107E-2</v>
      </c>
    </row>
    <row r="10" spans="2:36" s="2" customFormat="1" x14ac:dyDescent="0.2"/>
    <row r="11" spans="2:36" s="2" customFormat="1" x14ac:dyDescent="0.2"/>
    <row r="12" spans="2:36" s="2" customFormat="1" x14ac:dyDescent="0.2">
      <c r="B12" s="2" t="s">
        <v>35</v>
      </c>
      <c r="C12" s="6">
        <v>618811</v>
      </c>
      <c r="D12" s="6">
        <v>768242</v>
      </c>
      <c r="E12" s="6">
        <v>849009</v>
      </c>
      <c r="F12" s="6">
        <v>890396</v>
      </c>
      <c r="G12" s="2">
        <v>893320</v>
      </c>
      <c r="H12" s="2">
        <v>878090</v>
      </c>
      <c r="I12" s="2">
        <v>852555</v>
      </c>
      <c r="J12" s="2">
        <v>1117007</v>
      </c>
      <c r="K12" s="2">
        <v>1026064</v>
      </c>
      <c r="L12" s="2">
        <v>1181852</v>
      </c>
      <c r="M12" s="2">
        <f t="shared" ref="M12:R12" si="6">M6*M30/1000</f>
        <v>1622509.8184791496</v>
      </c>
      <c r="N12" s="2">
        <f t="shared" si="6"/>
        <v>1815780.7914963204</v>
      </c>
      <c r="O12" s="2">
        <f t="shared" si="6"/>
        <v>2009051.7645134914</v>
      </c>
      <c r="P12" s="2">
        <f t="shared" si="6"/>
        <v>2202322.7375306627</v>
      </c>
      <c r="Q12" s="2">
        <f t="shared" si="6"/>
        <v>2395593.7105478332</v>
      </c>
      <c r="R12" s="2">
        <f t="shared" si="6"/>
        <v>2588864.6835650043</v>
      </c>
      <c r="T12" s="2">
        <f>SUM(C12:F12)</f>
        <v>3126458</v>
      </c>
      <c r="U12" s="2">
        <v>3740972</v>
      </c>
      <c r="V12" s="2">
        <f>SUM(K12:N12)</f>
        <v>5646206.6099754702</v>
      </c>
      <c r="W12" s="2">
        <f>SUM(O12:R12)</f>
        <v>9195832.8961569909</v>
      </c>
      <c r="X12" s="2">
        <f>X6*X30/1000</f>
        <v>11826415.8440139</v>
      </c>
      <c r="Y12" s="2">
        <f t="shared" ref="Y12:AJ12" si="7">Y6*Y30/1000</f>
        <v>16852642.577719804</v>
      </c>
      <c r="Z12" s="2">
        <f t="shared" si="7"/>
        <v>17611011.493717194</v>
      </c>
      <c r="AA12" s="2">
        <f t="shared" si="7"/>
        <v>18403507.010934468</v>
      </c>
      <c r="AB12" s="2">
        <f t="shared" si="7"/>
        <v>19231664.826426517</v>
      </c>
      <c r="AC12" s="2">
        <f t="shared" si="7"/>
        <v>20097089.743615717</v>
      </c>
      <c r="AD12" s="2">
        <f t="shared" si="7"/>
        <v>21001458.782078419</v>
      </c>
      <c r="AE12" s="2">
        <f t="shared" si="7"/>
        <v>21946524.427271951</v>
      </c>
      <c r="AF12" s="2">
        <f t="shared" si="7"/>
        <v>22934118.026499189</v>
      </c>
      <c r="AG12" s="2">
        <f t="shared" si="7"/>
        <v>23966153.337691654</v>
      </c>
      <c r="AH12" s="2">
        <f t="shared" si="7"/>
        <v>25044630.237887789</v>
      </c>
      <c r="AI12" s="2">
        <f t="shared" si="7"/>
        <v>26171638.59859274</v>
      </c>
      <c r="AJ12" s="2">
        <f t="shared" si="7"/>
        <v>27349362.335529413</v>
      </c>
    </row>
    <row r="13" spans="2:36" s="2" customFormat="1" x14ac:dyDescent="0.2">
      <c r="B13" s="2" t="s">
        <v>49</v>
      </c>
      <c r="C13" s="6">
        <v>1731</v>
      </c>
      <c r="D13" s="6">
        <v>1107</v>
      </c>
      <c r="E13" s="6">
        <v>2795</v>
      </c>
      <c r="F13" s="6">
        <v>66265</v>
      </c>
      <c r="G13" s="2">
        <v>46560</v>
      </c>
      <c r="H13" s="2">
        <v>76886</v>
      </c>
      <c r="I13" s="2">
        <v>84234</v>
      </c>
      <c r="J13" s="2">
        <v>97372</v>
      </c>
      <c r="K13" s="2">
        <v>120984</v>
      </c>
      <c r="L13" s="2">
        <v>88165</v>
      </c>
      <c r="M13" s="2">
        <f>I13*1.03</f>
        <v>86761.02</v>
      </c>
      <c r="N13" s="2">
        <f t="shared" ref="N13:R13" si="8">J13*1.03</f>
        <v>100293.16</v>
      </c>
      <c r="O13" s="2">
        <f t="shared" si="8"/>
        <v>124613.52</v>
      </c>
      <c r="P13" s="2">
        <f t="shared" si="8"/>
        <v>90809.95</v>
      </c>
      <c r="Q13" s="2">
        <f t="shared" si="8"/>
        <v>89363.850600000005</v>
      </c>
      <c r="R13" s="2">
        <f t="shared" si="8"/>
        <v>103301.95480000001</v>
      </c>
      <c r="T13" s="2">
        <f>SUM(C13:F13)</f>
        <v>71898</v>
      </c>
      <c r="U13" s="2">
        <v>305052</v>
      </c>
      <c r="V13" s="2">
        <f>SUM(K13:N13)</f>
        <v>396203.18000000005</v>
      </c>
      <c r="W13" s="2">
        <f>SUM(O13:R13)</f>
        <v>408089.27539999998</v>
      </c>
      <c r="X13" s="2">
        <f>W13*1.1</f>
        <v>448898.20294000005</v>
      </c>
      <c r="Y13" s="2">
        <f t="shared" ref="Y13:AJ13" si="9">X13*1.1</f>
        <v>493788.02323400008</v>
      </c>
      <c r="Z13" s="2">
        <f t="shared" si="9"/>
        <v>543166.82555740012</v>
      </c>
      <c r="AA13" s="2">
        <f t="shared" si="9"/>
        <v>597483.50811314024</v>
      </c>
      <c r="AB13" s="2">
        <f t="shared" si="9"/>
        <v>657231.85892445431</v>
      </c>
      <c r="AC13" s="2">
        <f t="shared" si="9"/>
        <v>722955.04481689981</v>
      </c>
      <c r="AD13" s="2">
        <f t="shared" si="9"/>
        <v>795250.54929858982</v>
      </c>
      <c r="AE13" s="2">
        <f t="shared" si="9"/>
        <v>874775.60422844882</v>
      </c>
      <c r="AF13" s="2">
        <f t="shared" si="9"/>
        <v>962253.16465129377</v>
      </c>
      <c r="AG13" s="2">
        <f t="shared" si="9"/>
        <v>1058478.4811164232</v>
      </c>
      <c r="AH13" s="2">
        <f t="shared" si="9"/>
        <v>1164326.3292280657</v>
      </c>
      <c r="AI13" s="2">
        <f t="shared" si="9"/>
        <v>1280758.9621508725</v>
      </c>
      <c r="AJ13" s="2">
        <f t="shared" si="9"/>
        <v>1408834.8583659597</v>
      </c>
    </row>
    <row r="14" spans="2:36" s="4" customFormat="1" x14ac:dyDescent="0.2">
      <c r="B14" s="4" t="s">
        <v>22</v>
      </c>
      <c r="C14" s="4">
        <f t="shared" ref="C14:L14" si="10">C12+C13</f>
        <v>620542</v>
      </c>
      <c r="D14" s="4">
        <f t="shared" si="10"/>
        <v>769349</v>
      </c>
      <c r="E14" s="4">
        <f t="shared" si="10"/>
        <v>851804</v>
      </c>
      <c r="F14" s="4">
        <f t="shared" si="10"/>
        <v>956661</v>
      </c>
      <c r="G14" s="4">
        <f t="shared" si="10"/>
        <v>939880</v>
      </c>
      <c r="H14" s="4">
        <f t="shared" si="10"/>
        <v>954976</v>
      </c>
      <c r="I14" s="4">
        <f t="shared" si="10"/>
        <v>936789</v>
      </c>
      <c r="J14" s="4">
        <f t="shared" si="10"/>
        <v>1214379</v>
      </c>
      <c r="K14" s="4">
        <f t="shared" si="10"/>
        <v>1147048</v>
      </c>
      <c r="L14" s="4">
        <f t="shared" si="10"/>
        <v>1270017</v>
      </c>
      <c r="M14" s="4">
        <f t="shared" ref="M14:R14" si="11">M12+M13</f>
        <v>1709270.8384791496</v>
      </c>
      <c r="N14" s="4">
        <f t="shared" si="11"/>
        <v>1916073.9514963203</v>
      </c>
      <c r="O14" s="4">
        <f t="shared" si="11"/>
        <v>2133665.2845134912</v>
      </c>
      <c r="P14" s="4">
        <f t="shared" si="11"/>
        <v>2293132.6875306629</v>
      </c>
      <c r="Q14" s="4">
        <f t="shared" si="11"/>
        <v>2484957.5611478332</v>
      </c>
      <c r="R14" s="4">
        <f t="shared" si="11"/>
        <v>2692166.6383650042</v>
      </c>
      <c r="T14" s="4">
        <f>T12+T13</f>
        <v>3198356</v>
      </c>
      <c r="U14" s="4">
        <v>4046024</v>
      </c>
      <c r="V14" s="4">
        <f>V12+V13</f>
        <v>6042409.7899754699</v>
      </c>
      <c r="W14" s="4">
        <f>W12+W13</f>
        <v>9603922.1715569906</v>
      </c>
      <c r="X14" s="4">
        <f t="shared" ref="X14:AJ14" si="12">X12+X13</f>
        <v>12275314.0469539</v>
      </c>
      <c r="Y14" s="4">
        <f t="shared" si="12"/>
        <v>17346430.600953802</v>
      </c>
      <c r="Z14" s="4">
        <f t="shared" si="12"/>
        <v>18154178.319274593</v>
      </c>
      <c r="AA14" s="4">
        <f t="shared" si="12"/>
        <v>19000990.51904761</v>
      </c>
      <c r="AB14" s="4">
        <f t="shared" si="12"/>
        <v>19888896.685350973</v>
      </c>
      <c r="AC14" s="4">
        <f t="shared" si="12"/>
        <v>20820044.788432617</v>
      </c>
      <c r="AD14" s="4">
        <f t="shared" si="12"/>
        <v>21796709.331377007</v>
      </c>
      <c r="AE14" s="4">
        <f t="shared" si="12"/>
        <v>22821300.031500399</v>
      </c>
      <c r="AF14" s="4">
        <f t="shared" si="12"/>
        <v>23896371.191150483</v>
      </c>
      <c r="AG14" s="4">
        <f t="shared" si="12"/>
        <v>25024631.818808075</v>
      </c>
      <c r="AH14" s="4">
        <f t="shared" si="12"/>
        <v>26208956.567115854</v>
      </c>
      <c r="AI14" s="4">
        <f t="shared" si="12"/>
        <v>27452397.560743611</v>
      </c>
      <c r="AJ14" s="4">
        <f t="shared" si="12"/>
        <v>28758197.193895373</v>
      </c>
    </row>
    <row r="15" spans="2:36" s="2" customFormat="1" x14ac:dyDescent="0.2">
      <c r="B15" s="2" t="s">
        <v>47</v>
      </c>
      <c r="C15" s="2">
        <v>462471</v>
      </c>
      <c r="D15" s="2">
        <v>554104</v>
      </c>
      <c r="E15" s="2">
        <v>598472</v>
      </c>
      <c r="F15" s="2">
        <v>636698</v>
      </c>
      <c r="G15" s="2">
        <v>631745</v>
      </c>
      <c r="H15" s="2">
        <v>666386</v>
      </c>
      <c r="I15" s="2">
        <v>628729</v>
      </c>
      <c r="J15" s="2">
        <v>896441</v>
      </c>
      <c r="K15" s="2">
        <v>779316</v>
      </c>
      <c r="L15" s="2">
        <v>909282</v>
      </c>
      <c r="T15" s="2">
        <f>SUM(C15:F15)</f>
        <v>2251745</v>
      </c>
      <c r="U15" s="2">
        <v>2823301</v>
      </c>
      <c r="V15" s="2">
        <f>SUM(K15:N15)</f>
        <v>1688598</v>
      </c>
    </row>
    <row r="16" spans="2:36" s="2" customFormat="1" x14ac:dyDescent="0.2">
      <c r="B16" s="2" t="s">
        <v>48</v>
      </c>
      <c r="C16" s="2">
        <v>2943</v>
      </c>
      <c r="D16" s="2">
        <v>2250</v>
      </c>
      <c r="E16" s="2">
        <v>1481</v>
      </c>
      <c r="F16" s="2">
        <v>58266</v>
      </c>
      <c r="G16" s="2">
        <v>48062</v>
      </c>
      <c r="H16" s="2">
        <v>75220</v>
      </c>
      <c r="I16" s="2">
        <v>76564</v>
      </c>
      <c r="J16" s="2">
        <v>99374</v>
      </c>
      <c r="K16" s="2">
        <v>115264</v>
      </c>
      <c r="L16" s="2">
        <v>85959</v>
      </c>
      <c r="T16" s="2">
        <f>SUM(C16:F16)</f>
        <v>64940</v>
      </c>
      <c r="U16" s="2">
        <v>299220</v>
      </c>
      <c r="V16" s="2">
        <f>SUM(K16:N16)</f>
        <v>201223</v>
      </c>
    </row>
    <row r="17" spans="2:134" s="2" customFormat="1" x14ac:dyDescent="0.2">
      <c r="B17" s="2" t="s">
        <v>36</v>
      </c>
      <c r="C17" s="2">
        <f t="shared" ref="C17:L17" si="13">C15+C16</f>
        <v>465414</v>
      </c>
      <c r="D17" s="2">
        <f t="shared" si="13"/>
        <v>556354</v>
      </c>
      <c r="E17" s="2">
        <f t="shared" si="13"/>
        <v>599953</v>
      </c>
      <c r="F17" s="2">
        <f t="shared" si="13"/>
        <v>694964</v>
      </c>
      <c r="G17" s="2">
        <f t="shared" si="13"/>
        <v>679807</v>
      </c>
      <c r="H17" s="2">
        <f t="shared" si="13"/>
        <v>741606</v>
      </c>
      <c r="I17" s="2">
        <f t="shared" si="13"/>
        <v>705293</v>
      </c>
      <c r="J17" s="2">
        <f t="shared" si="13"/>
        <v>995815</v>
      </c>
      <c r="K17" s="2">
        <f t="shared" si="13"/>
        <v>894580</v>
      </c>
      <c r="L17" s="2">
        <f t="shared" si="13"/>
        <v>995241</v>
      </c>
      <c r="M17" s="2">
        <f>M14-M18</f>
        <v>1281953.1288593621</v>
      </c>
      <c r="N17" s="2">
        <f t="shared" ref="N17:R17" si="14">N14-N18</f>
        <v>1437055.4636222403</v>
      </c>
      <c r="O17" s="2">
        <f t="shared" si="14"/>
        <v>1600248.9633851184</v>
      </c>
      <c r="P17" s="2">
        <f t="shared" si="14"/>
        <v>1719849.5156479971</v>
      </c>
      <c r="Q17" s="2">
        <f t="shared" si="14"/>
        <v>1863718.1708608749</v>
      </c>
      <c r="R17" s="2">
        <f t="shared" si="14"/>
        <v>2019124.9787737532</v>
      </c>
      <c r="T17" s="2">
        <f>T15+T16</f>
        <v>2316685</v>
      </c>
      <c r="U17" s="2">
        <v>3122521</v>
      </c>
      <c r="V17" s="2">
        <f>SUM(K17:N17)</f>
        <v>4608829.592481602</v>
      </c>
      <c r="W17" s="2">
        <f>SUM(O17:R17)</f>
        <v>7202941.6286677429</v>
      </c>
      <c r="X17" s="2">
        <f>X14-X18</f>
        <v>9206485.5352154244</v>
      </c>
      <c r="Y17" s="2">
        <f t="shared" ref="Y17:AJ17" si="15">Y14-Y18</f>
        <v>13009822.950715352</v>
      </c>
      <c r="Z17" s="2">
        <f t="shared" si="15"/>
        <v>13615633.739455946</v>
      </c>
      <c r="AA17" s="2">
        <f t="shared" si="15"/>
        <v>14060732.984095231</v>
      </c>
      <c r="AB17" s="2">
        <f t="shared" si="15"/>
        <v>14717783.54715972</v>
      </c>
      <c r="AC17" s="2">
        <f t="shared" si="15"/>
        <v>15406833.143440135</v>
      </c>
      <c r="AD17" s="2">
        <f t="shared" si="15"/>
        <v>15911597.811905215</v>
      </c>
      <c r="AE17" s="2">
        <f t="shared" si="15"/>
        <v>16659549.022995291</v>
      </c>
      <c r="AF17" s="2">
        <f t="shared" si="15"/>
        <v>17444350.969539851</v>
      </c>
      <c r="AG17" s="2">
        <f t="shared" si="15"/>
        <v>18017734.909541816</v>
      </c>
      <c r="AH17" s="2">
        <f t="shared" si="15"/>
        <v>18870448.728323415</v>
      </c>
      <c r="AI17" s="2">
        <f t="shared" si="15"/>
        <v>19765726.243735399</v>
      </c>
      <c r="AJ17" s="2">
        <f t="shared" si="15"/>
        <v>20705901.979604669</v>
      </c>
    </row>
    <row r="18" spans="2:134" s="4" customFormat="1" x14ac:dyDescent="0.2">
      <c r="B18" s="4" t="s">
        <v>37</v>
      </c>
      <c r="C18" s="4">
        <f t="shared" ref="C18:L18" si="16">C14-C17</f>
        <v>155128</v>
      </c>
      <c r="D18" s="4">
        <f t="shared" si="16"/>
        <v>212995</v>
      </c>
      <c r="E18" s="4">
        <f t="shared" si="16"/>
        <v>251851</v>
      </c>
      <c r="F18" s="4">
        <f t="shared" si="16"/>
        <v>261697</v>
      </c>
      <c r="G18" s="4">
        <f t="shared" si="16"/>
        <v>260073</v>
      </c>
      <c r="H18" s="4">
        <f t="shared" si="16"/>
        <v>213370</v>
      </c>
      <c r="I18" s="4">
        <f t="shared" si="16"/>
        <v>231496</v>
      </c>
      <c r="J18" s="4">
        <f t="shared" si="16"/>
        <v>218564</v>
      </c>
      <c r="K18" s="4">
        <f t="shared" si="16"/>
        <v>252468</v>
      </c>
      <c r="L18" s="4">
        <f t="shared" si="16"/>
        <v>274776</v>
      </c>
      <c r="M18" s="4">
        <f>M14*0.25</f>
        <v>427317.70961978741</v>
      </c>
      <c r="N18" s="4">
        <f t="shared" ref="N18:R18" si="17">N14*0.25</f>
        <v>479018.48787408008</v>
      </c>
      <c r="O18" s="4">
        <f t="shared" si="17"/>
        <v>533416.3211283728</v>
      </c>
      <c r="P18" s="4">
        <f t="shared" si="17"/>
        <v>573283.17188266572</v>
      </c>
      <c r="Q18" s="4">
        <f t="shared" si="17"/>
        <v>621239.39028695831</v>
      </c>
      <c r="R18" s="4">
        <f t="shared" si="17"/>
        <v>673041.65959125105</v>
      </c>
      <c r="T18" s="4">
        <f>T14-T17</f>
        <v>881671</v>
      </c>
      <c r="U18" s="4">
        <v>923503</v>
      </c>
      <c r="V18" s="4">
        <f>V14-V17</f>
        <v>1433580.1974938679</v>
      </c>
      <c r="W18" s="4">
        <f>W14-W17</f>
        <v>2400980.5428892476</v>
      </c>
      <c r="X18" s="4">
        <f>X14*0.25</f>
        <v>3068828.5117384749</v>
      </c>
      <c r="Y18" s="4">
        <f t="shared" ref="Y18:Z18" si="18">Y14*0.25</f>
        <v>4336607.6502384506</v>
      </c>
      <c r="Z18" s="4">
        <f t="shared" si="18"/>
        <v>4538544.5798186483</v>
      </c>
      <c r="AA18" s="4">
        <f>AA14*0.26</f>
        <v>4940257.5349523788</v>
      </c>
      <c r="AB18" s="4">
        <f t="shared" ref="AB18:AC18" si="19">AB14*0.26</f>
        <v>5171113.1381912529</v>
      </c>
      <c r="AC18" s="4">
        <f t="shared" si="19"/>
        <v>5413211.644992481</v>
      </c>
      <c r="AD18" s="4">
        <f>AD14*0.27</f>
        <v>5885111.5194717925</v>
      </c>
      <c r="AE18" s="4">
        <f t="shared" ref="AE18:AF18" si="20">AE14*0.27</f>
        <v>6161751.0085051078</v>
      </c>
      <c r="AF18" s="4">
        <f t="shared" si="20"/>
        <v>6452020.2216106309</v>
      </c>
      <c r="AG18" s="4">
        <f>AG14*0.28</f>
        <v>7006896.9092662614</v>
      </c>
      <c r="AH18" s="4">
        <f t="shared" ref="AH18:AJ18" si="21">AH14*0.28</f>
        <v>7338507.8387924396</v>
      </c>
      <c r="AI18" s="4">
        <f t="shared" si="21"/>
        <v>7686671.3170082122</v>
      </c>
      <c r="AJ18" s="4">
        <f t="shared" si="21"/>
        <v>8052295.2142907055</v>
      </c>
    </row>
    <row r="19" spans="2:134" s="2" customFormat="1" x14ac:dyDescent="0.2">
      <c r="B19" s="2" t="s">
        <v>38</v>
      </c>
      <c r="C19" s="2">
        <v>81544</v>
      </c>
      <c r="D19" s="2">
        <v>107717</v>
      </c>
      <c r="E19" s="2">
        <v>135873</v>
      </c>
      <c r="F19" s="2">
        <v>139565</v>
      </c>
      <c r="G19" s="2">
        <v>167154</v>
      </c>
      <c r="H19" s="2">
        <v>181712</v>
      </c>
      <c r="I19" s="2">
        <v>178791</v>
      </c>
      <c r="J19" s="2">
        <v>190243</v>
      </c>
      <c r="K19" s="2">
        <v>182482</v>
      </c>
      <c r="L19" s="2">
        <v>191664</v>
      </c>
      <c r="M19" s="2">
        <f>L19*1.01</f>
        <v>193580.64</v>
      </c>
      <c r="N19" s="2">
        <f t="shared" ref="N19:R19" si="22">M19*1.01</f>
        <v>195516.44640000002</v>
      </c>
      <c r="O19" s="2">
        <f t="shared" si="22"/>
        <v>197471.61086400002</v>
      </c>
      <c r="P19" s="2">
        <f t="shared" si="22"/>
        <v>199446.32697264003</v>
      </c>
      <c r="Q19" s="2">
        <f t="shared" si="22"/>
        <v>201440.79024236643</v>
      </c>
      <c r="R19" s="2">
        <f t="shared" si="22"/>
        <v>203455.19814479011</v>
      </c>
      <c r="T19" s="2">
        <f>SUM(C19:F19)</f>
        <v>464699</v>
      </c>
      <c r="U19" s="2">
        <v>717900</v>
      </c>
      <c r="V19" s="2">
        <f t="shared" ref="V19:V25" si="23">SUM(K19:N19)</f>
        <v>763243.08640000003</v>
      </c>
      <c r="W19" s="2">
        <f>SUM(O19:R19)</f>
        <v>801813.92622379668</v>
      </c>
      <c r="X19" s="2">
        <f>W19*1.02</f>
        <v>817850.20474827266</v>
      </c>
      <c r="Y19" s="2">
        <f t="shared" ref="Y19:AJ19" si="24">X19*1.02</f>
        <v>834207.20884323819</v>
      </c>
      <c r="Z19" s="2">
        <f t="shared" si="24"/>
        <v>850891.35302010295</v>
      </c>
      <c r="AA19" s="2">
        <f t="shared" si="24"/>
        <v>867909.18008050497</v>
      </c>
      <c r="AB19" s="2">
        <f t="shared" si="24"/>
        <v>885267.3636821151</v>
      </c>
      <c r="AC19" s="2">
        <f t="shared" si="24"/>
        <v>902972.71095575741</v>
      </c>
      <c r="AD19" s="2">
        <f t="shared" si="24"/>
        <v>921032.16517487261</v>
      </c>
      <c r="AE19" s="2">
        <f t="shared" si="24"/>
        <v>939452.80847837008</v>
      </c>
      <c r="AF19" s="2">
        <f t="shared" si="24"/>
        <v>958241.86464793747</v>
      </c>
      <c r="AG19" s="2">
        <f t="shared" si="24"/>
        <v>977406.70194089622</v>
      </c>
      <c r="AH19" s="2">
        <f t="shared" si="24"/>
        <v>996954.83597971417</v>
      </c>
      <c r="AI19" s="2">
        <f t="shared" si="24"/>
        <v>1016893.9326993085</v>
      </c>
      <c r="AJ19" s="2">
        <f t="shared" si="24"/>
        <v>1037231.8113532946</v>
      </c>
    </row>
    <row r="20" spans="2:134" s="2" customFormat="1" x14ac:dyDescent="0.2">
      <c r="B20" s="2" t="s">
        <v>39</v>
      </c>
      <c r="C20" s="2">
        <v>117551</v>
      </c>
      <c r="D20" s="2">
        <v>134031</v>
      </c>
      <c r="E20" s="2">
        <v>155107</v>
      </c>
      <c r="F20" s="2">
        <v>196970</v>
      </c>
      <c r="G20" s="2">
        <v>195365</v>
      </c>
      <c r="H20" s="2">
        <v>201846</v>
      </c>
      <c r="I20" s="2">
        <v>236367</v>
      </c>
      <c r="J20" s="2">
        <v>288654</v>
      </c>
      <c r="K20" s="2">
        <v>318210</v>
      </c>
      <c r="L20" s="2">
        <v>321152</v>
      </c>
      <c r="M20" s="2">
        <f>L20*1.01</f>
        <v>324363.52000000002</v>
      </c>
      <c r="N20" s="2">
        <f t="shared" ref="N20:R20" si="25">M20*1.01</f>
        <v>327607.15520000004</v>
      </c>
      <c r="O20" s="2">
        <f t="shared" si="25"/>
        <v>330883.22675200005</v>
      </c>
      <c r="P20" s="2">
        <f t="shared" si="25"/>
        <v>334192.05901952006</v>
      </c>
      <c r="Q20" s="2">
        <f t="shared" si="25"/>
        <v>337533.97960971529</v>
      </c>
      <c r="R20" s="2">
        <f t="shared" si="25"/>
        <v>340909.31940581242</v>
      </c>
      <c r="T20" s="2">
        <f>SUM(C20:F20)</f>
        <v>603659</v>
      </c>
      <c r="U20" s="2">
        <v>922232</v>
      </c>
      <c r="V20" s="2">
        <f t="shared" si="23"/>
        <v>1291332.6751999999</v>
      </c>
      <c r="W20" s="2">
        <f>SUM(O20:R20)</f>
        <v>1343518.5847870479</v>
      </c>
      <c r="X20" s="2">
        <f>W20*1.03</f>
        <v>1383824.1423306593</v>
      </c>
      <c r="Y20" s="2">
        <f t="shared" ref="Y20:AJ20" si="26">X20*1.03</f>
        <v>1425338.8666005791</v>
      </c>
      <c r="Z20" s="2">
        <f t="shared" si="26"/>
        <v>1468099.0325985965</v>
      </c>
      <c r="AA20" s="2">
        <f t="shared" si="26"/>
        <v>1512142.0035765544</v>
      </c>
      <c r="AB20" s="2">
        <f t="shared" si="26"/>
        <v>1557506.2636838511</v>
      </c>
      <c r="AC20" s="2">
        <f t="shared" si="26"/>
        <v>1604231.4515943667</v>
      </c>
      <c r="AD20" s="2">
        <f t="shared" si="26"/>
        <v>1652358.3951421978</v>
      </c>
      <c r="AE20" s="2">
        <f t="shared" si="26"/>
        <v>1701929.1469964639</v>
      </c>
      <c r="AF20" s="2">
        <f t="shared" si="26"/>
        <v>1752987.0214063579</v>
      </c>
      <c r="AG20" s="2">
        <f t="shared" si="26"/>
        <v>1805576.6320485487</v>
      </c>
      <c r="AH20" s="2">
        <f t="shared" si="26"/>
        <v>1859743.9310100051</v>
      </c>
      <c r="AI20" s="2">
        <f t="shared" si="26"/>
        <v>1915536.2489403053</v>
      </c>
      <c r="AJ20" s="2">
        <f t="shared" si="26"/>
        <v>1973002.3364085145</v>
      </c>
    </row>
    <row r="21" spans="2:134" s="2" customFormat="1" x14ac:dyDescent="0.2">
      <c r="B21" s="2" t="s">
        <v>40</v>
      </c>
      <c r="C21" s="2">
        <f t="shared" ref="C21:L21" si="27">C19+C20</f>
        <v>199095</v>
      </c>
      <c r="D21" s="2">
        <f t="shared" si="27"/>
        <v>241748</v>
      </c>
      <c r="E21" s="2">
        <f t="shared" si="27"/>
        <v>290980</v>
      </c>
      <c r="F21" s="2">
        <f t="shared" si="27"/>
        <v>336535</v>
      </c>
      <c r="G21" s="2">
        <f t="shared" si="27"/>
        <v>362519</v>
      </c>
      <c r="H21" s="2">
        <f t="shared" si="27"/>
        <v>383558</v>
      </c>
      <c r="I21" s="2">
        <f t="shared" si="27"/>
        <v>415158</v>
      </c>
      <c r="J21" s="2">
        <f t="shared" si="27"/>
        <v>478897</v>
      </c>
      <c r="K21" s="2">
        <f t="shared" si="27"/>
        <v>500692</v>
      </c>
      <c r="L21" s="2">
        <f t="shared" si="27"/>
        <v>512816</v>
      </c>
      <c r="M21" s="2">
        <f t="shared" ref="M21:R21" si="28">M19+M20</f>
        <v>517944.16000000003</v>
      </c>
      <c r="N21" s="2">
        <f t="shared" si="28"/>
        <v>523123.60160000005</v>
      </c>
      <c r="O21" s="2">
        <f t="shared" si="28"/>
        <v>528354.83761600009</v>
      </c>
      <c r="P21" s="2">
        <f t="shared" si="28"/>
        <v>533638.38599216007</v>
      </c>
      <c r="Q21" s="2">
        <f t="shared" si="28"/>
        <v>538974.76985208178</v>
      </c>
      <c r="R21" s="2">
        <f t="shared" si="28"/>
        <v>544364.51755060256</v>
      </c>
      <c r="T21" s="2">
        <f>T19+T20</f>
        <v>1068358</v>
      </c>
      <c r="U21" s="2">
        <f t="shared" ref="U21:W21" si="29">U19+U20</f>
        <v>1640132</v>
      </c>
      <c r="V21" s="2">
        <f t="shared" si="29"/>
        <v>2054575.7615999999</v>
      </c>
      <c r="W21" s="2">
        <f t="shared" si="29"/>
        <v>2145332.5110108447</v>
      </c>
      <c r="X21" s="2">
        <f t="shared" ref="X21" si="30">X19+X20</f>
        <v>2201674.347078932</v>
      </c>
      <c r="Y21" s="2">
        <f t="shared" ref="Y21" si="31">Y19+Y20</f>
        <v>2259546.0754438173</v>
      </c>
      <c r="Z21" s="2">
        <f t="shared" ref="Z21" si="32">Z19+Z20</f>
        <v>2318990.3856186997</v>
      </c>
      <c r="AA21" s="2">
        <f t="shared" ref="AA21" si="33">AA19+AA20</f>
        <v>2380051.1836570594</v>
      </c>
      <c r="AB21" s="2">
        <f t="shared" ref="AB21" si="34">AB19+AB20</f>
        <v>2442773.6273659663</v>
      </c>
      <c r="AC21" s="2">
        <f t="shared" ref="AC21" si="35">AC19+AC20</f>
        <v>2507204.1625501243</v>
      </c>
      <c r="AD21" s="2">
        <f t="shared" ref="AD21" si="36">AD19+AD20</f>
        <v>2573390.5603170702</v>
      </c>
      <c r="AE21" s="2">
        <f t="shared" ref="AE21" si="37">AE19+AE20</f>
        <v>2641381.955474834</v>
      </c>
      <c r="AF21" s="2">
        <f t="shared" ref="AF21" si="38">AF19+AF20</f>
        <v>2711228.8860542951</v>
      </c>
      <c r="AG21" s="2">
        <f t="shared" ref="AG21" si="39">AG19+AG20</f>
        <v>2782983.3339894451</v>
      </c>
      <c r="AH21" s="2">
        <f t="shared" ref="AH21" si="40">AH19+AH20</f>
        <v>2856698.7669897191</v>
      </c>
      <c r="AI21" s="2">
        <f t="shared" ref="AI21" si="41">AI19+AI20</f>
        <v>2932430.1816396136</v>
      </c>
      <c r="AJ21" s="2">
        <f t="shared" ref="AJ21" si="42">AJ19+AJ20</f>
        <v>3010234.1477618092</v>
      </c>
    </row>
    <row r="22" spans="2:134" s="4" customFormat="1" x14ac:dyDescent="0.2">
      <c r="B22" s="4" t="s">
        <v>46</v>
      </c>
      <c r="C22" s="4">
        <f t="shared" ref="C22:L22" si="43">C18-C21</f>
        <v>-43967</v>
      </c>
      <c r="D22" s="4">
        <f t="shared" si="43"/>
        <v>-28753</v>
      </c>
      <c r="E22" s="4">
        <f t="shared" si="43"/>
        <v>-39129</v>
      </c>
      <c r="F22" s="4">
        <f t="shared" si="43"/>
        <v>-74838</v>
      </c>
      <c r="G22" s="4">
        <f t="shared" si="43"/>
        <v>-102446</v>
      </c>
      <c r="H22" s="4">
        <f t="shared" si="43"/>
        <v>-170188</v>
      </c>
      <c r="I22" s="4">
        <f t="shared" si="43"/>
        <v>-183662</v>
      </c>
      <c r="J22" s="4">
        <f t="shared" si="43"/>
        <v>-260333</v>
      </c>
      <c r="K22" s="4">
        <f t="shared" si="43"/>
        <v>-248224</v>
      </c>
      <c r="L22" s="4">
        <f t="shared" si="43"/>
        <v>-238040</v>
      </c>
      <c r="M22" s="4">
        <f t="shared" ref="M22:R22" si="44">M18-M21</f>
        <v>-90626.450380212627</v>
      </c>
      <c r="N22" s="4">
        <f t="shared" si="44"/>
        <v>-44105.113725919975</v>
      </c>
      <c r="O22" s="4">
        <f t="shared" si="44"/>
        <v>5061.4835123727098</v>
      </c>
      <c r="P22" s="4">
        <f t="shared" si="44"/>
        <v>39644.785890505649</v>
      </c>
      <c r="Q22" s="4">
        <f t="shared" si="44"/>
        <v>82264.620434876531</v>
      </c>
      <c r="R22" s="4">
        <f t="shared" si="44"/>
        <v>128677.1420406485</v>
      </c>
      <c r="T22" s="4">
        <f>T18-T21</f>
        <v>-186687</v>
      </c>
      <c r="U22" s="4">
        <v>-716629</v>
      </c>
      <c r="V22" s="4">
        <f>V18-V21</f>
        <v>-620995.5641061319</v>
      </c>
      <c r="W22" s="4">
        <f>W18-W21</f>
        <v>255648.03187840292</v>
      </c>
      <c r="X22" s="4">
        <f t="shared" ref="X22:AJ22" si="45">X18-X21</f>
        <v>867154.16465954296</v>
      </c>
      <c r="Y22" s="4">
        <f t="shared" si="45"/>
        <v>2077061.5747946333</v>
      </c>
      <c r="Z22" s="4">
        <f t="shared" si="45"/>
        <v>2219554.1941999486</v>
      </c>
      <c r="AA22" s="4">
        <f t="shared" si="45"/>
        <v>2560206.3512953194</v>
      </c>
      <c r="AB22" s="4">
        <f t="shared" si="45"/>
        <v>2728339.5108252866</v>
      </c>
      <c r="AC22" s="4">
        <f t="shared" si="45"/>
        <v>2906007.4824423566</v>
      </c>
      <c r="AD22" s="4">
        <f t="shared" si="45"/>
        <v>3311720.9591547223</v>
      </c>
      <c r="AE22" s="4">
        <f t="shared" si="45"/>
        <v>3520369.0530302739</v>
      </c>
      <c r="AF22" s="4">
        <f t="shared" si="45"/>
        <v>3740791.3355563357</v>
      </c>
      <c r="AG22" s="4">
        <f t="shared" si="45"/>
        <v>4223913.5752768163</v>
      </c>
      <c r="AH22" s="4">
        <f t="shared" si="45"/>
        <v>4481809.0718027204</v>
      </c>
      <c r="AI22" s="4">
        <f t="shared" si="45"/>
        <v>4754241.1353685986</v>
      </c>
      <c r="AJ22" s="4">
        <f t="shared" si="45"/>
        <v>5042061.0665288959</v>
      </c>
    </row>
    <row r="23" spans="2:134" s="2" customFormat="1" x14ac:dyDescent="0.2">
      <c r="B23" s="2" t="s">
        <v>41</v>
      </c>
      <c r="C23" s="2">
        <f>141-11883-6718</f>
        <v>-18460</v>
      </c>
      <c r="D23" s="2">
        <f>467-31238-1226</f>
        <v>-31997</v>
      </c>
      <c r="E23" s="2">
        <f>300-29062-3090</f>
        <v>-31852</v>
      </c>
      <c r="F23" s="2">
        <f>219-28703-558</f>
        <v>-29042</v>
      </c>
      <c r="G23" s="2">
        <f>184-26574-22305</f>
        <v>-48695</v>
      </c>
      <c r="H23" s="2">
        <f>247-24352-13233</f>
        <v>-37338</v>
      </c>
      <c r="I23" s="2">
        <f>327-29308-15431</f>
        <v>-44412</v>
      </c>
      <c r="J23" s="2">
        <f>750-38617-17149</f>
        <v>-55016</v>
      </c>
      <c r="K23" s="2">
        <f>1251-40625+9177</f>
        <v>-30197</v>
      </c>
      <c r="L23" s="2">
        <f>2242-46368-7373</f>
        <v>-51499</v>
      </c>
      <c r="M23" s="2">
        <f>L23</f>
        <v>-51499</v>
      </c>
      <c r="N23" s="2">
        <f t="shared" ref="N23:R23" si="46">M23</f>
        <v>-51499</v>
      </c>
      <c r="O23" s="2">
        <f t="shared" si="46"/>
        <v>-51499</v>
      </c>
      <c r="P23" s="2">
        <f t="shared" si="46"/>
        <v>-51499</v>
      </c>
      <c r="Q23" s="2">
        <f t="shared" si="46"/>
        <v>-51499</v>
      </c>
      <c r="R23" s="2">
        <f t="shared" si="46"/>
        <v>-51499</v>
      </c>
      <c r="T23" s="2">
        <f>SUM(C23:F23)</f>
        <v>-111351</v>
      </c>
      <c r="U23" s="2">
        <v>-117343</v>
      </c>
      <c r="V23" s="2">
        <f t="shared" si="23"/>
        <v>-184694</v>
      </c>
      <c r="W23" s="2">
        <v>0</v>
      </c>
      <c r="X23" s="2">
        <v>0</v>
      </c>
      <c r="Y23" s="2">
        <v>0</v>
      </c>
      <c r="Z23" s="2">
        <f>Y41*$AM$29</f>
        <v>82482.416952419982</v>
      </c>
      <c r="AA23" s="2">
        <f t="shared" ref="AA23:AJ23" si="47">Z41*$AM$29</f>
        <v>148090.4603702625</v>
      </c>
      <c r="AB23" s="2">
        <f t="shared" si="47"/>
        <v>225276.91950273159</v>
      </c>
      <c r="AC23" s="2">
        <f t="shared" si="47"/>
        <v>309454.98776708008</v>
      </c>
      <c r="AD23" s="2">
        <f t="shared" si="47"/>
        <v>401095.66816804896</v>
      </c>
      <c r="AE23" s="2">
        <f t="shared" si="47"/>
        <v>506910.94204674795</v>
      </c>
      <c r="AF23" s="2">
        <f t="shared" si="47"/>
        <v>621688.42190644308</v>
      </c>
      <c r="AG23" s="2">
        <f t="shared" si="47"/>
        <v>746019.09499413217</v>
      </c>
      <c r="AH23" s="2">
        <f t="shared" si="47"/>
        <v>887662.17609685427</v>
      </c>
      <c r="AI23" s="2">
        <f t="shared" si="47"/>
        <v>1040692.1066619921</v>
      </c>
      <c r="AJ23" s="2">
        <f t="shared" si="47"/>
        <v>1205847.7040598639</v>
      </c>
    </row>
    <row r="24" spans="2:134" s="2" customFormat="1" x14ac:dyDescent="0.2">
      <c r="B24" s="2" t="s">
        <v>42</v>
      </c>
      <c r="C24" s="2">
        <f t="shared" ref="C24:L24" si="48">SUM(C22:C23)</f>
        <v>-62427</v>
      </c>
      <c r="D24" s="2">
        <f t="shared" si="48"/>
        <v>-60750</v>
      </c>
      <c r="E24" s="2">
        <f t="shared" si="48"/>
        <v>-70981</v>
      </c>
      <c r="F24" s="2">
        <f t="shared" si="48"/>
        <v>-103880</v>
      </c>
      <c r="G24" s="2">
        <f t="shared" si="48"/>
        <v>-151141</v>
      </c>
      <c r="H24" s="2">
        <f t="shared" si="48"/>
        <v>-207526</v>
      </c>
      <c r="I24" s="2">
        <f t="shared" si="48"/>
        <v>-228074</v>
      </c>
      <c r="J24" s="2">
        <f t="shared" si="48"/>
        <v>-315349</v>
      </c>
      <c r="K24" s="2">
        <f t="shared" si="48"/>
        <v>-278421</v>
      </c>
      <c r="L24" s="2">
        <f t="shared" si="48"/>
        <v>-289539</v>
      </c>
      <c r="M24" s="2">
        <f t="shared" ref="M24:R24" si="49">SUM(M22:M23)</f>
        <v>-142125.45038021263</v>
      </c>
      <c r="N24" s="2">
        <f t="shared" si="49"/>
        <v>-95604.113725919975</v>
      </c>
      <c r="O24" s="2">
        <f t="shared" si="49"/>
        <v>-46437.51648762729</v>
      </c>
      <c r="P24" s="2">
        <f t="shared" si="49"/>
        <v>-11854.214109494351</v>
      </c>
      <c r="Q24" s="2">
        <f t="shared" si="49"/>
        <v>30765.620434876531</v>
      </c>
      <c r="R24" s="2">
        <f t="shared" si="49"/>
        <v>77178.142040648498</v>
      </c>
      <c r="T24" s="2">
        <f>SUM(T22:T23)</f>
        <v>-298038</v>
      </c>
      <c r="U24" s="2">
        <v>-875624</v>
      </c>
      <c r="V24" s="2">
        <f t="shared" si="23"/>
        <v>-805689.5641061326</v>
      </c>
      <c r="W24" s="2">
        <f>SUM(O24:R24)</f>
        <v>49652.031878403388</v>
      </c>
      <c r="X24" s="2">
        <f>X22+X23</f>
        <v>867154.16465954296</v>
      </c>
      <c r="Y24" s="2">
        <f t="shared" ref="Y24:AJ24" si="50">Y22+Y23</f>
        <v>2077061.5747946333</v>
      </c>
      <c r="Z24" s="2">
        <f t="shared" si="50"/>
        <v>2302036.6111523686</v>
      </c>
      <c r="AA24" s="2">
        <f t="shared" si="50"/>
        <v>2708296.811665582</v>
      </c>
      <c r="AB24" s="2">
        <f t="shared" si="50"/>
        <v>2953616.430328018</v>
      </c>
      <c r="AC24" s="2">
        <f t="shared" si="50"/>
        <v>3215462.4702094365</v>
      </c>
      <c r="AD24" s="2">
        <f t="shared" si="50"/>
        <v>3712816.6273227711</v>
      </c>
      <c r="AE24" s="2">
        <f t="shared" si="50"/>
        <v>4027279.9950770219</v>
      </c>
      <c r="AF24" s="2">
        <f t="shared" si="50"/>
        <v>4362479.7574627791</v>
      </c>
      <c r="AG24" s="2">
        <f t="shared" si="50"/>
        <v>4969932.6702709487</v>
      </c>
      <c r="AH24" s="2">
        <f t="shared" si="50"/>
        <v>5369471.2478995752</v>
      </c>
      <c r="AI24" s="2">
        <f t="shared" si="50"/>
        <v>5794933.2420305908</v>
      </c>
      <c r="AJ24" s="2">
        <f t="shared" si="50"/>
        <v>6247908.7705887593</v>
      </c>
    </row>
    <row r="25" spans="2:134" s="2" customFormat="1" x14ac:dyDescent="0.2">
      <c r="B25" s="2" t="s">
        <v>43</v>
      </c>
      <c r="C25" s="2">
        <v>809</v>
      </c>
      <c r="D25" s="2">
        <v>1150</v>
      </c>
      <c r="E25" s="2">
        <v>3727</v>
      </c>
      <c r="F25" s="2">
        <v>3719</v>
      </c>
      <c r="G25" s="2">
        <v>3040</v>
      </c>
      <c r="H25" s="2">
        <v>3167</v>
      </c>
      <c r="I25" s="2">
        <v>1784</v>
      </c>
      <c r="J25" s="2">
        <v>5048</v>
      </c>
      <c r="K25" s="2">
        <v>3846</v>
      </c>
      <c r="L25" s="2">
        <v>3649</v>
      </c>
      <c r="M25" s="2">
        <f>M24*-0.025</f>
        <v>3553.136259505316</v>
      </c>
      <c r="N25" s="2">
        <f t="shared" ref="N25:P25" si="51">N24*-0.025</f>
        <v>2390.1028431479995</v>
      </c>
      <c r="O25" s="2">
        <f t="shared" si="51"/>
        <v>1160.9379121906823</v>
      </c>
      <c r="P25" s="2">
        <f t="shared" si="51"/>
        <v>296.35535273735877</v>
      </c>
      <c r="Q25" s="2">
        <f>Q24*-0.025</f>
        <v>-769.14051087191331</v>
      </c>
      <c r="R25" s="2">
        <f>R24*-0.025</f>
        <v>-1929.4535510162125</v>
      </c>
      <c r="T25" s="2">
        <f>SUM(C25:F25)</f>
        <v>9405</v>
      </c>
      <c r="U25" s="2">
        <v>13039</v>
      </c>
      <c r="V25" s="2">
        <f t="shared" si="23"/>
        <v>13438.239102653315</v>
      </c>
      <c r="W25" s="2">
        <f>SUM(O25:R25)</f>
        <v>-1241.3007969600849</v>
      </c>
      <c r="X25" s="2">
        <f>X24*-0.05</f>
        <v>-43357.708232977151</v>
      </c>
      <c r="Y25" s="2">
        <f>Y24*0.05</f>
        <v>103853.07873973167</v>
      </c>
      <c r="Z25" s="2">
        <f t="shared" ref="Z25:AJ25" si="52">Z24*0.05</f>
        <v>115101.83055761844</v>
      </c>
      <c r="AA25" s="2">
        <f t="shared" si="52"/>
        <v>135414.84058327912</v>
      </c>
      <c r="AB25" s="2">
        <f t="shared" si="52"/>
        <v>147680.8215164009</v>
      </c>
      <c r="AC25" s="2">
        <f t="shared" si="52"/>
        <v>160773.12351047184</v>
      </c>
      <c r="AD25" s="2">
        <f t="shared" si="52"/>
        <v>185640.83136613856</v>
      </c>
      <c r="AE25" s="2">
        <f t="shared" si="52"/>
        <v>201363.99975385109</v>
      </c>
      <c r="AF25" s="2">
        <f t="shared" si="52"/>
        <v>218123.98787313898</v>
      </c>
      <c r="AG25" s="2">
        <f t="shared" si="52"/>
        <v>248496.63351354745</v>
      </c>
      <c r="AH25" s="2">
        <f t="shared" si="52"/>
        <v>268473.56239497877</v>
      </c>
      <c r="AI25" s="2">
        <f t="shared" si="52"/>
        <v>289746.66210152954</v>
      </c>
      <c r="AJ25" s="2">
        <f t="shared" si="52"/>
        <v>312395.43852943799</v>
      </c>
    </row>
    <row r="26" spans="2:134" s="4" customFormat="1" x14ac:dyDescent="0.2">
      <c r="B26" s="4" t="s">
        <v>44</v>
      </c>
      <c r="C26" s="4">
        <f t="shared" ref="C26:L26" si="53">C24-C25</f>
        <v>-63236</v>
      </c>
      <c r="D26" s="4">
        <f t="shared" si="53"/>
        <v>-61900</v>
      </c>
      <c r="E26" s="4">
        <f t="shared" si="53"/>
        <v>-74708</v>
      </c>
      <c r="F26" s="4">
        <f t="shared" si="53"/>
        <v>-107599</v>
      </c>
      <c r="G26" s="4">
        <f t="shared" si="53"/>
        <v>-154181</v>
      </c>
      <c r="H26" s="4">
        <f t="shared" si="53"/>
        <v>-210693</v>
      </c>
      <c r="I26" s="4">
        <f t="shared" si="53"/>
        <v>-229858</v>
      </c>
      <c r="J26" s="4">
        <f t="shared" si="53"/>
        <v>-320397</v>
      </c>
      <c r="K26" s="4">
        <f t="shared" si="53"/>
        <v>-282267</v>
      </c>
      <c r="L26" s="4">
        <f>L24-L25</f>
        <v>-293188</v>
      </c>
      <c r="M26" s="4">
        <f t="shared" ref="M26:R26" si="54">M24-M25</f>
        <v>-145678.58663971795</v>
      </c>
      <c r="N26" s="4">
        <f t="shared" si="54"/>
        <v>-97994.216569067969</v>
      </c>
      <c r="O26" s="4">
        <f t="shared" si="54"/>
        <v>-47598.454399817972</v>
      </c>
      <c r="P26" s="4">
        <f t="shared" si="54"/>
        <v>-12150.56946223171</v>
      </c>
      <c r="Q26" s="4">
        <f t="shared" si="54"/>
        <v>31534.760945748443</v>
      </c>
      <c r="R26" s="4">
        <f t="shared" si="54"/>
        <v>79107.595591664707</v>
      </c>
      <c r="T26" s="4">
        <f>T24-T25</f>
        <v>-307443</v>
      </c>
      <c r="U26" s="4">
        <v>-888663</v>
      </c>
      <c r="V26" s="4">
        <f>V24-V25</f>
        <v>-819127.80320878595</v>
      </c>
      <c r="W26" s="4">
        <f>W24-W25</f>
        <v>50893.332675363476</v>
      </c>
      <c r="X26" s="4">
        <f t="shared" ref="X26:AJ26" si="55">X24-X25</f>
        <v>910511.87289252016</v>
      </c>
      <c r="Y26" s="4">
        <f t="shared" si="55"/>
        <v>1973208.4960549017</v>
      </c>
      <c r="Z26" s="4">
        <f t="shared" si="55"/>
        <v>2186934.7805947503</v>
      </c>
      <c r="AA26" s="4">
        <f t="shared" si="55"/>
        <v>2572881.9710823027</v>
      </c>
      <c r="AB26" s="4">
        <f t="shared" si="55"/>
        <v>2805935.6088116169</v>
      </c>
      <c r="AC26" s="4">
        <f t="shared" si="55"/>
        <v>3054689.3466989645</v>
      </c>
      <c r="AD26" s="4">
        <f t="shared" si="55"/>
        <v>3527175.7959566326</v>
      </c>
      <c r="AE26" s="4">
        <f t="shared" si="55"/>
        <v>3825915.9953231709</v>
      </c>
      <c r="AF26" s="4">
        <f t="shared" si="55"/>
        <v>4144355.7695896402</v>
      </c>
      <c r="AG26" s="4">
        <f t="shared" si="55"/>
        <v>4721436.0367574012</v>
      </c>
      <c r="AH26" s="4">
        <f t="shared" si="55"/>
        <v>5100997.6855045967</v>
      </c>
      <c r="AI26" s="4">
        <f t="shared" si="55"/>
        <v>5505186.5799290612</v>
      </c>
      <c r="AJ26" s="4">
        <f t="shared" si="55"/>
        <v>5935513.332059321</v>
      </c>
      <c r="AK26" s="4">
        <f t="shared" ref="AK26:BP26" si="56">AJ26*(1+$AM$30)</f>
        <v>5876158.1987387277</v>
      </c>
      <c r="AL26" s="4">
        <f t="shared" si="56"/>
        <v>5817396.6167513402</v>
      </c>
      <c r="AM26" s="4">
        <f t="shared" si="56"/>
        <v>5759222.6505838269</v>
      </c>
      <c r="AN26" s="4">
        <f t="shared" si="56"/>
        <v>5701630.4240779886</v>
      </c>
      <c r="AO26" s="4">
        <f t="shared" si="56"/>
        <v>5644614.1198372087</v>
      </c>
      <c r="AP26" s="4">
        <f t="shared" si="56"/>
        <v>5588167.9786388362</v>
      </c>
      <c r="AQ26" s="4">
        <f t="shared" si="56"/>
        <v>5532286.2988524474</v>
      </c>
      <c r="AR26" s="4">
        <f t="shared" si="56"/>
        <v>5476963.4358639233</v>
      </c>
      <c r="AS26" s="4">
        <f t="shared" si="56"/>
        <v>5422193.8015052844</v>
      </c>
      <c r="AT26" s="4">
        <f t="shared" si="56"/>
        <v>5367971.8634902313</v>
      </c>
      <c r="AU26" s="4">
        <f t="shared" si="56"/>
        <v>5314292.1448553288</v>
      </c>
      <c r="AV26" s="4">
        <f t="shared" si="56"/>
        <v>5261149.2234067759</v>
      </c>
      <c r="AW26" s="4">
        <f t="shared" si="56"/>
        <v>5208537.7311727079</v>
      </c>
      <c r="AX26" s="4">
        <f t="shared" si="56"/>
        <v>5156452.3538609808</v>
      </c>
      <c r="AY26" s="4">
        <f t="shared" si="56"/>
        <v>5104887.8303223709</v>
      </c>
      <c r="AZ26" s="4">
        <f t="shared" si="56"/>
        <v>5053838.9520191476</v>
      </c>
      <c r="BA26" s="4">
        <f t="shared" si="56"/>
        <v>5003300.562498956</v>
      </c>
      <c r="BB26" s="4">
        <f t="shared" si="56"/>
        <v>4953267.556873966</v>
      </c>
      <c r="BC26" s="4">
        <f t="shared" si="56"/>
        <v>4903734.8813052261</v>
      </c>
      <c r="BD26" s="4">
        <f t="shared" si="56"/>
        <v>4854697.5324921738</v>
      </c>
      <c r="BE26" s="4">
        <f t="shared" si="56"/>
        <v>4806150.5571672516</v>
      </c>
      <c r="BF26" s="4">
        <f t="shared" si="56"/>
        <v>4758089.0515955789</v>
      </c>
      <c r="BG26" s="4">
        <f t="shared" si="56"/>
        <v>4710508.1610796228</v>
      </c>
      <c r="BH26" s="4">
        <f t="shared" si="56"/>
        <v>4663403.0794688268</v>
      </c>
      <c r="BI26" s="4">
        <f t="shared" si="56"/>
        <v>4616769.0486741383</v>
      </c>
      <c r="BJ26" s="4">
        <f t="shared" si="56"/>
        <v>4570601.358187397</v>
      </c>
      <c r="BK26" s="4">
        <f t="shared" si="56"/>
        <v>4524895.3446055232</v>
      </c>
      <c r="BL26" s="4">
        <f t="shared" si="56"/>
        <v>4479646.3911594683</v>
      </c>
      <c r="BM26" s="4">
        <f t="shared" si="56"/>
        <v>4434849.9272478735</v>
      </c>
      <c r="BN26" s="4">
        <f t="shared" si="56"/>
        <v>4390501.4279753948</v>
      </c>
      <c r="BO26" s="4">
        <f t="shared" si="56"/>
        <v>4346596.4136956409</v>
      </c>
      <c r="BP26" s="4">
        <f t="shared" si="56"/>
        <v>4303130.4495586846</v>
      </c>
      <c r="BQ26" s="4">
        <f t="shared" ref="BQ26:CV26" si="57">BP26*(1+$AM$30)</f>
        <v>4260099.1450630976</v>
      </c>
      <c r="BR26" s="4">
        <f t="shared" si="57"/>
        <v>4217498.1536124665</v>
      </c>
      <c r="BS26" s="4">
        <f t="shared" si="57"/>
        <v>4175323.1720763417</v>
      </c>
      <c r="BT26" s="4">
        <f t="shared" si="57"/>
        <v>4133569.9403555784</v>
      </c>
      <c r="BU26" s="4">
        <f t="shared" si="57"/>
        <v>4092234.2409520228</v>
      </c>
      <c r="BV26" s="4">
        <f t="shared" si="57"/>
        <v>4051311.8985425024</v>
      </c>
      <c r="BW26" s="4">
        <f t="shared" si="57"/>
        <v>4010798.7795570772</v>
      </c>
      <c r="BX26" s="4">
        <f t="shared" si="57"/>
        <v>3970690.7917615063</v>
      </c>
      <c r="BY26" s="4">
        <f t="shared" si="57"/>
        <v>3930983.8838438913</v>
      </c>
      <c r="BZ26" s="4">
        <f t="shared" si="57"/>
        <v>3891674.0450054524</v>
      </c>
      <c r="CA26" s="4">
        <f t="shared" si="57"/>
        <v>3852757.3045553979</v>
      </c>
      <c r="CB26" s="4">
        <f t="shared" si="57"/>
        <v>3814229.7315098438</v>
      </c>
      <c r="CC26" s="4">
        <f t="shared" si="57"/>
        <v>3776087.4341947455</v>
      </c>
      <c r="CD26" s="4">
        <f t="shared" si="57"/>
        <v>3738326.559852798</v>
      </c>
      <c r="CE26" s="4">
        <f t="shared" si="57"/>
        <v>3700943.2942542699</v>
      </c>
      <c r="CF26" s="4">
        <f t="shared" si="57"/>
        <v>3663933.8613117272</v>
      </c>
      <c r="CG26" s="4">
        <f t="shared" si="57"/>
        <v>3627294.5226986101</v>
      </c>
      <c r="CH26" s="4">
        <f t="shared" si="57"/>
        <v>3591021.5774716241</v>
      </c>
      <c r="CI26" s="4">
        <f t="shared" si="57"/>
        <v>3555111.3616969078</v>
      </c>
      <c r="CJ26" s="4">
        <f t="shared" si="57"/>
        <v>3519560.2480799388</v>
      </c>
      <c r="CK26" s="4">
        <f t="shared" si="57"/>
        <v>3484364.6455991394</v>
      </c>
      <c r="CL26" s="4">
        <f t="shared" si="57"/>
        <v>3449520.9991431478</v>
      </c>
      <c r="CM26" s="4">
        <f t="shared" si="57"/>
        <v>3415025.7891517165</v>
      </c>
      <c r="CN26" s="4">
        <f t="shared" si="57"/>
        <v>3380875.5312601994</v>
      </c>
      <c r="CO26" s="4">
        <f t="shared" si="57"/>
        <v>3347066.7759475973</v>
      </c>
      <c r="CP26" s="4">
        <f t="shared" si="57"/>
        <v>3313596.1081881211</v>
      </c>
      <c r="CQ26" s="4">
        <f t="shared" si="57"/>
        <v>3280460.14710624</v>
      </c>
      <c r="CR26" s="4">
        <f t="shared" si="57"/>
        <v>3247655.5456351778</v>
      </c>
      <c r="CS26" s="4">
        <f t="shared" si="57"/>
        <v>3215178.9901788258</v>
      </c>
      <c r="CT26" s="4">
        <f t="shared" si="57"/>
        <v>3183027.2002770375</v>
      </c>
      <c r="CU26" s="4">
        <f t="shared" si="57"/>
        <v>3151196.9282742669</v>
      </c>
      <c r="CV26" s="4">
        <f t="shared" si="57"/>
        <v>3119684.9589915243</v>
      </c>
      <c r="CW26" s="4">
        <f t="shared" ref="CW26:ED26" si="58">CV26*(1+$AM$30)</f>
        <v>3088488.1094016088</v>
      </c>
      <c r="CX26" s="4">
        <f t="shared" si="58"/>
        <v>3057603.2283075927</v>
      </c>
      <c r="CY26" s="4">
        <f t="shared" si="58"/>
        <v>3027027.1960245166</v>
      </c>
      <c r="CZ26" s="4">
        <f t="shared" si="58"/>
        <v>2996756.9240642716</v>
      </c>
      <c r="DA26" s="4">
        <f t="shared" si="58"/>
        <v>2966789.3548236289</v>
      </c>
      <c r="DB26" s="4">
        <f t="shared" si="58"/>
        <v>2937121.4612753927</v>
      </c>
      <c r="DC26" s="4">
        <f t="shared" si="58"/>
        <v>2907750.2466626386</v>
      </c>
      <c r="DD26" s="4">
        <f t="shared" si="58"/>
        <v>2878672.7441960122</v>
      </c>
      <c r="DE26" s="4">
        <f t="shared" si="58"/>
        <v>2849886.0167540521</v>
      </c>
      <c r="DF26" s="4">
        <f t="shared" si="58"/>
        <v>2821387.1565865115</v>
      </c>
      <c r="DG26" s="4">
        <f t="shared" si="58"/>
        <v>2793173.2850206462</v>
      </c>
      <c r="DH26" s="4">
        <f t="shared" si="58"/>
        <v>2765241.5521704396</v>
      </c>
      <c r="DI26" s="4">
        <f t="shared" si="58"/>
        <v>2737589.136648735</v>
      </c>
      <c r="DJ26" s="4">
        <f t="shared" si="58"/>
        <v>2710213.2452822477</v>
      </c>
      <c r="DK26" s="4">
        <f t="shared" si="58"/>
        <v>2683111.1128294254</v>
      </c>
      <c r="DL26" s="4">
        <f t="shared" si="58"/>
        <v>2656280.001701131</v>
      </c>
      <c r="DM26" s="4">
        <f t="shared" si="58"/>
        <v>2629717.2016841196</v>
      </c>
      <c r="DN26" s="4">
        <f t="shared" si="58"/>
        <v>2603420.0296672783</v>
      </c>
      <c r="DO26" s="4">
        <f t="shared" si="58"/>
        <v>2577385.8293706053</v>
      </c>
      <c r="DP26" s="4">
        <f t="shared" si="58"/>
        <v>2551611.9710768992</v>
      </c>
      <c r="DQ26" s="4">
        <f t="shared" si="58"/>
        <v>2526095.8513661302</v>
      </c>
      <c r="DR26" s="4">
        <f t="shared" si="58"/>
        <v>2500834.8928524689</v>
      </c>
      <c r="DS26" s="4">
        <f t="shared" si="58"/>
        <v>2475826.5439239442</v>
      </c>
      <c r="DT26" s="4">
        <f t="shared" si="58"/>
        <v>2451068.2784847049</v>
      </c>
      <c r="DU26" s="4">
        <f t="shared" si="58"/>
        <v>2426557.5956998579</v>
      </c>
      <c r="DV26" s="4">
        <f t="shared" si="58"/>
        <v>2402292.0197428595</v>
      </c>
      <c r="DW26" s="4">
        <f t="shared" si="58"/>
        <v>2378269.0995454309</v>
      </c>
      <c r="DX26" s="4">
        <f t="shared" si="58"/>
        <v>2354486.4085499765</v>
      </c>
      <c r="DY26" s="4">
        <f t="shared" si="58"/>
        <v>2330941.5444644769</v>
      </c>
      <c r="DZ26" s="4">
        <f t="shared" si="58"/>
        <v>2307632.1290198322</v>
      </c>
      <c r="EA26" s="4">
        <f t="shared" si="58"/>
        <v>2284555.807729634</v>
      </c>
      <c r="EB26" s="4">
        <f t="shared" si="58"/>
        <v>2261710.2496523377</v>
      </c>
      <c r="EC26" s="4">
        <f t="shared" si="58"/>
        <v>2239093.1471558143</v>
      </c>
      <c r="ED26" s="4">
        <f t="shared" si="58"/>
        <v>2216702.2156842561</v>
      </c>
    </row>
    <row r="27" spans="2:134" s="5" customFormat="1" x14ac:dyDescent="0.2">
      <c r="B27" s="5" t="s">
        <v>45</v>
      </c>
      <c r="C27" s="5">
        <f t="shared" ref="C27:L27" si="59">C26/C28</f>
        <v>-0.51214850330439288</v>
      </c>
      <c r="D27" s="5">
        <f t="shared" si="59"/>
        <v>-0.49818913480885313</v>
      </c>
      <c r="E27" s="5">
        <f t="shared" si="59"/>
        <v>-0.59809462813225522</v>
      </c>
      <c r="F27" s="5">
        <f t="shared" si="59"/>
        <v>-0.8573830450130282</v>
      </c>
      <c r="G27" s="5">
        <f t="shared" si="59"/>
        <v>-1.2241736603491944</v>
      </c>
      <c r="H27" s="5">
        <f t="shared" si="59"/>
        <v>-1.663072563521695</v>
      </c>
      <c r="I27" s="5">
        <f t="shared" si="59"/>
        <v>-1.7817620885850272</v>
      </c>
      <c r="J27" s="5">
        <f t="shared" si="59"/>
        <v>-2.4439130434782608</v>
      </c>
      <c r="K27" s="5">
        <f t="shared" si="59"/>
        <v>-2.1274910307817541</v>
      </c>
      <c r="L27" s="5">
        <f t="shared" si="59"/>
        <v>-2.094454326596801</v>
      </c>
      <c r="M27" s="5">
        <f t="shared" ref="M27:R27" si="60">M26/M28</f>
        <v>-1.0406877023618435</v>
      </c>
      <c r="N27" s="5">
        <f t="shared" si="60"/>
        <v>-0.70004369508488862</v>
      </c>
      <c r="O27" s="5">
        <f t="shared" si="60"/>
        <v>-0.34003024938612525</v>
      </c>
      <c r="P27" s="5">
        <f t="shared" si="60"/>
        <v>-8.6800321912172976E-2</v>
      </c>
      <c r="Q27" s="5">
        <f t="shared" si="60"/>
        <v>0.22527564736966948</v>
      </c>
      <c r="R27" s="5">
        <f t="shared" si="60"/>
        <v>0.56512287628972591</v>
      </c>
      <c r="T27" s="5">
        <f>T26/T28</f>
        <v>-2.4687821829285186</v>
      </c>
      <c r="U27" s="5">
        <v>-6.9326327860795489</v>
      </c>
      <c r="V27" s="5">
        <f>V26/V28</f>
        <v>-5.9289956350782971</v>
      </c>
      <c r="W27" s="5">
        <f>W26/W28</f>
        <v>0.36356795236109724</v>
      </c>
      <c r="X27" s="5">
        <f t="shared" ref="X27:AJ27" si="61">X26/X28</f>
        <v>6.5044460605396379</v>
      </c>
      <c r="Y27" s="5">
        <f t="shared" si="61"/>
        <v>14.096058064585712</v>
      </c>
      <c r="Z27" s="5">
        <f t="shared" si="61"/>
        <v>15.622859780078654</v>
      </c>
      <c r="AA27" s="5">
        <f t="shared" si="61"/>
        <v>18.379960217185676</v>
      </c>
      <c r="AB27" s="5">
        <f t="shared" si="61"/>
        <v>20.04483122101696</v>
      </c>
      <c r="AC27" s="5">
        <f t="shared" si="61"/>
        <v>21.821859416493176</v>
      </c>
      <c r="AD27" s="5">
        <f t="shared" si="61"/>
        <v>25.197172484920543</v>
      </c>
      <c r="AE27" s="5">
        <f t="shared" si="61"/>
        <v>27.331290194689146</v>
      </c>
      <c r="AF27" s="5">
        <f t="shared" si="61"/>
        <v>29.606136242183982</v>
      </c>
      <c r="AG27" s="5">
        <f t="shared" si="61"/>
        <v>33.728638740114164</v>
      </c>
      <c r="AH27" s="5">
        <f t="shared" si="61"/>
        <v>36.440122625637372</v>
      </c>
      <c r="AI27" s="5">
        <f t="shared" si="61"/>
        <v>39.327536771815588</v>
      </c>
      <c r="AJ27" s="5">
        <f t="shared" si="61"/>
        <v>42.40167257495068</v>
      </c>
    </row>
    <row r="28" spans="2:134" s="2" customFormat="1" x14ac:dyDescent="0.2">
      <c r="B28" s="2" t="s">
        <v>3</v>
      </c>
      <c r="C28" s="2">
        <v>123472</v>
      </c>
      <c r="D28" s="2">
        <v>124250</v>
      </c>
      <c r="E28" s="2">
        <v>124910</v>
      </c>
      <c r="F28" s="2">
        <v>125497</v>
      </c>
      <c r="G28" s="2">
        <v>125947</v>
      </c>
      <c r="H28" s="2">
        <v>126689</v>
      </c>
      <c r="I28" s="2">
        <v>129006</v>
      </c>
      <c r="J28" s="2">
        <v>131100</v>
      </c>
      <c r="K28" s="2">
        <v>132676</v>
      </c>
      <c r="L28" s="2">
        <v>139983</v>
      </c>
      <c r="M28" s="2">
        <f>L28</f>
        <v>139983</v>
      </c>
      <c r="N28" s="2">
        <f t="shared" ref="N28:R28" si="62">M28</f>
        <v>139983</v>
      </c>
      <c r="O28" s="2">
        <f t="shared" si="62"/>
        <v>139983</v>
      </c>
      <c r="P28" s="2">
        <f t="shared" si="62"/>
        <v>139983</v>
      </c>
      <c r="Q28" s="2">
        <f t="shared" si="62"/>
        <v>139983</v>
      </c>
      <c r="R28" s="2">
        <f t="shared" si="62"/>
        <v>139983</v>
      </c>
      <c r="T28" s="2">
        <f>AVERAGE(C28:F28)</f>
        <v>124532.25</v>
      </c>
      <c r="U28" s="2">
        <v>128185.5</v>
      </c>
      <c r="V28" s="2">
        <f>AVERAGE(K28:N28)</f>
        <v>138156.25</v>
      </c>
      <c r="W28" s="2">
        <f>AVERAGE(O28:R28)</f>
        <v>139983</v>
      </c>
      <c r="X28" s="2">
        <f>W28</f>
        <v>139983</v>
      </c>
      <c r="Y28" s="2">
        <f t="shared" ref="Y28:AJ28" si="63">X28</f>
        <v>139983</v>
      </c>
      <c r="Z28" s="2">
        <f t="shared" si="63"/>
        <v>139983</v>
      </c>
      <c r="AA28" s="2">
        <f t="shared" si="63"/>
        <v>139983</v>
      </c>
      <c r="AB28" s="2">
        <f t="shared" si="63"/>
        <v>139983</v>
      </c>
      <c r="AC28" s="2">
        <f t="shared" si="63"/>
        <v>139983</v>
      </c>
      <c r="AD28" s="2">
        <f t="shared" si="63"/>
        <v>139983</v>
      </c>
      <c r="AE28" s="2">
        <f t="shared" si="63"/>
        <v>139983</v>
      </c>
      <c r="AF28" s="2">
        <f t="shared" si="63"/>
        <v>139983</v>
      </c>
      <c r="AG28" s="2">
        <f t="shared" si="63"/>
        <v>139983</v>
      </c>
      <c r="AH28" s="2">
        <f t="shared" si="63"/>
        <v>139983</v>
      </c>
      <c r="AI28" s="2">
        <f t="shared" si="63"/>
        <v>139983</v>
      </c>
      <c r="AJ28" s="2">
        <f t="shared" si="63"/>
        <v>139983</v>
      </c>
    </row>
    <row r="29" spans="2:134" s="2" customFormat="1" x14ac:dyDescent="0.2">
      <c r="AL29" s="5" t="s">
        <v>60</v>
      </c>
      <c r="AM29" s="7">
        <v>0.03</v>
      </c>
    </row>
    <row r="30" spans="2:134" s="2" customFormat="1" x14ac:dyDescent="0.2">
      <c r="B30" s="2" t="s">
        <v>55</v>
      </c>
      <c r="G30" s="2">
        <f t="shared" ref="G30:L30" si="64">G12*1000/G6</f>
        <v>80046.594982078852</v>
      </c>
      <c r="H30" s="2">
        <f t="shared" si="64"/>
        <v>68563.2857031311</v>
      </c>
      <c r="I30" s="2">
        <f t="shared" si="64"/>
        <v>65125.276907799249</v>
      </c>
      <c r="J30" s="2">
        <f t="shared" si="64"/>
        <v>79575.906532734909</v>
      </c>
      <c r="K30" s="2">
        <f t="shared" si="64"/>
        <v>66154.996776273372</v>
      </c>
      <c r="L30" s="2">
        <f t="shared" si="64"/>
        <v>64423.657672390298</v>
      </c>
      <c r="M30" s="2">
        <f>L30</f>
        <v>64423.657672390298</v>
      </c>
      <c r="N30" s="2">
        <f t="shared" ref="N30:R30" si="65">M30</f>
        <v>64423.657672390298</v>
      </c>
      <c r="O30" s="2">
        <f t="shared" si="65"/>
        <v>64423.657672390298</v>
      </c>
      <c r="P30" s="2">
        <f t="shared" si="65"/>
        <v>64423.657672390298</v>
      </c>
      <c r="Q30" s="2">
        <f t="shared" si="65"/>
        <v>64423.657672390298</v>
      </c>
      <c r="R30" s="2">
        <f t="shared" si="65"/>
        <v>64423.657672390298</v>
      </c>
      <c r="T30" s="2">
        <f>R30</f>
        <v>64423.657672390298</v>
      </c>
      <c r="U30" s="2">
        <f>T30</f>
        <v>64423.657672390298</v>
      </c>
      <c r="V30" s="2">
        <f>U30*0.95</f>
        <v>61202.474788770778</v>
      </c>
      <c r="W30" s="2">
        <f t="shared" ref="W30:AJ30" si="66">V30*0.95</f>
        <v>58142.351049332239</v>
      </c>
      <c r="X30" s="2">
        <f t="shared" si="66"/>
        <v>55235.233496865621</v>
      </c>
      <c r="Y30" s="2">
        <f t="shared" si="66"/>
        <v>52473.471822022337</v>
      </c>
      <c r="Z30" s="2">
        <f t="shared" si="66"/>
        <v>49849.798230921217</v>
      </c>
      <c r="AA30" s="2">
        <f t="shared" si="66"/>
        <v>47357.308319375152</v>
      </c>
      <c r="AB30" s="2">
        <f t="shared" si="66"/>
        <v>44989.442903406394</v>
      </c>
      <c r="AC30" s="2">
        <f t="shared" si="66"/>
        <v>42739.970758236072</v>
      </c>
      <c r="AD30" s="2">
        <f t="shared" si="66"/>
        <v>40602.972220324264</v>
      </c>
      <c r="AE30" s="2">
        <f t="shared" si="66"/>
        <v>38572.823609308049</v>
      </c>
      <c r="AF30" s="2">
        <f t="shared" si="66"/>
        <v>36644.182428842643</v>
      </c>
      <c r="AG30" s="2">
        <f t="shared" si="66"/>
        <v>34811.973307400513</v>
      </c>
      <c r="AH30" s="2">
        <f t="shared" si="66"/>
        <v>33071.374642030489</v>
      </c>
      <c r="AI30" s="2">
        <f t="shared" si="66"/>
        <v>31417.805909928964</v>
      </c>
      <c r="AJ30" s="2">
        <f t="shared" si="66"/>
        <v>29846.915614432513</v>
      </c>
      <c r="AL30" s="2" t="s">
        <v>59</v>
      </c>
      <c r="AM30" s="7">
        <v>-0.01</v>
      </c>
    </row>
    <row r="31" spans="2:134" s="2" customFormat="1" x14ac:dyDescent="0.2">
      <c r="AL31" s="2" t="s">
        <v>58</v>
      </c>
      <c r="AM31" s="7">
        <v>0.11</v>
      </c>
    </row>
    <row r="32" spans="2:134" s="2" customFormat="1" x14ac:dyDescent="0.2">
      <c r="L32" s="3"/>
      <c r="AL32" s="2" t="s">
        <v>61</v>
      </c>
      <c r="AM32" s="2">
        <f>NPV(AM31,W26:ED26)</f>
        <v>29763303.674394269</v>
      </c>
    </row>
    <row r="33" spans="2:39" s="2" customFormat="1" x14ac:dyDescent="0.2">
      <c r="AL33" s="2" t="s">
        <v>62</v>
      </c>
      <c r="AM33" s="2">
        <f>+AM32+Main!J6*1000-Main!J7*1000</f>
        <v>30485750.674394269</v>
      </c>
    </row>
    <row r="34" spans="2:39" s="8" customFormat="1" x14ac:dyDescent="0.2">
      <c r="B34" s="8" t="s">
        <v>50</v>
      </c>
      <c r="G34" s="8">
        <f t="shared" ref="G34:L34" si="67">G14/C14-1</f>
        <v>0.51461142033899399</v>
      </c>
      <c r="H34" s="8">
        <f t="shared" si="67"/>
        <v>0.24127801556900708</v>
      </c>
      <c r="I34" s="8">
        <f t="shared" si="67"/>
        <v>9.9770604505261762E-2</v>
      </c>
      <c r="J34" s="8">
        <f t="shared" si="67"/>
        <v>0.26939323333970977</v>
      </c>
      <c r="K34" s="8">
        <f t="shared" si="67"/>
        <v>0.22041962803762183</v>
      </c>
      <c r="L34" s="8">
        <f t="shared" si="67"/>
        <v>0.32989415440806891</v>
      </c>
      <c r="M34" s="8">
        <f t="shared" ref="M34:R34" si="68">M14/I14-1</f>
        <v>0.82460600890824898</v>
      </c>
      <c r="N34" s="8">
        <f t="shared" si="68"/>
        <v>0.57782204031551965</v>
      </c>
      <c r="O34" s="8">
        <f t="shared" si="68"/>
        <v>0.86013600521816969</v>
      </c>
      <c r="P34" s="8">
        <f t="shared" si="68"/>
        <v>0.80559212005088354</v>
      </c>
      <c r="Q34" s="8">
        <f t="shared" si="68"/>
        <v>0.45381147633622709</v>
      </c>
      <c r="R34" s="8">
        <f t="shared" si="68"/>
        <v>0.40504318022934838</v>
      </c>
      <c r="AL34" s="2" t="s">
        <v>0</v>
      </c>
      <c r="AM34" s="5">
        <f>AM33/(Main!J4*1000)</f>
        <v>205.02616599678711</v>
      </c>
    </row>
    <row r="35" spans="2:39" s="8" customFormat="1" x14ac:dyDescent="0.2">
      <c r="B35" s="8" t="s">
        <v>57</v>
      </c>
      <c r="G35" s="8">
        <f t="shared" ref="G35:K35" si="69">G25/G24</f>
        <v>-2.011366869347166E-2</v>
      </c>
      <c r="H35" s="8">
        <f t="shared" si="69"/>
        <v>-1.5260738413499996E-2</v>
      </c>
      <c r="I35" s="8">
        <f t="shared" si="69"/>
        <v>-7.8220226768504954E-3</v>
      </c>
      <c r="J35" s="8">
        <f t="shared" si="69"/>
        <v>-1.6007661352977178E-2</v>
      </c>
      <c r="K35" s="8">
        <f t="shared" si="69"/>
        <v>-1.3813613197280377E-2</v>
      </c>
      <c r="L35" s="8">
        <f>L25/L24</f>
        <v>-1.2602792715316417E-2</v>
      </c>
      <c r="M35" s="8">
        <f t="shared" ref="M35:AJ35" si="70">M25/M24</f>
        <v>-2.5000000000000001E-2</v>
      </c>
      <c r="N35" s="8">
        <f t="shared" si="70"/>
        <v>-2.5000000000000001E-2</v>
      </c>
      <c r="O35" s="8">
        <f t="shared" si="70"/>
        <v>-2.5000000000000001E-2</v>
      </c>
      <c r="P35" s="8">
        <f t="shared" si="70"/>
        <v>-2.5000000000000001E-2</v>
      </c>
      <c r="Q35" s="8">
        <f t="shared" si="70"/>
        <v>-2.5000000000000001E-2</v>
      </c>
      <c r="R35" s="8">
        <f t="shared" si="70"/>
        <v>-2.5000000000000001E-2</v>
      </c>
      <c r="T35" s="8">
        <f t="shared" si="70"/>
        <v>-3.1556378716807922E-2</v>
      </c>
      <c r="U35" s="8">
        <f t="shared" si="70"/>
        <v>-1.4891094807817053E-2</v>
      </c>
      <c r="V35" s="8">
        <f t="shared" si="70"/>
        <v>-1.6679177317584209E-2</v>
      </c>
      <c r="W35" s="8">
        <f t="shared" si="70"/>
        <v>-2.5000000000000005E-2</v>
      </c>
      <c r="X35" s="8">
        <f t="shared" si="70"/>
        <v>-0.05</v>
      </c>
      <c r="Y35" s="8">
        <f t="shared" si="70"/>
        <v>0.05</v>
      </c>
      <c r="Z35" s="8">
        <f t="shared" si="70"/>
        <v>0.05</v>
      </c>
      <c r="AA35" s="8">
        <f t="shared" si="70"/>
        <v>5.000000000000001E-2</v>
      </c>
      <c r="AB35" s="8">
        <f t="shared" si="70"/>
        <v>0.05</v>
      </c>
      <c r="AC35" s="8">
        <f t="shared" si="70"/>
        <v>0.05</v>
      </c>
      <c r="AD35" s="8">
        <f t="shared" si="70"/>
        <v>0.05</v>
      </c>
      <c r="AE35" s="8">
        <f t="shared" si="70"/>
        <v>0.05</v>
      </c>
      <c r="AF35" s="8">
        <f t="shared" si="70"/>
        <v>0.05</v>
      </c>
      <c r="AG35" s="8">
        <f t="shared" si="70"/>
        <v>0.05</v>
      </c>
      <c r="AH35" s="8">
        <f t="shared" si="70"/>
        <v>0.05</v>
      </c>
      <c r="AI35" s="8">
        <f t="shared" si="70"/>
        <v>0.05</v>
      </c>
      <c r="AJ35" s="8">
        <f t="shared" si="70"/>
        <v>0.05</v>
      </c>
      <c r="AL35" s="7" t="s">
        <v>68</v>
      </c>
      <c r="AM35" s="9">
        <f>Main!J3</f>
        <v>200.24</v>
      </c>
    </row>
    <row r="36" spans="2:39" s="2" customFormat="1" x14ac:dyDescent="0.2">
      <c r="AM36" s="7">
        <f>AM34/AM35-1</f>
        <v>2.3902147407047103E-2</v>
      </c>
    </row>
    <row r="37" spans="2:39" s="7" customFormat="1" x14ac:dyDescent="0.2">
      <c r="B37" s="7" t="s">
        <v>56</v>
      </c>
      <c r="C37" s="7">
        <f t="shared" ref="C37:N37" si="71">C18/C14</f>
        <v>0.24998791379149196</v>
      </c>
      <c r="D37" s="7">
        <f t="shared" si="71"/>
        <v>0.276850948009291</v>
      </c>
      <c r="E37" s="7">
        <f t="shared" si="71"/>
        <v>0.29566778272936028</v>
      </c>
      <c r="F37" s="7">
        <f t="shared" si="71"/>
        <v>0.27355249142590737</v>
      </c>
      <c r="G37" s="7">
        <f t="shared" si="71"/>
        <v>0.27670872877388603</v>
      </c>
      <c r="H37" s="7">
        <f t="shared" si="71"/>
        <v>0.22342969875682739</v>
      </c>
      <c r="I37" s="7">
        <f t="shared" si="71"/>
        <v>0.24711647980495074</v>
      </c>
      <c r="J37" s="7">
        <f t="shared" si="71"/>
        <v>0.17998005564984243</v>
      </c>
      <c r="K37" s="7">
        <f t="shared" si="71"/>
        <v>0.22010238455583375</v>
      </c>
      <c r="L37" s="7">
        <f t="shared" si="71"/>
        <v>0.21635615901204472</v>
      </c>
      <c r="M37" s="7">
        <f t="shared" si="71"/>
        <v>0.25</v>
      </c>
      <c r="N37" s="7">
        <f t="shared" si="71"/>
        <v>0.25</v>
      </c>
      <c r="O37" s="7">
        <f t="shared" ref="O37:R37" si="72">O18/O14</f>
        <v>0.25</v>
      </c>
      <c r="P37" s="7">
        <f t="shared" si="72"/>
        <v>0.25</v>
      </c>
      <c r="Q37" s="7">
        <f t="shared" si="72"/>
        <v>0.25</v>
      </c>
      <c r="R37" s="7">
        <f t="shared" si="72"/>
        <v>0.25</v>
      </c>
    </row>
    <row r="38" spans="2:39" s="2" customFormat="1" x14ac:dyDescent="0.2"/>
    <row r="39" spans="2:39" s="2" customFormat="1" x14ac:dyDescent="0.2"/>
    <row r="40" spans="2:39" s="2" customFormat="1" x14ac:dyDescent="0.2"/>
    <row r="41" spans="2:39" s="2" customFormat="1" x14ac:dyDescent="0.2">
      <c r="B41" s="2" t="s">
        <v>64</v>
      </c>
      <c r="I41" s="2">
        <f>I42-I56</f>
        <v>-1173737</v>
      </c>
      <c r="J41" s="2">
        <f>J42-J56</f>
        <v>-1464528</v>
      </c>
      <c r="K41" s="2">
        <f>K42-K56</f>
        <v>-1648688</v>
      </c>
      <c r="L41" s="2">
        <f>L42-L56</f>
        <v>58473</v>
      </c>
      <c r="M41" s="2">
        <f>L41+M26</f>
        <v>-87205.586639717949</v>
      </c>
      <c r="N41" s="2">
        <f t="shared" ref="N41:R41" si="73">M41+N26</f>
        <v>-185199.80320878592</v>
      </c>
      <c r="O41" s="2">
        <f t="shared" si="73"/>
        <v>-232798.25760860389</v>
      </c>
      <c r="P41" s="2">
        <f t="shared" si="73"/>
        <v>-244948.8270708356</v>
      </c>
      <c r="Q41" s="2">
        <f t="shared" si="73"/>
        <v>-213414.06612508715</v>
      </c>
      <c r="R41" s="2">
        <f t="shared" si="73"/>
        <v>-134306.47053342243</v>
      </c>
      <c r="W41" s="2">
        <f>R41</f>
        <v>-134306.47053342243</v>
      </c>
      <c r="X41" s="2">
        <f>W41+X26</f>
        <v>776205.40235909773</v>
      </c>
      <c r="Y41" s="2">
        <f t="shared" ref="Y41:AJ41" si="74">X41+Y26</f>
        <v>2749413.8984139995</v>
      </c>
      <c r="Z41" s="2">
        <f t="shared" si="74"/>
        <v>4936348.6790087502</v>
      </c>
      <c r="AA41" s="2">
        <f t="shared" si="74"/>
        <v>7509230.650091053</v>
      </c>
      <c r="AB41" s="2">
        <f t="shared" si="74"/>
        <v>10315166.258902669</v>
      </c>
      <c r="AC41" s="2">
        <f t="shared" si="74"/>
        <v>13369855.605601633</v>
      </c>
      <c r="AD41" s="2">
        <f t="shared" si="74"/>
        <v>16897031.401558265</v>
      </c>
      <c r="AE41" s="2">
        <f t="shared" si="74"/>
        <v>20722947.396881435</v>
      </c>
      <c r="AF41" s="2">
        <f t="shared" si="74"/>
        <v>24867303.166471075</v>
      </c>
      <c r="AG41" s="2">
        <f t="shared" si="74"/>
        <v>29588739.203228477</v>
      </c>
      <c r="AH41" s="2">
        <f t="shared" si="74"/>
        <v>34689736.888733074</v>
      </c>
      <c r="AI41" s="2">
        <f t="shared" si="74"/>
        <v>40194923.468662135</v>
      </c>
      <c r="AJ41" s="2">
        <f t="shared" si="74"/>
        <v>46130436.800721459</v>
      </c>
    </row>
    <row r="42" spans="2:39" s="2" customFormat="1" x14ac:dyDescent="0.2">
      <c r="B42" s="2" t="s">
        <v>1</v>
      </c>
      <c r="I42" s="2">
        <f>1426036+25223+26355</f>
        <v>1477614</v>
      </c>
      <c r="J42" s="2">
        <f>1196908+22628+31522</f>
        <v>1251058</v>
      </c>
      <c r="K42" s="2">
        <f>1441789+23980+47783</f>
        <v>1513552</v>
      </c>
      <c r="L42" s="2">
        <f>3246301+24525+71621</f>
        <v>3342447</v>
      </c>
    </row>
    <row r="43" spans="2:39" s="2" customFormat="1" x14ac:dyDescent="0.2">
      <c r="B43" s="2" t="s">
        <v>23</v>
      </c>
      <c r="I43" s="2">
        <v>119964</v>
      </c>
      <c r="J43" s="2">
        <v>168965</v>
      </c>
      <c r="K43" s="2">
        <v>318056</v>
      </c>
      <c r="L43" s="2">
        <v>178594</v>
      </c>
    </row>
    <row r="44" spans="2:39" s="2" customFormat="1" x14ac:dyDescent="0.2">
      <c r="B44" s="2" t="s">
        <v>24</v>
      </c>
      <c r="I44" s="2">
        <v>1293717</v>
      </c>
      <c r="J44" s="2">
        <v>1277838</v>
      </c>
      <c r="K44" s="2">
        <v>1301961</v>
      </c>
      <c r="L44" s="2">
        <v>1609607</v>
      </c>
    </row>
    <row r="45" spans="2:39" s="2" customFormat="1" x14ac:dyDescent="0.2">
      <c r="B45" s="2" t="s">
        <v>25</v>
      </c>
      <c r="I45" s="2">
        <v>133855</v>
      </c>
      <c r="J45" s="2">
        <v>125229</v>
      </c>
      <c r="K45" s="2">
        <v>153757</v>
      </c>
      <c r="L45" s="2">
        <v>144678</v>
      </c>
    </row>
    <row r="46" spans="2:39" s="2" customFormat="1" x14ac:dyDescent="0.2">
      <c r="B46" s="2" t="s">
        <v>26</v>
      </c>
      <c r="I46" s="2">
        <v>1360725</v>
      </c>
      <c r="J46" s="2">
        <v>1791403</v>
      </c>
      <c r="K46" s="2">
        <v>2244210</v>
      </c>
      <c r="L46" s="2">
        <v>2533726</v>
      </c>
    </row>
    <row r="47" spans="2:39" s="2" customFormat="1" x14ac:dyDescent="0.2">
      <c r="B47" s="2" t="s">
        <v>27</v>
      </c>
      <c r="I47" s="2">
        <v>3103811</v>
      </c>
      <c r="J47" s="2">
        <v>3403334</v>
      </c>
      <c r="K47" s="2">
        <v>3593014</v>
      </c>
      <c r="L47" s="2">
        <v>3993250</v>
      </c>
    </row>
    <row r="48" spans="2:39" s="2" customFormat="1" x14ac:dyDescent="0.2">
      <c r="B48" s="2" t="s">
        <v>28</v>
      </c>
      <c r="I48" s="2">
        <v>57811</v>
      </c>
      <c r="J48" s="2">
        <v>74633</v>
      </c>
      <c r="K48" s="2">
        <v>67152</v>
      </c>
      <c r="L48" s="2">
        <v>66650</v>
      </c>
    </row>
    <row r="49" spans="2:12" s="2" customFormat="1" x14ac:dyDescent="0.2">
      <c r="B49" s="2" t="s">
        <v>34</v>
      </c>
      <c r="I49" s="2">
        <f>SUM(I42:I48)</f>
        <v>7547497</v>
      </c>
      <c r="J49" s="2">
        <f>SUM(J42:J48)</f>
        <v>8092460</v>
      </c>
      <c r="K49" s="2">
        <f>SUM(K42:K48)</f>
        <v>9191702</v>
      </c>
      <c r="L49" s="2">
        <f>SUM(L42:L48)</f>
        <v>11868952</v>
      </c>
    </row>
    <row r="50" spans="2:12" s="2" customFormat="1" x14ac:dyDescent="0.2"/>
    <row r="51" spans="2:12" s="2" customFormat="1" x14ac:dyDescent="0.2">
      <c r="B51" s="2" t="s">
        <v>29</v>
      </c>
      <c r="I51" s="2">
        <v>824861</v>
      </c>
      <c r="J51" s="2">
        <v>916148</v>
      </c>
      <c r="K51" s="2">
        <v>1013486</v>
      </c>
      <c r="L51" s="2">
        <v>1114878</v>
      </c>
    </row>
    <row r="52" spans="2:12" s="2" customFormat="1" x14ac:dyDescent="0.2">
      <c r="B52" s="2" t="s">
        <v>30</v>
      </c>
      <c r="I52" s="2">
        <v>373859</v>
      </c>
      <c r="J52" s="2">
        <v>422798</v>
      </c>
      <c r="K52" s="2">
        <v>438522</v>
      </c>
      <c r="L52" s="2">
        <v>558212</v>
      </c>
    </row>
    <row r="53" spans="2:12" s="2" customFormat="1" x14ac:dyDescent="0.2">
      <c r="B53" s="2" t="s">
        <v>67</v>
      </c>
      <c r="I53" s="2">
        <f>348117+362261</f>
        <v>710378</v>
      </c>
      <c r="J53" s="2">
        <f>423961+446105</f>
        <v>870066</v>
      </c>
      <c r="K53" s="2">
        <f>516620+496997</f>
        <v>1013617</v>
      </c>
      <c r="L53" s="2">
        <f>558816+533253</f>
        <v>1092069</v>
      </c>
    </row>
    <row r="54" spans="2:12" s="2" customFormat="1" x14ac:dyDescent="0.2">
      <c r="B54" s="2" t="s">
        <v>65</v>
      </c>
      <c r="I54" s="2">
        <f>85580+952729</f>
        <v>1038309</v>
      </c>
      <c r="J54" s="2">
        <f>136831+1293741</f>
        <v>1430572</v>
      </c>
      <c r="K54" s="2">
        <f>192423+1583075</f>
        <v>1775498</v>
      </c>
      <c r="L54" s="2">
        <f>227838+1779509</f>
        <v>2007347</v>
      </c>
    </row>
    <row r="55" spans="2:12" s="2" customFormat="1" x14ac:dyDescent="0.2">
      <c r="B55" s="2" t="s">
        <v>66</v>
      </c>
      <c r="I55" s="2">
        <v>269545</v>
      </c>
      <c r="J55" s="2">
        <v>283370</v>
      </c>
      <c r="K55" s="2">
        <v>391363</v>
      </c>
      <c r="L55" s="2">
        <v>679834</v>
      </c>
    </row>
    <row r="56" spans="2:12" s="2" customFormat="1" x14ac:dyDescent="0.2">
      <c r="B56" s="2" t="s">
        <v>2</v>
      </c>
      <c r="I56" s="2">
        <f>638809+1966361+46181</f>
        <v>2651351</v>
      </c>
      <c r="J56" s="2">
        <f>633166+2040375+42045</f>
        <v>2715586</v>
      </c>
      <c r="K56" s="2">
        <f>635285+2484329+42626</f>
        <v>3162240</v>
      </c>
      <c r="L56" s="2">
        <f>626826+2620002+37146</f>
        <v>3283974</v>
      </c>
    </row>
    <row r="57" spans="2:12" s="2" customFormat="1" x14ac:dyDescent="0.2">
      <c r="B57" s="2" t="s">
        <v>31</v>
      </c>
      <c r="I57" s="2">
        <v>336505</v>
      </c>
      <c r="J57" s="2">
        <v>364976</v>
      </c>
      <c r="K57" s="2">
        <v>426611</v>
      </c>
      <c r="L57" s="2">
        <v>612344</v>
      </c>
    </row>
    <row r="58" spans="2:12" s="2" customFormat="1" x14ac:dyDescent="0.2">
      <c r="B58" s="2" t="s">
        <v>63</v>
      </c>
      <c r="I58" s="2">
        <f>SUM(I51:I57)</f>
        <v>6204808</v>
      </c>
      <c r="J58" s="2">
        <f>SUM(J51:J57)</f>
        <v>7003516</v>
      </c>
      <c r="K58" s="2">
        <f>SUM(K51:K57)</f>
        <v>8221337</v>
      </c>
      <c r="L58" s="2">
        <f>SUM(L51:L57)</f>
        <v>9348658</v>
      </c>
    </row>
    <row r="59" spans="2:12" s="2" customFormat="1" x14ac:dyDescent="0.2">
      <c r="B59" s="2" t="s">
        <v>32</v>
      </c>
      <c r="I59" s="2">
        <v>1314656</v>
      </c>
      <c r="J59" s="2">
        <v>1088944</v>
      </c>
      <c r="K59" s="2">
        <v>970365</v>
      </c>
      <c r="L59" s="2">
        <v>2520294</v>
      </c>
    </row>
    <row r="60" spans="2:12" s="2" customFormat="1" x14ac:dyDescent="0.2">
      <c r="B60" s="2" t="s">
        <v>33</v>
      </c>
      <c r="I60" s="2">
        <v>7547497</v>
      </c>
      <c r="J60" s="2">
        <f>+J58+J59</f>
        <v>8092460</v>
      </c>
      <c r="K60" s="2">
        <f>+K58+K59</f>
        <v>9191702</v>
      </c>
      <c r="L60" s="2">
        <f>+L58+L59</f>
        <v>11868952</v>
      </c>
    </row>
    <row r="61" spans="2:12" x14ac:dyDescent="0.2">
      <c r="K61" s="2"/>
      <c r="L61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LOOK</cp:lastModifiedBy>
  <dcterms:created xsi:type="dcterms:W3CDTF">2016-10-14T03:51:39Z</dcterms:created>
  <dcterms:modified xsi:type="dcterms:W3CDTF">2016-10-16T10:58:57Z</dcterms:modified>
</cp:coreProperties>
</file>