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0" yWindow="0" windowWidth="28800" windowHeight="14130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D2" i="1"/>
  <c r="H7" i="1"/>
  <c r="G7" i="1"/>
  <c r="F7" i="1"/>
  <c r="E7" i="1"/>
  <c r="D7" i="1"/>
  <c r="C7" i="1"/>
  <c r="H6" i="1"/>
  <c r="G6" i="1"/>
  <c r="F6" i="1"/>
  <c r="E6" i="1"/>
  <c r="D6" i="1"/>
  <c r="C6" i="1"/>
  <c r="G15" i="2" l="1"/>
  <c r="G14" i="2"/>
  <c r="G13" i="2"/>
  <c r="G12" i="2"/>
  <c r="O6" i="1" l="1"/>
  <c r="O8" i="1" s="1"/>
  <c r="K16" i="2" l="1"/>
  <c r="K15" i="2"/>
  <c r="K14" i="2"/>
  <c r="K13" i="2"/>
  <c r="K12" i="2"/>
  <c r="K8" i="2"/>
  <c r="K9" i="2" s="1"/>
  <c r="L61" i="2"/>
  <c r="L47" i="2"/>
  <c r="L46" i="2" s="1"/>
  <c r="J38" i="2"/>
  <c r="L31" i="2"/>
  <c r="K5" i="1"/>
  <c r="L53" i="2" l="1"/>
  <c r="K10" i="2"/>
  <c r="AC28" i="2"/>
  <c r="AD25" i="2"/>
  <c r="AB25" i="2"/>
  <c r="Z40" i="2"/>
  <c r="Y40" i="2"/>
  <c r="X40" i="2"/>
  <c r="W40" i="2"/>
  <c r="V40" i="2"/>
  <c r="U40" i="2"/>
  <c r="T40" i="2"/>
  <c r="S40" i="2"/>
  <c r="R40" i="2"/>
  <c r="Q40" i="2"/>
  <c r="T23" i="2"/>
  <c r="T25" i="2" s="1"/>
  <c r="S23" i="2"/>
  <c r="S25" i="2" s="1"/>
  <c r="R23" i="2"/>
  <c r="R25" i="2" s="1"/>
  <c r="Q23" i="2"/>
  <c r="P23" i="2"/>
  <c r="P25" i="2" s="1"/>
  <c r="Q25" i="2"/>
  <c r="Y25" i="2"/>
  <c r="X25" i="2"/>
  <c r="U25" i="2"/>
  <c r="V25" i="2"/>
  <c r="W25" i="2"/>
  <c r="M36" i="2" l="1"/>
  <c r="N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N27" i="2"/>
  <c r="M27" i="2"/>
  <c r="N26" i="2"/>
  <c r="M26" i="2"/>
  <c r="AJ26" i="2" s="1"/>
  <c r="N21" i="2"/>
  <c r="N39" i="2" s="1"/>
  <c r="M21" i="2"/>
  <c r="L39" i="2"/>
  <c r="N20" i="2"/>
  <c r="N38" i="2" s="1"/>
  <c r="M20" i="2"/>
  <c r="L38" i="2"/>
  <c r="K39" i="2"/>
  <c r="J39" i="2"/>
  <c r="I39" i="2"/>
  <c r="H39" i="2"/>
  <c r="G39" i="2"/>
  <c r="K61" i="2"/>
  <c r="K47" i="2"/>
  <c r="K46" i="2" s="1"/>
  <c r="K33" i="2"/>
  <c r="K31" i="2"/>
  <c r="M31" i="2" s="1"/>
  <c r="N31" i="2" s="1"/>
  <c r="AJ31" i="2" s="1"/>
  <c r="K28" i="2"/>
  <c r="K29" i="2" s="1"/>
  <c r="K38" i="2"/>
  <c r="K22" i="2"/>
  <c r="K25" i="2" s="1"/>
  <c r="K42" i="2" s="1"/>
  <c r="AJ27" i="2" l="1"/>
  <c r="AK27" i="2" s="1"/>
  <c r="AL27" i="2" s="1"/>
  <c r="AM27" i="2" s="1"/>
  <c r="AN27" i="2" s="1"/>
  <c r="AO27" i="2" s="1"/>
  <c r="AP27" i="2" s="1"/>
  <c r="AQ27" i="2" s="1"/>
  <c r="AR27" i="2" s="1"/>
  <c r="AS27" i="2" s="1"/>
  <c r="K53" i="2"/>
  <c r="M39" i="2"/>
  <c r="AJ21" i="2"/>
  <c r="M38" i="2"/>
  <c r="AJ20" i="2"/>
  <c r="AK26" i="2"/>
  <c r="L22" i="2"/>
  <c r="M22" i="2"/>
  <c r="M25" i="2" s="1"/>
  <c r="M42" i="2" s="1"/>
  <c r="N22" i="2"/>
  <c r="N25" i="2" s="1"/>
  <c r="N42" i="2" s="1"/>
  <c r="K30" i="2"/>
  <c r="Z31" i="2"/>
  <c r="Z28" i="2"/>
  <c r="Z29" i="2" s="1"/>
  <c r="AA31" i="2"/>
  <c r="AA28" i="2"/>
  <c r="AA29" i="2" s="1"/>
  <c r="AA40" i="2"/>
  <c r="AB40" i="2"/>
  <c r="Z25" i="2"/>
  <c r="Z42" i="2" s="1"/>
  <c r="AA25" i="2"/>
  <c r="AA42" i="2" s="1"/>
  <c r="AB33" i="2"/>
  <c r="AB31" i="2"/>
  <c r="AB28" i="2"/>
  <c r="AB29" i="2" s="1"/>
  <c r="AC40" i="2"/>
  <c r="AB42" i="2"/>
  <c r="AD40" i="2"/>
  <c r="AC33" i="2"/>
  <c r="AC31" i="2"/>
  <c r="AC29" i="2"/>
  <c r="AC25" i="2"/>
  <c r="AC42" i="2" s="1"/>
  <c r="AD33" i="2"/>
  <c r="AD31" i="2"/>
  <c r="AD28" i="2"/>
  <c r="AD29" i="2" s="1"/>
  <c r="AD42" i="2"/>
  <c r="AD2" i="2"/>
  <c r="AC2" i="2" s="1"/>
  <c r="AB2" i="2" s="1"/>
  <c r="AA2" i="2" s="1"/>
  <c r="Z2" i="2" s="1"/>
  <c r="Y2" i="2" s="1"/>
  <c r="X2" i="2" s="1"/>
  <c r="W2" i="2" s="1"/>
  <c r="V2" i="2" s="1"/>
  <c r="U2" i="2" s="1"/>
  <c r="T2" i="2" s="1"/>
  <c r="S2" i="2" s="1"/>
  <c r="R2" i="2" s="1"/>
  <c r="Q2" i="2" s="1"/>
  <c r="P2" i="2" s="1"/>
  <c r="AF39" i="2"/>
  <c r="AE33" i="2"/>
  <c r="AE31" i="2"/>
  <c r="AE28" i="2"/>
  <c r="AE29" i="2" s="1"/>
  <c r="AE22" i="2"/>
  <c r="AE25" i="2" s="1"/>
  <c r="AE42" i="2" s="1"/>
  <c r="AG39" i="2"/>
  <c r="AF33" i="2"/>
  <c r="AF31" i="2"/>
  <c r="AF28" i="2"/>
  <c r="AF29" i="2" s="1"/>
  <c r="AF22" i="2"/>
  <c r="AF25" i="2" s="1"/>
  <c r="AF42" i="2" s="1"/>
  <c r="AH39" i="2"/>
  <c r="AG33" i="2"/>
  <c r="AG31" i="2"/>
  <c r="AG28" i="2"/>
  <c r="AG29" i="2" s="1"/>
  <c r="AG22" i="2"/>
  <c r="AG25" i="2" s="1"/>
  <c r="AG42" i="2" s="1"/>
  <c r="AI39" i="2"/>
  <c r="AH33" i="2"/>
  <c r="AH31" i="2"/>
  <c r="AH28" i="2"/>
  <c r="AH29" i="2" s="1"/>
  <c r="AH22" i="2"/>
  <c r="AH25" i="2" s="1"/>
  <c r="AH42" i="2" s="1"/>
  <c r="AI38" i="2"/>
  <c r="AI33" i="2"/>
  <c r="AI31" i="2"/>
  <c r="AI28" i="2"/>
  <c r="AI29" i="2" s="1"/>
  <c r="AI22" i="2"/>
  <c r="AI25" i="2" s="1"/>
  <c r="AI42" i="2" s="1"/>
  <c r="AJ38" i="2" l="1"/>
  <c r="AK20" i="2"/>
  <c r="AJ39" i="2"/>
  <c r="AK21" i="2"/>
  <c r="AJ22" i="2"/>
  <c r="AL26" i="2"/>
  <c r="AT27" i="2"/>
  <c r="L25" i="2"/>
  <c r="L42" i="2" s="1"/>
  <c r="AF40" i="2"/>
  <c r="AE40" i="2"/>
  <c r="K32" i="2"/>
  <c r="K43" i="2"/>
  <c r="Z30" i="2"/>
  <c r="AA30" i="2"/>
  <c r="AB30" i="2"/>
  <c r="AC30" i="2"/>
  <c r="AD30" i="2"/>
  <c r="AE30" i="2"/>
  <c r="AI40" i="2"/>
  <c r="AH40" i="2"/>
  <c r="AG40" i="2"/>
  <c r="AI30" i="2"/>
  <c r="AF30" i="2"/>
  <c r="AG30" i="2"/>
  <c r="AH30" i="2"/>
  <c r="J12" i="2"/>
  <c r="I12" i="2"/>
  <c r="H12" i="2"/>
  <c r="J16" i="2"/>
  <c r="I16" i="2"/>
  <c r="H16" i="2"/>
  <c r="J15" i="2"/>
  <c r="I15" i="2"/>
  <c r="H15" i="2"/>
  <c r="J14" i="2"/>
  <c r="I14" i="2"/>
  <c r="H14" i="2"/>
  <c r="J13" i="2"/>
  <c r="I13" i="2"/>
  <c r="H13" i="2"/>
  <c r="K34" i="2" l="1"/>
  <c r="K35" i="2" s="1"/>
  <c r="K44" i="2"/>
  <c r="AK39" i="2"/>
  <c r="AK22" i="2"/>
  <c r="AL21" i="2"/>
  <c r="AJ40" i="2"/>
  <c r="AJ25" i="2"/>
  <c r="AJ42" i="2" s="1"/>
  <c r="AK38" i="2"/>
  <c r="AL20" i="2"/>
  <c r="AM26" i="2"/>
  <c r="AU27" i="2"/>
  <c r="AB32" i="2"/>
  <c r="AB43" i="2"/>
  <c r="AA32" i="2"/>
  <c r="AA43" i="2"/>
  <c r="AE32" i="2"/>
  <c r="AE43" i="2"/>
  <c r="AC32" i="2"/>
  <c r="AC43" i="2"/>
  <c r="Z32" i="2"/>
  <c r="Z43" i="2"/>
  <c r="AD32" i="2"/>
  <c r="AD43" i="2"/>
  <c r="AH32" i="2"/>
  <c r="AH43" i="2"/>
  <c r="AF32" i="2"/>
  <c r="AF43" i="2"/>
  <c r="AI32" i="2"/>
  <c r="AI43" i="2"/>
  <c r="AG32" i="2"/>
  <c r="AG43" i="2"/>
  <c r="I8" i="2"/>
  <c r="H8" i="2"/>
  <c r="G8" i="2"/>
  <c r="F8" i="2"/>
  <c r="F9" i="2" s="1"/>
  <c r="AE34" i="2" l="1"/>
  <c r="AE35" i="2" s="1"/>
  <c r="AE44" i="2"/>
  <c r="AD34" i="2"/>
  <c r="AD35" i="2" s="1"/>
  <c r="AD44" i="2"/>
  <c r="AI34" i="2"/>
  <c r="AI35" i="2" s="1"/>
  <c r="AI44" i="2"/>
  <c r="Z34" i="2"/>
  <c r="Z35" i="2" s="1"/>
  <c r="Z44" i="2"/>
  <c r="AB34" i="2"/>
  <c r="AB35" i="2" s="1"/>
  <c r="AB44" i="2"/>
  <c r="AH34" i="2"/>
  <c r="AH35" i="2" s="1"/>
  <c r="AH44" i="2"/>
  <c r="AG34" i="2"/>
  <c r="AG35" i="2" s="1"/>
  <c r="AG44" i="2"/>
  <c r="AF34" i="2"/>
  <c r="AF35" i="2" s="1"/>
  <c r="AF44" i="2"/>
  <c r="AC34" i="2"/>
  <c r="AC35" i="2" s="1"/>
  <c r="AC44" i="2"/>
  <c r="AA34" i="2"/>
  <c r="AA35" i="2" s="1"/>
  <c r="AA44" i="2"/>
  <c r="AM20" i="2"/>
  <c r="AL38" i="2"/>
  <c r="AM21" i="2"/>
  <c r="AL39" i="2"/>
  <c r="AL22" i="2"/>
  <c r="AK40" i="2"/>
  <c r="AK25" i="2"/>
  <c r="AK42" i="2" s="1"/>
  <c r="AN26" i="2"/>
  <c r="AV27" i="2"/>
  <c r="G9" i="2"/>
  <c r="G10" i="2" s="1"/>
  <c r="K17" i="2"/>
  <c r="F10" i="2"/>
  <c r="H9" i="2"/>
  <c r="I9" i="2"/>
  <c r="I10" i="2" s="1"/>
  <c r="E8" i="2"/>
  <c r="E9" i="2" s="1"/>
  <c r="E10" i="2" s="1"/>
  <c r="D8" i="2"/>
  <c r="C8" i="2"/>
  <c r="C9" i="2" s="1"/>
  <c r="J8" i="2"/>
  <c r="AF38" i="2"/>
  <c r="AG38" i="2"/>
  <c r="AH38" i="2"/>
  <c r="I38" i="2"/>
  <c r="H38" i="2"/>
  <c r="G38" i="2"/>
  <c r="C33" i="2"/>
  <c r="C29" i="2"/>
  <c r="C22" i="2"/>
  <c r="C25" i="2" s="1"/>
  <c r="G33" i="2"/>
  <c r="G28" i="2"/>
  <c r="G29" i="2" s="1"/>
  <c r="G22" i="2"/>
  <c r="D33" i="2"/>
  <c r="D28" i="2"/>
  <c r="D29" i="2" s="1"/>
  <c r="D22" i="2"/>
  <c r="D25" i="2" s="1"/>
  <c r="D42" i="2" s="1"/>
  <c r="H33" i="2"/>
  <c r="H28" i="2"/>
  <c r="H22" i="2"/>
  <c r="E33" i="2"/>
  <c r="E28" i="2"/>
  <c r="E29" i="2" s="1"/>
  <c r="E22" i="2"/>
  <c r="E25" i="2" s="1"/>
  <c r="E42" i="2" s="1"/>
  <c r="I33" i="2"/>
  <c r="I31" i="2"/>
  <c r="I28" i="2"/>
  <c r="I22" i="2"/>
  <c r="AL40" i="2" l="1"/>
  <c r="AL25" i="2"/>
  <c r="AL42" i="2" s="1"/>
  <c r="AN21" i="2"/>
  <c r="AM39" i="2"/>
  <c r="AM22" i="2"/>
  <c r="C30" i="2"/>
  <c r="C32" i="2" s="1"/>
  <c r="C34" i="2" s="1"/>
  <c r="C35" i="2" s="1"/>
  <c r="AN20" i="2"/>
  <c r="AM38" i="2"/>
  <c r="K18" i="2"/>
  <c r="G18" i="2"/>
  <c r="AO26" i="2"/>
  <c r="G17" i="2"/>
  <c r="AW27" i="2"/>
  <c r="H29" i="2"/>
  <c r="L29" i="2"/>
  <c r="L30" i="2" s="1"/>
  <c r="I29" i="2"/>
  <c r="M28" i="2"/>
  <c r="H25" i="2"/>
  <c r="H42" i="2" s="1"/>
  <c r="L40" i="2"/>
  <c r="I25" i="2"/>
  <c r="I42" i="2" s="1"/>
  <c r="M40" i="2"/>
  <c r="G25" i="2"/>
  <c r="G42" i="2" s="1"/>
  <c r="K40" i="2"/>
  <c r="I40" i="2"/>
  <c r="H40" i="2"/>
  <c r="G40" i="2"/>
  <c r="J17" i="2"/>
  <c r="J9" i="2"/>
  <c r="J18" i="2" s="1"/>
  <c r="D9" i="2"/>
  <c r="D10" i="2" s="1"/>
  <c r="I18" i="2"/>
  <c r="C43" i="2"/>
  <c r="I17" i="2"/>
  <c r="C42" i="2"/>
  <c r="H10" i="2"/>
  <c r="H17" i="2"/>
  <c r="D30" i="2"/>
  <c r="E30" i="2"/>
  <c r="K4" i="1"/>
  <c r="K7" i="1" s="1"/>
  <c r="F33" i="2"/>
  <c r="F31" i="2"/>
  <c r="F28" i="2"/>
  <c r="F29" i="2" s="1"/>
  <c r="F22" i="2"/>
  <c r="F25" i="2" s="1"/>
  <c r="J33" i="2"/>
  <c r="J31" i="2"/>
  <c r="J28" i="2"/>
  <c r="J22" i="2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C44" i="2" l="1"/>
  <c r="J10" i="2"/>
  <c r="M29" i="2"/>
  <c r="M30" i="2" s="1"/>
  <c r="M43" i="2" s="1"/>
  <c r="AO20" i="2"/>
  <c r="AN38" i="2"/>
  <c r="AM40" i="2"/>
  <c r="AM25" i="2"/>
  <c r="AM42" i="2" s="1"/>
  <c r="H30" i="2"/>
  <c r="H32" i="2" s="1"/>
  <c r="H44" i="2" s="1"/>
  <c r="AO21" i="2"/>
  <c r="AN39" i="2"/>
  <c r="AN22" i="2"/>
  <c r="AP26" i="2"/>
  <c r="AX27" i="2"/>
  <c r="I30" i="2"/>
  <c r="I32" i="2" s="1"/>
  <c r="I44" i="2" s="1"/>
  <c r="L43" i="2"/>
  <c r="L32" i="2"/>
  <c r="J29" i="2"/>
  <c r="N28" i="2"/>
  <c r="N29" i="2" s="1"/>
  <c r="N30" i="2" s="1"/>
  <c r="G30" i="2"/>
  <c r="G32" i="2" s="1"/>
  <c r="G44" i="2" s="1"/>
  <c r="J40" i="2"/>
  <c r="N40" i="2"/>
  <c r="H18" i="2"/>
  <c r="J25" i="2"/>
  <c r="J42" i="2" s="1"/>
  <c r="D32" i="2"/>
  <c r="D44" i="2" s="1"/>
  <c r="D43" i="2"/>
  <c r="E32" i="2"/>
  <c r="E44" i="2" s="1"/>
  <c r="E43" i="2"/>
  <c r="F30" i="2"/>
  <c r="F32" i="2" s="1"/>
  <c r="F34" i="2" s="1"/>
  <c r="F35" i="2" s="1"/>
  <c r="F42" i="2"/>
  <c r="L34" i="2" l="1"/>
  <c r="L35" i="2" s="1"/>
  <c r="L44" i="2"/>
  <c r="M32" i="2"/>
  <c r="M33" i="2" s="1"/>
  <c r="F44" i="2"/>
  <c r="AP21" i="2"/>
  <c r="AO39" i="2"/>
  <c r="AO22" i="2"/>
  <c r="I43" i="2"/>
  <c r="AP20" i="2"/>
  <c r="AO38" i="2"/>
  <c r="H43" i="2"/>
  <c r="AN40" i="2"/>
  <c r="AN25" i="2"/>
  <c r="AN42" i="2" s="1"/>
  <c r="AJ28" i="2"/>
  <c r="AQ26" i="2"/>
  <c r="AY27" i="2"/>
  <c r="N32" i="2"/>
  <c r="N33" i="2" s="1"/>
  <c r="N43" i="2"/>
  <c r="G43" i="2"/>
  <c r="J30" i="2"/>
  <c r="J32" i="2" s="1"/>
  <c r="J44" i="2" s="1"/>
  <c r="G34" i="2"/>
  <c r="G35" i="2" s="1"/>
  <c r="H34" i="2"/>
  <c r="H35" i="2" s="1"/>
  <c r="I34" i="2"/>
  <c r="I35" i="2" s="1"/>
  <c r="E34" i="2"/>
  <c r="E35" i="2" s="1"/>
  <c r="D34" i="2"/>
  <c r="D35" i="2" s="1"/>
  <c r="F43" i="2"/>
  <c r="M34" i="2" l="1"/>
  <c r="M44" i="2"/>
  <c r="N34" i="2"/>
  <c r="N35" i="2" s="1"/>
  <c r="N44" i="2"/>
  <c r="AO40" i="2"/>
  <c r="AO25" i="2"/>
  <c r="AO42" i="2" s="1"/>
  <c r="AK28" i="2"/>
  <c r="AJ29" i="2"/>
  <c r="AJ30" i="2" s="1"/>
  <c r="AQ20" i="2"/>
  <c r="AP38" i="2"/>
  <c r="AQ21" i="2"/>
  <c r="AP39" i="2"/>
  <c r="AP22" i="2"/>
  <c r="AR26" i="2"/>
  <c r="AZ27" i="2"/>
  <c r="J43" i="2"/>
  <c r="J34" i="2"/>
  <c r="J35" i="2" s="1"/>
  <c r="M35" i="2" l="1"/>
  <c r="M46" i="2"/>
  <c r="N46" i="2" s="1"/>
  <c r="AJ46" i="2" s="1"/>
  <c r="AK31" i="2" s="1"/>
  <c r="AR21" i="2"/>
  <c r="AQ39" i="2"/>
  <c r="AQ22" i="2"/>
  <c r="AR20" i="2"/>
  <c r="AQ38" i="2"/>
  <c r="AL28" i="2"/>
  <c r="AK29" i="2"/>
  <c r="AK30" i="2" s="1"/>
  <c r="AK43" i="2" s="1"/>
  <c r="AJ32" i="2"/>
  <c r="AJ33" i="2" s="1"/>
  <c r="AJ43" i="2"/>
  <c r="AP40" i="2"/>
  <c r="AP25" i="2"/>
  <c r="AP42" i="2" s="1"/>
  <c r="AS26" i="2"/>
  <c r="AJ34" i="2" l="1"/>
  <c r="AJ35" i="2" s="1"/>
  <c r="AJ44" i="2"/>
  <c r="AQ40" i="2"/>
  <c r="AQ25" i="2"/>
  <c r="AQ42" i="2" s="1"/>
  <c r="AM28" i="2"/>
  <c r="AL29" i="2"/>
  <c r="AL30" i="2" s="1"/>
  <c r="AL43" i="2" s="1"/>
  <c r="AS20" i="2"/>
  <c r="AR38" i="2"/>
  <c r="AS21" i="2"/>
  <c r="AR39" i="2"/>
  <c r="AR22" i="2"/>
  <c r="AT26" i="2"/>
  <c r="AN28" i="2" l="1"/>
  <c r="AM29" i="2"/>
  <c r="AM30" i="2" s="1"/>
  <c r="AM43" i="2" s="1"/>
  <c r="AT21" i="2"/>
  <c r="AS39" i="2"/>
  <c r="AS22" i="2"/>
  <c r="AT20" i="2"/>
  <c r="AS38" i="2"/>
  <c r="AR40" i="2"/>
  <c r="AR25" i="2"/>
  <c r="AR42" i="2" s="1"/>
  <c r="AU26" i="2"/>
  <c r="AS40" i="2" l="1"/>
  <c r="AS25" i="2"/>
  <c r="AS42" i="2" s="1"/>
  <c r="AU21" i="2"/>
  <c r="AT39" i="2"/>
  <c r="AT22" i="2"/>
  <c r="AU20" i="2"/>
  <c r="AT38" i="2"/>
  <c r="AO28" i="2"/>
  <c r="AN29" i="2"/>
  <c r="AN30" i="2" s="1"/>
  <c r="AN43" i="2" s="1"/>
  <c r="AV26" i="2"/>
  <c r="AV20" i="2" l="1"/>
  <c r="AU38" i="2"/>
  <c r="AP28" i="2"/>
  <c r="AO29" i="2"/>
  <c r="AO30" i="2" s="1"/>
  <c r="AO43" i="2" s="1"/>
  <c r="AT40" i="2"/>
  <c r="AT25" i="2"/>
  <c r="AT42" i="2" s="1"/>
  <c r="AV21" i="2"/>
  <c r="AU39" i="2"/>
  <c r="AU22" i="2"/>
  <c r="AW26" i="2"/>
  <c r="AQ28" i="2" l="1"/>
  <c r="AP29" i="2"/>
  <c r="AP30" i="2" s="1"/>
  <c r="AP43" i="2" s="1"/>
  <c r="AW21" i="2"/>
  <c r="AV39" i="2"/>
  <c r="AV22" i="2"/>
  <c r="AU40" i="2"/>
  <c r="AU25" i="2"/>
  <c r="AU42" i="2" s="1"/>
  <c r="AW20" i="2"/>
  <c r="AV38" i="2"/>
  <c r="AX26" i="2"/>
  <c r="AX20" i="2" l="1"/>
  <c r="AW38" i="2"/>
  <c r="AV40" i="2"/>
  <c r="AV25" i="2"/>
  <c r="AV42" i="2" s="1"/>
  <c r="AX21" i="2"/>
  <c r="AW39" i="2"/>
  <c r="AW22" i="2"/>
  <c r="AR28" i="2"/>
  <c r="AQ29" i="2"/>
  <c r="AQ30" i="2" s="1"/>
  <c r="AQ43" i="2" s="1"/>
  <c r="AY26" i="2"/>
  <c r="AW40" i="2" l="1"/>
  <c r="AW25" i="2"/>
  <c r="AW42" i="2" s="1"/>
  <c r="AS28" i="2"/>
  <c r="AR29" i="2"/>
  <c r="AR30" i="2" s="1"/>
  <c r="AR43" i="2" s="1"/>
  <c r="AY21" i="2"/>
  <c r="AX39" i="2"/>
  <c r="AX22" i="2"/>
  <c r="AY20" i="2"/>
  <c r="AX38" i="2"/>
  <c r="AZ26" i="2"/>
  <c r="AX40" i="2" l="1"/>
  <c r="AX25" i="2"/>
  <c r="AX42" i="2" s="1"/>
  <c r="AZ20" i="2"/>
  <c r="AZ38" i="2" s="1"/>
  <c r="AY38" i="2"/>
  <c r="AZ21" i="2"/>
  <c r="AY39" i="2"/>
  <c r="AY22" i="2"/>
  <c r="AT28" i="2"/>
  <c r="AS29" i="2"/>
  <c r="AS30" i="2" s="1"/>
  <c r="AS43" i="2" s="1"/>
  <c r="AY40" i="2" l="1"/>
  <c r="AY25" i="2"/>
  <c r="AY42" i="2" s="1"/>
  <c r="AU28" i="2"/>
  <c r="AT29" i="2"/>
  <c r="AT30" i="2" s="1"/>
  <c r="AT43" i="2" s="1"/>
  <c r="AZ39" i="2"/>
  <c r="AZ22" i="2"/>
  <c r="AZ40" i="2" l="1"/>
  <c r="AZ25" i="2"/>
  <c r="AZ42" i="2" s="1"/>
  <c r="AV28" i="2"/>
  <c r="AU29" i="2"/>
  <c r="AU30" i="2" s="1"/>
  <c r="AU43" i="2" s="1"/>
  <c r="AW28" i="2" l="1"/>
  <c r="AV29" i="2"/>
  <c r="AV30" i="2" s="1"/>
  <c r="AV43" i="2" s="1"/>
  <c r="AX28" i="2" l="1"/>
  <c r="AW29" i="2"/>
  <c r="AW30" i="2" s="1"/>
  <c r="AW43" i="2" s="1"/>
  <c r="AY28" i="2" l="1"/>
  <c r="AX29" i="2"/>
  <c r="AX30" i="2" s="1"/>
  <c r="AX43" i="2" s="1"/>
  <c r="AZ28" i="2" l="1"/>
  <c r="AZ29" i="2" s="1"/>
  <c r="AZ30" i="2" s="1"/>
  <c r="AZ43" i="2" s="1"/>
  <c r="AY29" i="2"/>
  <c r="AY30" i="2" s="1"/>
  <c r="AY43" i="2" s="1"/>
  <c r="AK32" i="2" l="1"/>
  <c r="AK33" i="2" s="1"/>
  <c r="AK44" i="2" s="1"/>
  <c r="AK34" i="2" l="1"/>
  <c r="AK46" i="2" l="1"/>
  <c r="AK35" i="2"/>
  <c r="AL31" i="2" l="1"/>
  <c r="AL32" i="2" s="1"/>
  <c r="AL33" i="2" l="1"/>
  <c r="AL44" i="2" s="1"/>
  <c r="AL34" i="2" l="1"/>
  <c r="AL35" i="2" s="1"/>
  <c r="AL46" i="2"/>
  <c r="AM31" i="2" l="1"/>
  <c r="AM32" i="2" s="1"/>
  <c r="AM33" i="2" l="1"/>
  <c r="AM44" i="2" s="1"/>
  <c r="AM34" i="2" l="1"/>
  <c r="AM35" i="2" s="1"/>
  <c r="AM46" i="2"/>
  <c r="AN31" i="2" l="1"/>
  <c r="AN32" i="2" s="1"/>
  <c r="AN33" i="2" l="1"/>
  <c r="AN44" i="2" s="1"/>
  <c r="AN34" i="2" l="1"/>
  <c r="AN35" i="2" s="1"/>
  <c r="AN46" i="2" l="1"/>
  <c r="AO31" i="2" s="1"/>
  <c r="AO32" i="2" s="1"/>
  <c r="AO33" i="2" l="1"/>
  <c r="AO44" i="2" s="1"/>
  <c r="AO34" i="2" l="1"/>
  <c r="AO35" i="2" s="1"/>
  <c r="AO46" i="2" l="1"/>
  <c r="AP31" i="2" s="1"/>
  <c r="AP32" i="2" s="1"/>
  <c r="AP33" i="2" l="1"/>
  <c r="AP44" i="2" s="1"/>
  <c r="AP34" i="2" l="1"/>
  <c r="AP35" i="2" s="1"/>
  <c r="AP46" i="2" l="1"/>
  <c r="AQ31" i="2" s="1"/>
  <c r="AQ32" i="2" s="1"/>
  <c r="AQ33" i="2" l="1"/>
  <c r="AQ44" i="2" s="1"/>
  <c r="AQ34" i="2" l="1"/>
  <c r="AQ35" i="2" s="1"/>
  <c r="AQ46" i="2" l="1"/>
  <c r="AR31" i="2" s="1"/>
  <c r="AR32" i="2" s="1"/>
  <c r="AR33" i="2" l="1"/>
  <c r="AR34" i="2" l="1"/>
  <c r="AR35" i="2" s="1"/>
  <c r="AR44" i="2"/>
  <c r="AR46" i="2" l="1"/>
  <c r="AS31" i="2"/>
  <c r="AS32" i="2" s="1"/>
  <c r="AS33" i="2" l="1"/>
  <c r="AS34" i="2" l="1"/>
  <c r="AS44" i="2"/>
  <c r="AS35" i="2"/>
  <c r="AS46" i="2"/>
  <c r="AT31" i="2" l="1"/>
  <c r="AT32" i="2" s="1"/>
  <c r="AT33" i="2" l="1"/>
  <c r="AT34" i="2" l="1"/>
  <c r="AT44" i="2"/>
  <c r="AT35" i="2"/>
  <c r="AT46" i="2"/>
  <c r="AU31" i="2" l="1"/>
  <c r="AU32" i="2" s="1"/>
  <c r="AU33" i="2" l="1"/>
  <c r="AU44" i="2" s="1"/>
  <c r="AU34" i="2" l="1"/>
  <c r="AU35" i="2" s="1"/>
  <c r="AU46" i="2" l="1"/>
  <c r="AV31" i="2" s="1"/>
  <c r="AV32" i="2" s="1"/>
  <c r="AV33" i="2" l="1"/>
  <c r="AV44" i="2" s="1"/>
  <c r="AV34" i="2"/>
  <c r="AV35" i="2" l="1"/>
  <c r="AV46" i="2"/>
  <c r="AW31" i="2" l="1"/>
  <c r="AW32" i="2" s="1"/>
  <c r="AW33" i="2" l="1"/>
  <c r="AW34" i="2" l="1"/>
  <c r="AW44" i="2"/>
  <c r="AW35" i="2"/>
  <c r="AW46" i="2"/>
  <c r="AX31" i="2" l="1"/>
  <c r="AX32" i="2" s="1"/>
  <c r="AX33" i="2" l="1"/>
  <c r="AX34" i="2" l="1"/>
  <c r="AX44" i="2"/>
  <c r="AX35" i="2"/>
  <c r="AX46" i="2"/>
  <c r="AY31" i="2" l="1"/>
  <c r="AY32" i="2" s="1"/>
  <c r="AY33" i="2" l="1"/>
  <c r="AY34" i="2" l="1"/>
  <c r="AY35" i="2" s="1"/>
  <c r="AY44" i="2"/>
  <c r="AY46" i="2" l="1"/>
  <c r="AZ31" i="2" s="1"/>
  <c r="AZ32" i="2" s="1"/>
  <c r="AZ33" i="2" l="1"/>
  <c r="AZ34" i="2" l="1"/>
  <c r="AZ44" i="2"/>
  <c r="BA34" i="2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HP34" i="2" s="1"/>
  <c r="HQ34" i="2" s="1"/>
  <c r="HR34" i="2" s="1"/>
  <c r="HS34" i="2" s="1"/>
  <c r="HT34" i="2" s="1"/>
  <c r="HU34" i="2" s="1"/>
  <c r="HV34" i="2" s="1"/>
  <c r="HW34" i="2" s="1"/>
  <c r="HX34" i="2" s="1"/>
  <c r="HY34" i="2" s="1"/>
  <c r="HZ34" i="2" s="1"/>
  <c r="IA34" i="2" s="1"/>
  <c r="IB34" i="2" s="1"/>
  <c r="IC34" i="2" s="1"/>
  <c r="ID34" i="2" s="1"/>
  <c r="IE34" i="2" s="1"/>
  <c r="IF34" i="2" s="1"/>
  <c r="IG34" i="2" s="1"/>
  <c r="IH34" i="2" s="1"/>
  <c r="II34" i="2" s="1"/>
  <c r="IJ34" i="2" s="1"/>
  <c r="IK34" i="2" s="1"/>
  <c r="IL34" i="2" s="1"/>
  <c r="IM34" i="2" s="1"/>
  <c r="IN34" i="2" s="1"/>
  <c r="IO34" i="2" s="1"/>
  <c r="IP34" i="2" s="1"/>
  <c r="IQ34" i="2" s="1"/>
  <c r="IR34" i="2" s="1"/>
  <c r="IS34" i="2" s="1"/>
  <c r="IT34" i="2" s="1"/>
  <c r="IU34" i="2" s="1"/>
  <c r="IV34" i="2" s="1"/>
  <c r="IW34" i="2" s="1"/>
  <c r="IX34" i="2" s="1"/>
  <c r="IY34" i="2" s="1"/>
  <c r="IZ34" i="2" s="1"/>
  <c r="JA34" i="2" s="1"/>
  <c r="JB34" i="2" s="1"/>
  <c r="JC34" i="2" s="1"/>
  <c r="JD34" i="2" s="1"/>
  <c r="JE34" i="2" s="1"/>
  <c r="JF34" i="2" s="1"/>
  <c r="JG34" i="2" s="1"/>
  <c r="JH34" i="2" s="1"/>
  <c r="JI34" i="2" s="1"/>
  <c r="JJ34" i="2" s="1"/>
  <c r="JK34" i="2" s="1"/>
  <c r="JL34" i="2" s="1"/>
  <c r="JM34" i="2" s="1"/>
  <c r="JN34" i="2" s="1"/>
  <c r="JO34" i="2" s="1"/>
  <c r="JP34" i="2" s="1"/>
  <c r="JQ34" i="2" s="1"/>
  <c r="JR34" i="2" s="1"/>
  <c r="JS34" i="2" s="1"/>
  <c r="JT34" i="2" s="1"/>
  <c r="BC42" i="2" s="1"/>
  <c r="AZ35" i="2"/>
  <c r="AZ46" i="2"/>
  <c r="BC43" i="2" l="1"/>
  <c r="BC45" i="2" s="1"/>
  <c r="BC47" i="2" s="1"/>
</calcChain>
</file>

<file path=xl/sharedStrings.xml><?xml version="1.0" encoding="utf-8"?>
<sst xmlns="http://schemas.openxmlformats.org/spreadsheetml/2006/main" count="93" uniqueCount="78">
  <si>
    <t>Price</t>
  </si>
  <si>
    <t>Shares</t>
  </si>
  <si>
    <t>MC</t>
  </si>
  <si>
    <t>Cash</t>
  </si>
  <si>
    <t>Debt</t>
  </si>
  <si>
    <t>EV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</si>
  <si>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</si>
  <si>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</si>
  <si>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</si>
  <si>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</si>
  <si>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</si>
  <si>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</si>
  <si>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</si>
  <si>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</si>
  <si>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</si>
  <si>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</si>
  <si>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</si>
  <si>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</si>
  <si>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</si>
  <si>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Product Sales</t>
  </si>
  <si>
    <t>Services Sales</t>
  </si>
  <si>
    <t>COGS</t>
  </si>
  <si>
    <t>Gross Margin</t>
  </si>
  <si>
    <t>Fulfillment</t>
  </si>
  <si>
    <t>Marketing</t>
  </si>
  <si>
    <t>Technology and content</t>
  </si>
  <si>
    <t>G&amp;A</t>
  </si>
  <si>
    <t>Operating Costs</t>
  </si>
  <si>
    <t>Operating Income</t>
  </si>
  <si>
    <t>Interest Income</t>
  </si>
  <si>
    <t>Pretax Income</t>
  </si>
  <si>
    <t>Taxes</t>
  </si>
  <si>
    <t>Net Income</t>
  </si>
  <si>
    <t>EPS</t>
  </si>
  <si>
    <t>Operating Margin</t>
  </si>
  <si>
    <t>Revenue Growth</t>
  </si>
  <si>
    <t>Product Growth</t>
  </si>
  <si>
    <t>WMT</t>
  </si>
  <si>
    <t>EBAY</t>
  </si>
  <si>
    <t>AMZN</t>
  </si>
  <si>
    <t>TGT</t>
  </si>
  <si>
    <t>Market Share</t>
  </si>
  <si>
    <t>Total</t>
  </si>
  <si>
    <t>Commerce Growth</t>
  </si>
  <si>
    <t>HD</t>
  </si>
  <si>
    <t>COST</t>
  </si>
  <si>
    <t>Services Growth</t>
  </si>
  <si>
    <t>Inventories</t>
  </si>
  <si>
    <t>AR</t>
  </si>
  <si>
    <t>PP&amp;E</t>
  </si>
  <si>
    <t>Goodwill</t>
  </si>
  <si>
    <t>OA</t>
  </si>
  <si>
    <t>Assets</t>
  </si>
  <si>
    <t>AP</t>
  </si>
  <si>
    <t>AE</t>
  </si>
  <si>
    <t>DR</t>
  </si>
  <si>
    <t>OLTL</t>
  </si>
  <si>
    <t>S/E</t>
  </si>
  <si>
    <t>L+S/E</t>
  </si>
  <si>
    <t>Net Cash</t>
  </si>
  <si>
    <t>Gross Profit</t>
  </si>
  <si>
    <t>A/R</t>
  </si>
  <si>
    <t>Total WC</t>
  </si>
  <si>
    <t>NI</t>
  </si>
  <si>
    <t>Annual Return</t>
  </si>
  <si>
    <t>ROIC</t>
  </si>
  <si>
    <t>Maturity</t>
  </si>
  <si>
    <t>Discount</t>
  </si>
  <si>
    <t>NPV</t>
  </si>
  <si>
    <t>Net</t>
  </si>
  <si>
    <t>Share</t>
  </si>
  <si>
    <t>Current</t>
  </si>
  <si>
    <t>Tax Rate</t>
  </si>
  <si>
    <t>Total U.S. Retail Sales</t>
  </si>
  <si>
    <t>Online U.S. Retail Sales</t>
  </si>
  <si>
    <t>Amazon net sales</t>
  </si>
  <si>
    <t>US Penetration of Online Retail</t>
  </si>
  <si>
    <t>US Penetration of Total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</si>
</sst>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9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9" fontId="0" fillId="0" borderId="0" xfId="0" applyNumberFormat="1" applyBorder="1"/>
    <xf numFmtId="9" fontId="0" fillId="0" borderId="5" xfId="0" applyNumberFormat="1" applyBorder="1"/>
    <xf numFmtId="3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0</xdr:rowOff>
    </xdr:from>
    <xdr:to>
      <xdr:col>12</xdr:col>
      <xdr:colOff>66675</xdr:colOff>
      <xdr:row>68</xdr:row>
      <xdr:rowOff>95250</xdr:rowOff>
    </xdr:to>
    <xdr:cxnSp macro="">
      <xdr:nvCxnSpPr>
        <xdr:cNvPr id="3" name="Straight Connector 2"/>
        <xdr:cNvCxnSpPr/>
      </xdr:nvCxnSpPr>
      <xdr:spPr>
        <a:xfrm>
          <a:off x="8172450" y="0"/>
          <a:ext cx="0" cy="1110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66675</xdr:colOff>
      <xdr:row>0</xdr:row>
      <xdr:rowOff>0</xdr:rowOff>
    </xdr:from>
    <xdr:to>
      <xdr:col>35</xdr:col>
      <xdr:colOff>66675</xdr:colOff>
      <xdr:row>56</xdr:row>
      <xdr:rowOff>85725</xdr:rowOff>
    </xdr:to>
    <xdr:cxnSp macro="">
      <xdr:nvCxnSpPr>
        <xdr:cNvPr id="4" name="Straight Connector 3"/>
        <xdr:cNvCxnSpPr/>
      </xdr:nvCxnSpPr>
      <xdr:spPr>
        <a:xfrm>
          <a:off x="22193250" y="0"/>
          <a:ext cx="0" cy="915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abSelected="1" workbookViewId="0">
      <selection activeCell="H10" sqref="H10"/>
    </sheetView>
  </sheetViews>
  <sheetFormatPr defaultRowHeight="12.75" x14ac:dyDescent="0.2"/>
  <cols>
    <col min="2" max="2" width="28.7109375" customWidth="1"/>
    <col min="14" max="14" width="14" customWidth="1"/>
  </cols>
  <sheetData>
    <row r="1" spans="2:15" x14ac:dyDescent="0.2">
      <c r="L1" s="2"/>
    </row>
    <row r="2" spans="2:15" x14ac:dyDescent="0.2">
      <c r="B2" s="35"/>
      <c r="C2" s="36">
        <v>2010</v>
      </c>
      <c r="D2" s="36">
        <f>C2+1</f>
        <v>2011</v>
      </c>
      <c r="E2" s="36">
        <f t="shared" ref="E2:H2" si="0">D2+1</f>
        <v>2012</v>
      </c>
      <c r="F2" s="36">
        <f t="shared" si="0"/>
        <v>2013</v>
      </c>
      <c r="G2" s="36">
        <f t="shared" si="0"/>
        <v>2014</v>
      </c>
      <c r="H2" s="37">
        <f t="shared" si="0"/>
        <v>2015</v>
      </c>
      <c r="J2" t="s">
        <v>0</v>
      </c>
      <c r="K2" s="1">
        <v>829.53</v>
      </c>
      <c r="L2" s="2"/>
      <c r="N2" t="s">
        <v>47</v>
      </c>
      <c r="O2">
        <v>9588</v>
      </c>
    </row>
    <row r="3" spans="2:15" x14ac:dyDescent="0.2">
      <c r="B3" s="24" t="s">
        <v>73</v>
      </c>
      <c r="C3" s="25">
        <v>3850</v>
      </c>
      <c r="D3" s="25">
        <v>4110</v>
      </c>
      <c r="E3" s="25">
        <v>4310</v>
      </c>
      <c r="F3" s="25">
        <v>4470</v>
      </c>
      <c r="G3" s="25">
        <v>4630</v>
      </c>
      <c r="H3" s="26">
        <v>4785</v>
      </c>
      <c r="J3" t="s">
        <v>1</v>
      </c>
      <c r="K3" s="3">
        <v>474</v>
      </c>
      <c r="L3" s="2" t="s">
        <v>15</v>
      </c>
      <c r="N3" t="s">
        <v>61</v>
      </c>
      <c r="O3" s="4">
        <v>6092</v>
      </c>
    </row>
    <row r="4" spans="2:15" x14ac:dyDescent="0.2">
      <c r="B4" s="27" t="s">
        <v>74</v>
      </c>
      <c r="C4" s="28">
        <v>165</v>
      </c>
      <c r="D4" s="28">
        <v>194</v>
      </c>
      <c r="E4" s="28">
        <v>225</v>
      </c>
      <c r="F4" s="28">
        <v>261</v>
      </c>
      <c r="G4" s="28">
        <v>298</v>
      </c>
      <c r="H4" s="29">
        <v>343</v>
      </c>
      <c r="J4" t="s">
        <v>2</v>
      </c>
      <c r="K4" s="3">
        <f>+K3*K2</f>
        <v>393197.22</v>
      </c>
      <c r="L4" s="2"/>
      <c r="N4" t="s">
        <v>49</v>
      </c>
      <c r="O4" s="4">
        <v>25190</v>
      </c>
    </row>
    <row r="5" spans="2:15" x14ac:dyDescent="0.2">
      <c r="B5" s="27" t="s">
        <v>75</v>
      </c>
      <c r="C5" s="28">
        <v>34</v>
      </c>
      <c r="D5" s="28">
        <v>48</v>
      </c>
      <c r="E5" s="28">
        <v>61</v>
      </c>
      <c r="F5" s="28">
        <v>74</v>
      </c>
      <c r="G5" s="28">
        <v>89</v>
      </c>
      <c r="H5" s="29">
        <v>107</v>
      </c>
      <c r="J5" t="s">
        <v>3</v>
      </c>
      <c r="K5" s="3">
        <f>12521+4019</f>
        <v>16540</v>
      </c>
      <c r="L5" s="2" t="s">
        <v>15</v>
      </c>
      <c r="N5" t="s">
        <v>51</v>
      </c>
      <c r="O5" s="4">
        <v>3892</v>
      </c>
    </row>
    <row r="6" spans="2:15" x14ac:dyDescent="0.2">
      <c r="B6" s="27" t="s">
        <v>76</v>
      </c>
      <c r="C6" s="30">
        <f>C5/C4</f>
        <v>0.20606060606060606</v>
      </c>
      <c r="D6" s="30">
        <f>D5/D4</f>
        <v>0.24742268041237114</v>
      </c>
      <c r="E6" s="30">
        <f>E5/E4</f>
        <v>0.27111111111111114</v>
      </c>
      <c r="F6" s="30">
        <f>F5/F4</f>
        <v>0.28352490421455939</v>
      </c>
      <c r="G6" s="30">
        <f>G5/G4</f>
        <v>0.29865771812080538</v>
      </c>
      <c r="H6" s="31">
        <f>H5/H4</f>
        <v>0.31195335276967928</v>
      </c>
      <c r="J6" t="s">
        <v>4</v>
      </c>
      <c r="K6" s="3">
        <v>8212</v>
      </c>
      <c r="L6" s="2" t="s">
        <v>15</v>
      </c>
      <c r="N6" t="s">
        <v>62</v>
      </c>
      <c r="O6" s="3">
        <f>SUM(O2:O5)</f>
        <v>44762</v>
      </c>
    </row>
    <row r="7" spans="2:15" x14ac:dyDescent="0.2">
      <c r="B7" s="32" t="s">
        <v>77</v>
      </c>
      <c r="C7" s="33">
        <f>C5/C3</f>
        <v>8.831168831168832E-3</v>
      </c>
      <c r="D7" s="33">
        <f>D5/D3</f>
        <v>1.167883211678832E-2</v>
      </c>
      <c r="E7" s="33">
        <f>E5/E3</f>
        <v>1.4153132250580047E-2</v>
      </c>
      <c r="F7" s="33">
        <f>F5/F3</f>
        <v>1.6554809843400447E-2</v>
      </c>
      <c r="G7" s="33">
        <f>G5/G3</f>
        <v>1.9222462203023757E-2</v>
      </c>
      <c r="H7" s="34">
        <f>H5/H3</f>
        <v>2.2361546499477535E-2</v>
      </c>
      <c r="J7" t="s">
        <v>5</v>
      </c>
      <c r="K7" s="3">
        <f>+K4-K5+K6</f>
        <v>384869.22</v>
      </c>
      <c r="L7" s="2"/>
      <c r="N7" t="s">
        <v>63</v>
      </c>
      <c r="O7" s="4">
        <v>596</v>
      </c>
    </row>
    <row r="8" spans="2:15" x14ac:dyDescent="0.2">
      <c r="L8" s="2"/>
      <c r="N8" t="s">
        <v>64</v>
      </c>
      <c r="O8" s="21">
        <f>O7/O6</f>
        <v>1.3314865287520666E-2</v>
      </c>
    </row>
    <row r="9" spans="2:15" x14ac:dyDescent="0.2">
      <c r="K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T6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XFD20"/>
    </sheetView>
  </sheetViews>
  <sheetFormatPr defaultRowHeight="12.75" x14ac:dyDescent="0.2"/>
  <cols>
    <col min="2" max="2" width="25.42578125" customWidth="1"/>
    <col min="3" max="12" width="9.140625" style="2"/>
    <col min="13" max="13" width="9.140625" style="2" customWidth="1"/>
    <col min="14" max="14" width="9.140625" style="2"/>
    <col min="55" max="55" width="10.28515625" customWidth="1"/>
  </cols>
  <sheetData>
    <row r="2" spans="2:52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>
        <f>+Q2-1</f>
        <v>1996</v>
      </c>
      <c r="Q2">
        <f>+R2-1</f>
        <v>1997</v>
      </c>
      <c r="R2">
        <f>+S2-1</f>
        <v>1998</v>
      </c>
      <c r="S2">
        <f>+T2-1</f>
        <v>1999</v>
      </c>
      <c r="T2">
        <f>+U2-1</f>
        <v>2000</v>
      </c>
      <c r="U2">
        <f>+V2-1</f>
        <v>2001</v>
      </c>
      <c r="V2">
        <f>+W2-1</f>
        <v>2002</v>
      </c>
      <c r="W2">
        <f>+X2-1</f>
        <v>2003</v>
      </c>
      <c r="X2">
        <f>+Y2-1</f>
        <v>2004</v>
      </c>
      <c r="Y2">
        <f>+Z2-1</f>
        <v>2005</v>
      </c>
      <c r="Z2">
        <f>+AA2-1</f>
        <v>2006</v>
      </c>
      <c r="AA2">
        <f>+AB2-1</f>
        <v>2007</v>
      </c>
      <c r="AB2">
        <f>+AC2-1</f>
        <v>2008</v>
      </c>
      <c r="AC2">
        <f>+AD2-1</f>
        <v>2009</v>
      </c>
      <c r="AD2">
        <f>+AE2-1</f>
        <v>2010</v>
      </c>
      <c r="AE2">
        <v>2011</v>
      </c>
      <c r="AF2">
        <v>2012</v>
      </c>
      <c r="AG2">
        <v>2013</v>
      </c>
      <c r="AH2">
        <f>+AG2+1</f>
        <v>2014</v>
      </c>
      <c r="AI2">
        <f>+AH2+1</f>
        <v>2015</v>
      </c>
      <c r="AJ2">
        <f>+AI2+1</f>
        <v>2016</v>
      </c>
      <c r="AK2">
        <f>+AJ2+1</f>
        <v>2017</v>
      </c>
      <c r="AL2">
        <f>+AK2+1</f>
        <v>2018</v>
      </c>
      <c r="AM2">
        <f>+AL2+1</f>
        <v>2019</v>
      </c>
      <c r="AN2">
        <f>+AM2+1</f>
        <v>2020</v>
      </c>
      <c r="AO2">
        <f>+AN2+1</f>
        <v>2021</v>
      </c>
      <c r="AP2">
        <f>+AO2+1</f>
        <v>2022</v>
      </c>
      <c r="AQ2">
        <f>+AP2+1</f>
        <v>2023</v>
      </c>
      <c r="AR2">
        <f>+AQ2+1</f>
        <v>2024</v>
      </c>
      <c r="AS2">
        <f>+AR2+1</f>
        <v>2025</v>
      </c>
      <c r="AT2">
        <f>+AS2+1</f>
        <v>2026</v>
      </c>
      <c r="AU2">
        <f>+AT2+1</f>
        <v>2027</v>
      </c>
      <c r="AV2">
        <f>+AU2+1</f>
        <v>2028</v>
      </c>
      <c r="AW2">
        <f>+AV2+1</f>
        <v>2029</v>
      </c>
      <c r="AX2">
        <f>+AW2+1</f>
        <v>2030</v>
      </c>
      <c r="AY2">
        <f>+AX2+1</f>
        <v>2031</v>
      </c>
      <c r="AZ2">
        <f>+AY2+1</f>
        <v>2032</v>
      </c>
    </row>
    <row r="3" spans="2:52" x14ac:dyDescent="0.2">
      <c r="B3" t="s">
        <v>45</v>
      </c>
      <c r="C3" s="4">
        <v>25233</v>
      </c>
      <c r="D3" s="4">
        <v>34755</v>
      </c>
      <c r="E3" s="4">
        <v>26284</v>
      </c>
      <c r="F3" s="4">
        <v>26872</v>
      </c>
      <c r="G3" s="4">
        <v>25517</v>
      </c>
      <c r="H3" s="4">
        <v>34993</v>
      </c>
      <c r="I3" s="4">
        <v>26627</v>
      </c>
      <c r="J3" s="4">
        <v>27567</v>
      </c>
      <c r="K3" s="4">
        <v>26151</v>
      </c>
    </row>
    <row r="4" spans="2:52" x14ac:dyDescent="0.2">
      <c r="B4" s="3" t="s">
        <v>44</v>
      </c>
      <c r="C4" s="4">
        <v>19687</v>
      </c>
      <c r="D4" s="4">
        <v>23811</v>
      </c>
      <c r="E4" s="4">
        <v>20516</v>
      </c>
      <c r="F4" s="4">
        <v>19162</v>
      </c>
      <c r="G4" s="4">
        <v>20891</v>
      </c>
      <c r="H4" s="4">
        <v>24829</v>
      </c>
      <c r="I4" s="4">
        <v>21819</v>
      </c>
      <c r="J4" s="4">
        <v>20980</v>
      </c>
      <c r="K4" s="4">
        <v>26472</v>
      </c>
    </row>
    <row r="5" spans="2:52" x14ac:dyDescent="0.2">
      <c r="B5" s="3" t="s">
        <v>40</v>
      </c>
      <c r="C5" s="8">
        <v>16657</v>
      </c>
      <c r="D5" s="8">
        <v>16957</v>
      </c>
      <c r="E5" s="8">
        <v>17254</v>
      </c>
      <c r="F5" s="8">
        <v>21751</v>
      </c>
      <c r="G5" s="8">
        <v>17119</v>
      </c>
      <c r="H5" s="8">
        <v>17427</v>
      </c>
      <c r="I5" s="8">
        <v>17613</v>
      </c>
      <c r="J5" s="8">
        <v>21626</v>
      </c>
      <c r="K5" s="4">
        <v>16169</v>
      </c>
    </row>
    <row r="6" spans="2:52" x14ac:dyDescent="0.2">
      <c r="B6" s="3" t="s">
        <v>37</v>
      </c>
      <c r="C6" s="4">
        <v>114167</v>
      </c>
      <c r="D6" s="4">
        <v>119336</v>
      </c>
      <c r="E6" s="4">
        <v>118076</v>
      </c>
      <c r="F6" s="4">
        <v>130650</v>
      </c>
      <c r="G6" s="4">
        <v>114002</v>
      </c>
      <c r="H6" s="4">
        <v>119330</v>
      </c>
      <c r="I6" s="4">
        <v>116598</v>
      </c>
      <c r="J6" s="4">
        <v>128684</v>
      </c>
      <c r="K6" s="4">
        <v>119405</v>
      </c>
    </row>
    <row r="7" spans="2:52" x14ac:dyDescent="0.2">
      <c r="B7" s="3" t="s">
        <v>38</v>
      </c>
      <c r="C7" s="4"/>
      <c r="D7" s="4">
        <v>20485</v>
      </c>
      <c r="E7" s="4">
        <v>20034</v>
      </c>
      <c r="F7" s="8">
        <v>21794</v>
      </c>
      <c r="G7" s="8">
        <v>20151</v>
      </c>
      <c r="H7" s="8">
        <v>20061</v>
      </c>
      <c r="I7" s="8">
        <v>19601</v>
      </c>
      <c r="J7" s="8">
        <v>21860</v>
      </c>
      <c r="K7" s="4">
        <v>22300</v>
      </c>
    </row>
    <row r="8" spans="2:52" x14ac:dyDescent="0.2">
      <c r="B8" s="3" t="s">
        <v>39</v>
      </c>
      <c r="C8" s="4">
        <f t="shared" ref="C8:K8" si="0">+C20</f>
        <v>15705</v>
      </c>
      <c r="D8" s="4">
        <f t="shared" si="0"/>
        <v>15251</v>
      </c>
      <c r="E8" s="4">
        <f t="shared" si="0"/>
        <v>16022</v>
      </c>
      <c r="F8" s="4">
        <f t="shared" si="0"/>
        <v>23102</v>
      </c>
      <c r="G8" s="4">
        <f t="shared" si="0"/>
        <v>17084</v>
      </c>
      <c r="H8" s="4">
        <f t="shared" si="0"/>
        <v>17104</v>
      </c>
      <c r="I8" s="4">
        <f t="shared" si="0"/>
        <v>18463</v>
      </c>
      <c r="J8" s="4">
        <f t="shared" si="0"/>
        <v>26618</v>
      </c>
      <c r="K8" s="4">
        <f t="shared" si="0"/>
        <v>20581</v>
      </c>
      <c r="L8" s="4"/>
    </row>
    <row r="9" spans="2:52" s="13" customFormat="1" x14ac:dyDescent="0.2">
      <c r="B9" s="5" t="s">
        <v>42</v>
      </c>
      <c r="C9" s="6">
        <f>SUM(C3:C8)</f>
        <v>191449</v>
      </c>
      <c r="D9" s="6">
        <f>SUM(D3:D8)</f>
        <v>230595</v>
      </c>
      <c r="E9" s="6">
        <f>SUM(E3:E8)</f>
        <v>218186</v>
      </c>
      <c r="F9" s="6">
        <f>SUM(F3:F8)</f>
        <v>243331</v>
      </c>
      <c r="G9" s="6">
        <f>SUM(G3:G8)</f>
        <v>214764</v>
      </c>
      <c r="H9" s="6">
        <f>SUM(H3:H8)</f>
        <v>233744</v>
      </c>
      <c r="I9" s="6">
        <f>SUM(I3:I8)</f>
        <v>220721</v>
      </c>
      <c r="J9" s="6">
        <f>SUM(J3:J8)</f>
        <v>247335</v>
      </c>
      <c r="K9" s="6">
        <f>SUM(K3:K8)</f>
        <v>231078</v>
      </c>
      <c r="L9" s="14"/>
      <c r="M9" s="14"/>
      <c r="N9" s="14"/>
    </row>
    <row r="10" spans="2:52" x14ac:dyDescent="0.2">
      <c r="B10" t="s">
        <v>41</v>
      </c>
      <c r="D10" s="15">
        <f>D8/D9</f>
        <v>6.613760055508576E-2</v>
      </c>
      <c r="E10" s="15">
        <f>E8/E9</f>
        <v>7.3432759205448561E-2</v>
      </c>
      <c r="F10" s="15">
        <f>F8/F9</f>
        <v>9.4940636417061533E-2</v>
      </c>
      <c r="G10" s="15">
        <f>G8/G9</f>
        <v>7.9547782682386242E-2</v>
      </c>
      <c r="H10" s="15">
        <f>H8/H9</f>
        <v>7.3174070778287359E-2</v>
      </c>
      <c r="I10" s="15">
        <f>I8/I9</f>
        <v>8.364858803648044E-2</v>
      </c>
      <c r="J10" s="15">
        <f>J8/J9</f>
        <v>0.10761922089473791</v>
      </c>
      <c r="K10" s="15">
        <f>K8/K9</f>
        <v>8.9065164143709047E-2</v>
      </c>
    </row>
    <row r="11" spans="2:52" x14ac:dyDescent="0.2">
      <c r="H11" s="15"/>
      <c r="I11" s="15"/>
      <c r="J11" s="15"/>
    </row>
    <row r="12" spans="2:52" x14ac:dyDescent="0.2">
      <c r="B12" t="s">
        <v>45</v>
      </c>
      <c r="G12" s="15">
        <f>G3/C3-1</f>
        <v>1.1255102445210552E-2</v>
      </c>
      <c r="H12" s="15">
        <f>H3/D3-1</f>
        <v>6.8479355488419991E-3</v>
      </c>
      <c r="I12" s="15">
        <f>I3/E3-1</f>
        <v>1.3049764115050877E-2</v>
      </c>
      <c r="J12" s="15">
        <f>J3/F3-1</f>
        <v>2.5863352188151278E-2</v>
      </c>
      <c r="K12" s="15">
        <f>K3/G3-1</f>
        <v>2.4846180977387666E-2</v>
      </c>
    </row>
    <row r="13" spans="2:52" x14ac:dyDescent="0.2">
      <c r="B13" s="3" t="s">
        <v>44</v>
      </c>
      <c r="G13" s="15">
        <f>G4/C4-1</f>
        <v>6.1157108751968225E-2</v>
      </c>
      <c r="H13" s="15">
        <f>H4/D4-1</f>
        <v>4.2753349292343978E-2</v>
      </c>
      <c r="I13" s="15">
        <f>I4/E4-1</f>
        <v>6.3511405732111559E-2</v>
      </c>
      <c r="J13" s="15">
        <f>J4/F4-1</f>
        <v>9.4875273979751595E-2</v>
      </c>
      <c r="K13" s="15">
        <f>K4/G4-1</f>
        <v>0.26714853286104057</v>
      </c>
    </row>
    <row r="14" spans="2:52" x14ac:dyDescent="0.2">
      <c r="B14" s="3" t="s">
        <v>40</v>
      </c>
      <c r="G14" s="15">
        <f>G5/C5-1</f>
        <v>2.7736086930419734E-2</v>
      </c>
      <c r="H14" s="15">
        <f>H5/D5-1</f>
        <v>2.7717166951701344E-2</v>
      </c>
      <c r="I14" s="15">
        <f>I5/E5-1</f>
        <v>2.0806769444766449E-2</v>
      </c>
      <c r="J14" s="15">
        <f>J5/F5-1</f>
        <v>-5.7468622132316183E-3</v>
      </c>
      <c r="K14" s="15">
        <f>K5/G5-1</f>
        <v>-5.5493895671476112E-2</v>
      </c>
    </row>
    <row r="15" spans="2:52" x14ac:dyDescent="0.2">
      <c r="B15" s="3" t="s">
        <v>37</v>
      </c>
      <c r="G15" s="15">
        <f>G6/C6-1</f>
        <v>-1.4452512547408203E-3</v>
      </c>
      <c r="H15" s="15">
        <f>H6/D6-1</f>
        <v>-5.0278206073617326E-5</v>
      </c>
      <c r="I15" s="15">
        <f>I6/E6-1</f>
        <v>-1.2517361699244556E-2</v>
      </c>
      <c r="J15" s="15">
        <f>J6/F6-1</f>
        <v>-1.5047837734404879E-2</v>
      </c>
      <c r="K15" s="15">
        <f>K6/G6-1</f>
        <v>4.7393905370081146E-2</v>
      </c>
    </row>
    <row r="16" spans="2:52" x14ac:dyDescent="0.2">
      <c r="B16" s="3" t="s">
        <v>38</v>
      </c>
      <c r="G16" s="15"/>
      <c r="H16" s="15">
        <f>H7/D7-1</f>
        <v>-2.0698071759824299E-2</v>
      </c>
      <c r="I16" s="15">
        <f>I7/E7-1</f>
        <v>-2.1613257462314017E-2</v>
      </c>
      <c r="J16" s="15">
        <f>J7/F7-1</f>
        <v>3.0283564283748454E-3</v>
      </c>
      <c r="K16" s="15">
        <f>K7/G7-1</f>
        <v>0.10664483152200877</v>
      </c>
    </row>
    <row r="17" spans="2:52" x14ac:dyDescent="0.2">
      <c r="B17" s="3" t="s">
        <v>39</v>
      </c>
      <c r="G17" s="15">
        <f>G8/C8-1</f>
        <v>8.7806431072906754E-2</v>
      </c>
      <c r="H17" s="15">
        <f>H8/D8-1</f>
        <v>0.12150022949314798</v>
      </c>
      <c r="I17" s="15">
        <f>I8/E8-1</f>
        <v>0.15235301460491835</v>
      </c>
      <c r="J17" s="15">
        <f>J8/F8-1</f>
        <v>0.15219461518483257</v>
      </c>
      <c r="K17" s="15">
        <f>K8/G8-1</f>
        <v>0.20469445094825578</v>
      </c>
    </row>
    <row r="18" spans="2:52" x14ac:dyDescent="0.2">
      <c r="B18" t="s">
        <v>43</v>
      </c>
      <c r="G18" s="15">
        <f>G9/C9-1</f>
        <v>0.12178178000407414</v>
      </c>
      <c r="H18" s="15">
        <f>H9/D9-1</f>
        <v>1.3655976929248359E-2</v>
      </c>
      <c r="I18" s="15">
        <f>I9/E9-1</f>
        <v>1.1618527311559879E-2</v>
      </c>
      <c r="J18" s="15">
        <f>J9/F9-1</f>
        <v>1.645495230776195E-2</v>
      </c>
      <c r="K18" s="15">
        <f>K9/G9-1</f>
        <v>7.5962451807565445E-2</v>
      </c>
    </row>
    <row r="19" spans="2:52" x14ac:dyDescent="0.2">
      <c r="G19" s="15"/>
      <c r="H19" s="15"/>
      <c r="I19" s="15"/>
      <c r="J19" s="15"/>
      <c r="K19" s="15"/>
    </row>
    <row r="20" spans="2:52" s="3" customFormat="1" x14ac:dyDescent="0.2">
      <c r="B20" s="3" t="s">
        <v>19</v>
      </c>
      <c r="C20" s="4">
        <v>15705</v>
      </c>
      <c r="D20" s="4">
        <v>15251</v>
      </c>
      <c r="E20" s="4">
        <v>16022</v>
      </c>
      <c r="F20" s="4">
        <v>23102</v>
      </c>
      <c r="G20" s="4">
        <v>17084</v>
      </c>
      <c r="H20" s="4">
        <v>17104</v>
      </c>
      <c r="I20" s="4">
        <v>18463</v>
      </c>
      <c r="J20" s="4">
        <v>26618</v>
      </c>
      <c r="K20" s="4">
        <v>20581</v>
      </c>
      <c r="L20" s="4">
        <v>21116</v>
      </c>
      <c r="M20" s="4">
        <f>+I20*1.15</f>
        <v>21232.449999999997</v>
      </c>
      <c r="N20" s="4">
        <f>+J20*1.15</f>
        <v>30610.699999999997</v>
      </c>
      <c r="AE20" s="3">
        <v>42000</v>
      </c>
      <c r="AF20" s="3">
        <v>51733</v>
      </c>
      <c r="AG20" s="3">
        <v>60903</v>
      </c>
      <c r="AH20" s="3">
        <v>70080</v>
      </c>
      <c r="AI20" s="3">
        <v>79268</v>
      </c>
      <c r="AJ20" s="3">
        <f>SUM(K20:N20)</f>
        <v>93540.15</v>
      </c>
      <c r="AK20" s="3">
        <f>AJ20*1.15</f>
        <v>107571.17249999999</v>
      </c>
      <c r="AL20" s="3">
        <f t="shared" ref="AL20:AZ20" si="1">AK20*1.15</f>
        <v>123706.84837499997</v>
      </c>
      <c r="AM20" s="3">
        <f t="shared" si="1"/>
        <v>142262.87563124995</v>
      </c>
      <c r="AN20" s="3">
        <f t="shared" si="1"/>
        <v>163602.30697593742</v>
      </c>
      <c r="AO20" s="3">
        <f t="shared" si="1"/>
        <v>188142.65302232801</v>
      </c>
      <c r="AP20" s="3">
        <f t="shared" si="1"/>
        <v>216364.05097567721</v>
      </c>
      <c r="AQ20" s="3">
        <f t="shared" si="1"/>
        <v>248818.65862202877</v>
      </c>
      <c r="AR20" s="3">
        <f t="shared" si="1"/>
        <v>286141.45741533308</v>
      </c>
      <c r="AS20" s="3">
        <f t="shared" si="1"/>
        <v>329062.67602763302</v>
      </c>
      <c r="AT20" s="3">
        <f t="shared" si="1"/>
        <v>378422.07743177796</v>
      </c>
      <c r="AU20" s="3">
        <f t="shared" si="1"/>
        <v>435185.38904654462</v>
      </c>
      <c r="AV20" s="3">
        <f t="shared" si="1"/>
        <v>500463.19740352628</v>
      </c>
      <c r="AW20" s="3">
        <f t="shared" si="1"/>
        <v>575532.6770140552</v>
      </c>
      <c r="AX20" s="3">
        <f t="shared" si="1"/>
        <v>661862.57856616343</v>
      </c>
      <c r="AY20" s="3">
        <f t="shared" si="1"/>
        <v>761141.96535108786</v>
      </c>
      <c r="AZ20" s="3">
        <f t="shared" si="1"/>
        <v>875313.26015375101</v>
      </c>
    </row>
    <row r="21" spans="2:52" s="3" customFormat="1" x14ac:dyDescent="0.2">
      <c r="B21" s="3" t="s">
        <v>20</v>
      </c>
      <c r="C21" s="4">
        <v>4036</v>
      </c>
      <c r="D21" s="4">
        <v>4089</v>
      </c>
      <c r="E21" s="4">
        <v>4557</v>
      </c>
      <c r="F21" s="4">
        <v>6226</v>
      </c>
      <c r="G21" s="4">
        <v>5633</v>
      </c>
      <c r="H21" s="4">
        <v>6081</v>
      </c>
      <c r="I21" s="4">
        <v>6895</v>
      </c>
      <c r="J21" s="4">
        <v>9129</v>
      </c>
      <c r="K21" s="4">
        <v>8547</v>
      </c>
      <c r="L21" s="4">
        <v>9288</v>
      </c>
      <c r="M21" s="4">
        <f t="shared" ref="M21:N21" si="2">+I21*1.4</f>
        <v>9653</v>
      </c>
      <c r="N21" s="4">
        <f t="shared" si="2"/>
        <v>12780.599999999999</v>
      </c>
      <c r="Z21" s="20"/>
      <c r="AA21" s="20"/>
      <c r="AB21" s="20"/>
      <c r="AE21" s="3">
        <v>6077</v>
      </c>
      <c r="AF21" s="3">
        <v>9360</v>
      </c>
      <c r="AG21" s="3">
        <v>13549</v>
      </c>
      <c r="AH21" s="3">
        <v>18908</v>
      </c>
      <c r="AI21" s="3">
        <v>27738</v>
      </c>
      <c r="AJ21" s="3">
        <f>SUM(K21:N21)</f>
        <v>40268.6</v>
      </c>
      <c r="AK21" s="3">
        <f>AJ21*1.4</f>
        <v>56376.039999999994</v>
      </c>
      <c r="AL21" s="3">
        <f t="shared" ref="AL21:AZ21" si="3">AK21*1.4</f>
        <v>78926.455999999991</v>
      </c>
      <c r="AM21" s="3">
        <f t="shared" si="3"/>
        <v>110497.03839999998</v>
      </c>
      <c r="AN21" s="3">
        <f t="shared" si="3"/>
        <v>154695.85375999997</v>
      </c>
      <c r="AO21" s="3">
        <f t="shared" si="3"/>
        <v>216574.19526399995</v>
      </c>
      <c r="AP21" s="3">
        <f t="shared" si="3"/>
        <v>303203.87336959993</v>
      </c>
      <c r="AQ21" s="3">
        <f t="shared" si="3"/>
        <v>424485.42271743988</v>
      </c>
      <c r="AR21" s="3">
        <f t="shared" si="3"/>
        <v>594279.5918044158</v>
      </c>
      <c r="AS21" s="3">
        <f t="shared" si="3"/>
        <v>831991.42852618208</v>
      </c>
      <c r="AT21" s="3">
        <f t="shared" si="3"/>
        <v>1164787.9999366549</v>
      </c>
      <c r="AU21" s="3">
        <f t="shared" si="3"/>
        <v>1630703.1999113169</v>
      </c>
      <c r="AV21" s="3">
        <f t="shared" si="3"/>
        <v>2282984.4798758435</v>
      </c>
      <c r="AW21" s="3">
        <f t="shared" si="3"/>
        <v>3196178.2718261806</v>
      </c>
      <c r="AX21" s="3">
        <f t="shared" si="3"/>
        <v>4474649.5805566525</v>
      </c>
      <c r="AY21" s="3">
        <f t="shared" si="3"/>
        <v>6264509.4127793135</v>
      </c>
      <c r="AZ21" s="3">
        <f t="shared" si="3"/>
        <v>8770313.1778910384</v>
      </c>
    </row>
    <row r="22" spans="2:52" s="5" customFormat="1" x14ac:dyDescent="0.2">
      <c r="B22" s="5" t="s">
        <v>6</v>
      </c>
      <c r="C22" s="6">
        <f t="shared" ref="C22:J22" si="4">+C21+C20</f>
        <v>19741</v>
      </c>
      <c r="D22" s="6">
        <f t="shared" si="4"/>
        <v>19340</v>
      </c>
      <c r="E22" s="6">
        <f t="shared" si="4"/>
        <v>20579</v>
      </c>
      <c r="F22" s="6">
        <f t="shared" si="4"/>
        <v>29328</v>
      </c>
      <c r="G22" s="6">
        <f t="shared" si="4"/>
        <v>22717</v>
      </c>
      <c r="H22" s="6">
        <f t="shared" si="4"/>
        <v>23185</v>
      </c>
      <c r="I22" s="6">
        <f t="shared" si="4"/>
        <v>25358</v>
      </c>
      <c r="J22" s="6">
        <f t="shared" si="4"/>
        <v>35747</v>
      </c>
      <c r="K22" s="6">
        <f t="shared" ref="K22:N22" si="5">+K21+K20</f>
        <v>29128</v>
      </c>
      <c r="L22" s="6">
        <f t="shared" si="5"/>
        <v>30404</v>
      </c>
      <c r="M22" s="6">
        <f t="shared" si="5"/>
        <v>30885.449999999997</v>
      </c>
      <c r="N22" s="6">
        <f t="shared" si="5"/>
        <v>43391.299999999996</v>
      </c>
      <c r="P22" s="5">
        <v>15.746</v>
      </c>
      <c r="Q22" s="5">
        <v>147.78700000000001</v>
      </c>
      <c r="R22" s="5">
        <v>609.81899999999996</v>
      </c>
      <c r="S22" s="5">
        <v>1639.8389999999999</v>
      </c>
      <c r="T22" s="5">
        <v>2761.9830000000002</v>
      </c>
      <c r="U22" s="5">
        <v>3122.433</v>
      </c>
      <c r="V22" s="5">
        <v>3932.9360000000001</v>
      </c>
      <c r="W22" s="5">
        <v>5263.6989999999996</v>
      </c>
      <c r="X22" s="5">
        <v>6921</v>
      </c>
      <c r="Y22" s="5">
        <v>8490</v>
      </c>
      <c r="Z22" s="18">
        <v>10711</v>
      </c>
      <c r="AA22" s="18">
        <v>14835</v>
      </c>
      <c r="AB22" s="18">
        <v>19166</v>
      </c>
      <c r="AC22" s="5">
        <v>24509</v>
      </c>
      <c r="AD22" s="5">
        <v>34204</v>
      </c>
      <c r="AE22" s="5">
        <f t="shared" ref="AE22:AJ22" si="6">+AE21+AE20</f>
        <v>48077</v>
      </c>
      <c r="AF22" s="5">
        <f t="shared" si="6"/>
        <v>61093</v>
      </c>
      <c r="AG22" s="5">
        <f t="shared" si="6"/>
        <v>74452</v>
      </c>
      <c r="AH22" s="5">
        <f t="shared" si="6"/>
        <v>88988</v>
      </c>
      <c r="AI22" s="5">
        <f t="shared" si="6"/>
        <v>107006</v>
      </c>
      <c r="AJ22" s="5">
        <f t="shared" si="6"/>
        <v>133808.75</v>
      </c>
      <c r="AK22" s="5">
        <f t="shared" ref="AK22:AZ22" si="7">+AK21+AK20</f>
        <v>163947.21249999997</v>
      </c>
      <c r="AL22" s="5">
        <f t="shared" si="7"/>
        <v>202633.30437499995</v>
      </c>
      <c r="AM22" s="5">
        <f t="shared" si="7"/>
        <v>252759.91403124994</v>
      </c>
      <c r="AN22" s="5">
        <f t="shared" si="7"/>
        <v>318298.16073593742</v>
      </c>
      <c r="AO22" s="5">
        <f t="shared" si="7"/>
        <v>404716.84828632796</v>
      </c>
      <c r="AP22" s="5">
        <f t="shared" si="7"/>
        <v>519567.92434527713</v>
      </c>
      <c r="AQ22" s="5">
        <f t="shared" si="7"/>
        <v>673304.08133946871</v>
      </c>
      <c r="AR22" s="5">
        <f t="shared" si="7"/>
        <v>880421.04921974894</v>
      </c>
      <c r="AS22" s="5">
        <f t="shared" si="7"/>
        <v>1161054.104553815</v>
      </c>
      <c r="AT22" s="5">
        <f t="shared" si="7"/>
        <v>1543210.0773684329</v>
      </c>
      <c r="AU22" s="5">
        <f t="shared" si="7"/>
        <v>2065888.5889578615</v>
      </c>
      <c r="AV22" s="5">
        <f t="shared" si="7"/>
        <v>2783447.6772793699</v>
      </c>
      <c r="AW22" s="5">
        <f t="shared" si="7"/>
        <v>3771710.9488402358</v>
      </c>
      <c r="AX22" s="5">
        <f t="shared" si="7"/>
        <v>5136512.1591228163</v>
      </c>
      <c r="AY22" s="5">
        <f t="shared" si="7"/>
        <v>7025651.3781304015</v>
      </c>
      <c r="AZ22" s="5">
        <f t="shared" si="7"/>
        <v>9645626.4380447902</v>
      </c>
    </row>
    <row r="23" spans="2:52" s="7" customFormat="1" x14ac:dyDescent="0.2">
      <c r="B23" s="7" t="s">
        <v>21</v>
      </c>
      <c r="C23" s="8">
        <v>14055</v>
      </c>
      <c r="D23" s="8">
        <v>13399</v>
      </c>
      <c r="E23" s="8">
        <v>14627</v>
      </c>
      <c r="F23" s="8">
        <v>20671</v>
      </c>
      <c r="G23" s="8">
        <v>15395</v>
      </c>
      <c r="H23" s="8">
        <v>15160</v>
      </c>
      <c r="I23" s="8">
        <v>16755</v>
      </c>
      <c r="J23" s="8">
        <v>24341</v>
      </c>
      <c r="K23" s="8">
        <v>18866</v>
      </c>
      <c r="L23" s="8">
        <v>19180</v>
      </c>
      <c r="M23" s="8"/>
      <c r="N23" s="8"/>
      <c r="P23" s="7">
        <f>+P22-3.459</f>
        <v>12.287000000000001</v>
      </c>
      <c r="Q23" s="7">
        <f>+Q22-28.818</f>
        <v>118.96900000000001</v>
      </c>
      <c r="R23" s="7">
        <f>+R22-133.664</f>
        <v>476.15499999999997</v>
      </c>
      <c r="S23" s="7">
        <f>+S22-290.645</f>
        <v>1349.194</v>
      </c>
      <c r="T23" s="7">
        <f>+T22-655.777</f>
        <v>2106.2060000000001</v>
      </c>
      <c r="U23" s="7">
        <v>2323.875</v>
      </c>
      <c r="V23" s="7">
        <v>2940.3180000000002</v>
      </c>
      <c r="W23" s="7">
        <v>4006.5309999999999</v>
      </c>
      <c r="X23" s="7">
        <v>5319</v>
      </c>
      <c r="Y23" s="7">
        <v>6451</v>
      </c>
      <c r="Z23" s="19">
        <v>8255</v>
      </c>
      <c r="AA23" s="19">
        <v>11482</v>
      </c>
      <c r="AB23" s="19">
        <v>14896</v>
      </c>
      <c r="AC23" s="7">
        <v>18978</v>
      </c>
      <c r="AD23" s="7">
        <v>26561</v>
      </c>
      <c r="AE23" s="7">
        <v>37288</v>
      </c>
      <c r="AF23" s="7">
        <v>45971</v>
      </c>
      <c r="AG23" s="7">
        <v>54181</v>
      </c>
      <c r="AH23" s="7">
        <v>62752</v>
      </c>
      <c r="AI23" s="7">
        <v>71651</v>
      </c>
    </row>
    <row r="24" spans="2:52" s="3" customFormat="1" x14ac:dyDescent="0.2">
      <c r="B24" s="3" t="s">
        <v>23</v>
      </c>
      <c r="C24" s="4">
        <v>2317</v>
      </c>
      <c r="D24" s="4">
        <v>2382</v>
      </c>
      <c r="E24" s="4">
        <v>2643</v>
      </c>
      <c r="F24" s="4">
        <v>3424</v>
      </c>
      <c r="G24" s="4">
        <v>2759</v>
      </c>
      <c r="H24" s="4">
        <v>3230</v>
      </c>
      <c r="I24" s="4">
        <v>3230</v>
      </c>
      <c r="J24" s="4">
        <v>4546</v>
      </c>
      <c r="K24" s="4">
        <v>3687</v>
      </c>
      <c r="L24" s="4">
        <v>3878</v>
      </c>
      <c r="M24" s="4"/>
      <c r="N24" s="4"/>
      <c r="Z24" s="20"/>
      <c r="AA24" s="20"/>
      <c r="AB24" s="20">
        <v>1658</v>
      </c>
      <c r="AC24" s="3">
        <v>2052</v>
      </c>
      <c r="AD24" s="3">
        <v>2898</v>
      </c>
      <c r="AE24" s="3">
        <v>4576</v>
      </c>
      <c r="AF24" s="3">
        <v>6419</v>
      </c>
      <c r="AG24" s="3">
        <v>8585</v>
      </c>
      <c r="AH24" s="3">
        <v>10766</v>
      </c>
      <c r="AI24" s="3">
        <v>13410</v>
      </c>
    </row>
    <row r="25" spans="2:52" s="5" customFormat="1" x14ac:dyDescent="0.2">
      <c r="B25" s="5" t="s">
        <v>60</v>
      </c>
      <c r="C25" s="6">
        <f t="shared" ref="C25:J25" si="8">C22-C23-C24</f>
        <v>3369</v>
      </c>
      <c r="D25" s="6">
        <f t="shared" si="8"/>
        <v>3559</v>
      </c>
      <c r="E25" s="6">
        <f t="shared" si="8"/>
        <v>3309</v>
      </c>
      <c r="F25" s="6">
        <f t="shared" si="8"/>
        <v>5233</v>
      </c>
      <c r="G25" s="6">
        <f t="shared" si="8"/>
        <v>4563</v>
      </c>
      <c r="H25" s="6">
        <f t="shared" si="8"/>
        <v>4795</v>
      </c>
      <c r="I25" s="6">
        <f t="shared" si="8"/>
        <v>5373</v>
      </c>
      <c r="J25" s="6">
        <f t="shared" si="8"/>
        <v>6860</v>
      </c>
      <c r="K25" s="6">
        <f t="shared" ref="K25:L25" si="9">K22-K23-K24</f>
        <v>6575</v>
      </c>
      <c r="L25" s="6">
        <f t="shared" si="9"/>
        <v>7346</v>
      </c>
      <c r="M25" s="6">
        <f t="shared" ref="M25:N25" si="10">+M22*0.23</f>
        <v>7103.6534999999994</v>
      </c>
      <c r="N25" s="6">
        <f t="shared" si="10"/>
        <v>9979.9989999999998</v>
      </c>
      <c r="P25" s="5">
        <f t="shared" ref="P25:Y25" si="11">+P22-P23</f>
        <v>3.4589999999999996</v>
      </c>
      <c r="Q25" s="5">
        <f t="shared" si="11"/>
        <v>28.817999999999998</v>
      </c>
      <c r="R25" s="5">
        <f t="shared" si="11"/>
        <v>133.66399999999999</v>
      </c>
      <c r="S25" s="5">
        <f t="shared" si="11"/>
        <v>290.64499999999998</v>
      </c>
      <c r="T25" s="5">
        <f t="shared" si="11"/>
        <v>655.77700000000004</v>
      </c>
      <c r="U25" s="5">
        <f t="shared" si="11"/>
        <v>798.55799999999999</v>
      </c>
      <c r="V25" s="5">
        <f t="shared" si="11"/>
        <v>992.61799999999994</v>
      </c>
      <c r="W25" s="5">
        <f t="shared" si="11"/>
        <v>1257.1679999999997</v>
      </c>
      <c r="X25" s="5">
        <f t="shared" si="11"/>
        <v>1602</v>
      </c>
      <c r="Y25" s="5">
        <f t="shared" si="11"/>
        <v>2039</v>
      </c>
      <c r="Z25" s="6">
        <f t="shared" ref="Z25:AI25" si="12">Z22-Z23-Z24</f>
        <v>2456</v>
      </c>
      <c r="AA25" s="6">
        <f t="shared" si="12"/>
        <v>3353</v>
      </c>
      <c r="AB25" s="6">
        <f>AB22-AB23-AB24</f>
        <v>2612</v>
      </c>
      <c r="AC25" s="6">
        <f t="shared" si="12"/>
        <v>3479</v>
      </c>
      <c r="AD25" s="6">
        <f>AD22-AD23-AD24</f>
        <v>4745</v>
      </c>
      <c r="AE25" s="6">
        <f t="shared" si="12"/>
        <v>6213</v>
      </c>
      <c r="AF25" s="6">
        <f t="shared" si="12"/>
        <v>8703</v>
      </c>
      <c r="AG25" s="6">
        <f t="shared" si="12"/>
        <v>11686</v>
      </c>
      <c r="AH25" s="6">
        <f t="shared" si="12"/>
        <v>15470</v>
      </c>
      <c r="AI25" s="6">
        <f t="shared" si="12"/>
        <v>21945</v>
      </c>
      <c r="AJ25" s="5">
        <f>AJ22*0.23</f>
        <v>30776.012500000001</v>
      </c>
      <c r="AK25" s="5">
        <f t="shared" ref="AK25:AZ25" si="13">AK22*0.23</f>
        <v>37707.858874999991</v>
      </c>
      <c r="AL25" s="5">
        <f t="shared" si="13"/>
        <v>46605.660006249993</v>
      </c>
      <c r="AM25" s="5">
        <f t="shared" si="13"/>
        <v>58134.78022718749</v>
      </c>
      <c r="AN25" s="5">
        <f t="shared" si="13"/>
        <v>73208.576969265603</v>
      </c>
      <c r="AO25" s="5">
        <f t="shared" si="13"/>
        <v>93084.875105855434</v>
      </c>
      <c r="AP25" s="5">
        <f t="shared" si="13"/>
        <v>119500.62259941375</v>
      </c>
      <c r="AQ25" s="5">
        <f t="shared" si="13"/>
        <v>154859.93870807783</v>
      </c>
      <c r="AR25" s="5">
        <f t="shared" si="13"/>
        <v>202496.84132054227</v>
      </c>
      <c r="AS25" s="5">
        <f t="shared" si="13"/>
        <v>267042.44404737744</v>
      </c>
      <c r="AT25" s="5">
        <f t="shared" si="13"/>
        <v>354938.31779473956</v>
      </c>
      <c r="AU25" s="5">
        <f t="shared" si="13"/>
        <v>475154.37546030816</v>
      </c>
      <c r="AV25" s="5">
        <f t="shared" si="13"/>
        <v>640192.96577425511</v>
      </c>
      <c r="AW25" s="5">
        <f t="shared" si="13"/>
        <v>867493.51823325432</v>
      </c>
      <c r="AX25" s="5">
        <f t="shared" si="13"/>
        <v>1181397.7965982477</v>
      </c>
      <c r="AY25" s="5">
        <f t="shared" si="13"/>
        <v>1615899.8169699924</v>
      </c>
      <c r="AZ25" s="5">
        <f t="shared" si="13"/>
        <v>2218494.0807503019</v>
      </c>
    </row>
    <row r="26" spans="2:52" s="3" customFormat="1" x14ac:dyDescent="0.2">
      <c r="B26" s="3" t="s">
        <v>24</v>
      </c>
      <c r="C26" s="4">
        <v>870</v>
      </c>
      <c r="D26" s="4">
        <v>943</v>
      </c>
      <c r="E26" s="4">
        <v>993</v>
      </c>
      <c r="F26" s="4">
        <v>1526</v>
      </c>
      <c r="G26" s="4">
        <v>1083</v>
      </c>
      <c r="H26" s="4">
        <v>1150</v>
      </c>
      <c r="I26" s="4">
        <v>1264</v>
      </c>
      <c r="J26" s="4">
        <v>1755</v>
      </c>
      <c r="K26" s="4">
        <v>1436</v>
      </c>
      <c r="L26" s="4">
        <v>1546</v>
      </c>
      <c r="M26" s="4">
        <f t="shared" ref="M26:M27" si="14">+I26*1.2</f>
        <v>1516.8</v>
      </c>
      <c r="N26" s="4">
        <f t="shared" ref="N26:N27" si="15">+J26*1.2</f>
        <v>2106</v>
      </c>
      <c r="Z26" s="3">
        <v>263</v>
      </c>
      <c r="AA26" s="3">
        <v>344</v>
      </c>
      <c r="AB26" s="3">
        <v>482</v>
      </c>
      <c r="AC26" s="3">
        <v>680</v>
      </c>
      <c r="AD26" s="3">
        <v>1029</v>
      </c>
      <c r="AE26" s="3">
        <v>1630</v>
      </c>
      <c r="AF26" s="3">
        <v>2408</v>
      </c>
      <c r="AG26" s="3">
        <v>3133</v>
      </c>
      <c r="AH26" s="3">
        <v>4332</v>
      </c>
      <c r="AI26" s="3">
        <v>5254</v>
      </c>
      <c r="AJ26" s="3">
        <f>SUM(K26:N26)</f>
        <v>6604.8</v>
      </c>
      <c r="AK26" s="3">
        <f>AJ26*1.2</f>
        <v>7925.76</v>
      </c>
      <c r="AL26" s="3">
        <f t="shared" ref="AL26:AZ26" si="16">AK26*1.2</f>
        <v>9510.9120000000003</v>
      </c>
      <c r="AM26" s="3">
        <f t="shared" si="16"/>
        <v>11413.0944</v>
      </c>
      <c r="AN26" s="3">
        <f t="shared" si="16"/>
        <v>13695.71328</v>
      </c>
      <c r="AO26" s="3">
        <f t="shared" si="16"/>
        <v>16434.855936</v>
      </c>
      <c r="AP26" s="3">
        <f t="shared" si="16"/>
        <v>19721.827123200001</v>
      </c>
      <c r="AQ26" s="3">
        <f t="shared" si="16"/>
        <v>23666.192547840001</v>
      </c>
      <c r="AR26" s="3">
        <f t="shared" si="16"/>
        <v>28399.431057408001</v>
      </c>
      <c r="AS26" s="3">
        <f t="shared" si="16"/>
        <v>34079.317268889601</v>
      </c>
      <c r="AT26" s="3">
        <f t="shared" si="16"/>
        <v>40895.180722667523</v>
      </c>
      <c r="AU26" s="3">
        <f t="shared" si="16"/>
        <v>49074.216867201023</v>
      </c>
      <c r="AV26" s="3">
        <f t="shared" si="16"/>
        <v>58889.060240641229</v>
      </c>
      <c r="AW26" s="3">
        <f t="shared" si="16"/>
        <v>70666.872288769475</v>
      </c>
      <c r="AX26" s="3">
        <f t="shared" si="16"/>
        <v>84800.246746523364</v>
      </c>
      <c r="AY26" s="3">
        <f t="shared" si="16"/>
        <v>101760.29609582803</v>
      </c>
      <c r="AZ26" s="3">
        <f t="shared" si="16"/>
        <v>122112.35531499363</v>
      </c>
    </row>
    <row r="27" spans="2:52" s="3" customFormat="1" x14ac:dyDescent="0.2">
      <c r="B27" s="3" t="s">
        <v>25</v>
      </c>
      <c r="C27" s="4">
        <v>1991</v>
      </c>
      <c r="D27" s="4">
        <v>2226</v>
      </c>
      <c r="E27" s="4">
        <v>2423</v>
      </c>
      <c r="F27" s="4">
        <v>2635</v>
      </c>
      <c r="G27" s="4">
        <v>2754</v>
      </c>
      <c r="H27" s="4">
        <v>3020</v>
      </c>
      <c r="I27" s="4">
        <v>3197</v>
      </c>
      <c r="J27" s="4">
        <v>3571</v>
      </c>
      <c r="K27" s="4">
        <v>3526</v>
      </c>
      <c r="L27" s="4">
        <v>3880</v>
      </c>
      <c r="M27" s="4">
        <f t="shared" si="14"/>
        <v>3836.3999999999996</v>
      </c>
      <c r="N27" s="4">
        <f t="shared" si="15"/>
        <v>4285.2</v>
      </c>
      <c r="Z27" s="3">
        <v>662</v>
      </c>
      <c r="AA27" s="3">
        <v>818</v>
      </c>
      <c r="AB27" s="3">
        <v>1033</v>
      </c>
      <c r="AC27" s="3">
        <v>1240</v>
      </c>
      <c r="AD27" s="3">
        <v>1734</v>
      </c>
      <c r="AE27" s="3">
        <v>2909</v>
      </c>
      <c r="AF27" s="3">
        <v>4564</v>
      </c>
      <c r="AG27" s="3">
        <v>6565</v>
      </c>
      <c r="AH27" s="3">
        <v>9275</v>
      </c>
      <c r="AI27" s="3">
        <v>12540</v>
      </c>
      <c r="AJ27" s="3">
        <f>SUM(K27:N27)</f>
        <v>15527.599999999999</v>
      </c>
      <c r="AK27" s="3">
        <f>AJ27*1.2</f>
        <v>18633.12</v>
      </c>
      <c r="AL27" s="3">
        <f t="shared" ref="AL27:AZ27" si="17">AK27*1.2</f>
        <v>22359.743999999999</v>
      </c>
      <c r="AM27" s="3">
        <f t="shared" si="17"/>
        <v>26831.692799999997</v>
      </c>
      <c r="AN27" s="3">
        <f t="shared" si="17"/>
        <v>32198.031359999994</v>
      </c>
      <c r="AO27" s="3">
        <f t="shared" si="17"/>
        <v>38637.637631999991</v>
      </c>
      <c r="AP27" s="3">
        <f t="shared" si="17"/>
        <v>46365.165158399985</v>
      </c>
      <c r="AQ27" s="3">
        <f t="shared" si="17"/>
        <v>55638.19819007998</v>
      </c>
      <c r="AR27" s="3">
        <f t="shared" si="17"/>
        <v>66765.837828095973</v>
      </c>
      <c r="AS27" s="3">
        <f t="shared" si="17"/>
        <v>80119.005393715168</v>
      </c>
      <c r="AT27" s="3">
        <f t="shared" si="17"/>
        <v>96142.806472458193</v>
      </c>
      <c r="AU27" s="3">
        <f t="shared" si="17"/>
        <v>115371.36776694983</v>
      </c>
      <c r="AV27" s="3">
        <f t="shared" si="17"/>
        <v>138445.64132033978</v>
      </c>
      <c r="AW27" s="3">
        <f t="shared" si="17"/>
        <v>166134.76958440774</v>
      </c>
      <c r="AX27" s="3">
        <f t="shared" si="17"/>
        <v>199361.72350128929</v>
      </c>
      <c r="AY27" s="3">
        <f t="shared" si="17"/>
        <v>239234.06820154714</v>
      </c>
      <c r="AZ27" s="3">
        <f t="shared" si="17"/>
        <v>287080.88184185658</v>
      </c>
    </row>
    <row r="28" spans="2:52" s="3" customFormat="1" x14ac:dyDescent="0.2">
      <c r="B28" s="3" t="s">
        <v>26</v>
      </c>
      <c r="C28" s="4">
        <v>327</v>
      </c>
      <c r="D28" s="4">
        <f>377+28</f>
        <v>405</v>
      </c>
      <c r="E28" s="4">
        <f>406+31</f>
        <v>437</v>
      </c>
      <c r="F28" s="4">
        <f>442+39</f>
        <v>481</v>
      </c>
      <c r="G28" s="4">
        <f>427+44</f>
        <v>471</v>
      </c>
      <c r="H28" s="4">
        <f>467+48</f>
        <v>515</v>
      </c>
      <c r="I28" s="4">
        <f>463+43</f>
        <v>506</v>
      </c>
      <c r="J28" s="4">
        <f>390+36</f>
        <v>426</v>
      </c>
      <c r="K28" s="4">
        <f>497+45</f>
        <v>542</v>
      </c>
      <c r="L28" s="4">
        <v>580</v>
      </c>
      <c r="M28" s="4">
        <f t="shared" ref="M28:N28" si="18">+I28*1.1</f>
        <v>556.6</v>
      </c>
      <c r="N28" s="4">
        <f t="shared" si="18"/>
        <v>468.6</v>
      </c>
      <c r="Z28" s="3">
        <f>195+10</f>
        <v>205</v>
      </c>
      <c r="AA28" s="3">
        <f>235+9</f>
        <v>244</v>
      </c>
      <c r="AB28" s="3">
        <f>279-24</f>
        <v>255</v>
      </c>
      <c r="AC28" s="3">
        <f>328+102</f>
        <v>430</v>
      </c>
      <c r="AD28" s="3">
        <f>470+106</f>
        <v>576</v>
      </c>
      <c r="AE28" s="3">
        <f>658+154</f>
        <v>812</v>
      </c>
      <c r="AF28" s="3">
        <f>896+159</f>
        <v>1055</v>
      </c>
      <c r="AG28" s="3">
        <f>1129+114</f>
        <v>1243</v>
      </c>
      <c r="AH28" s="3">
        <f>1552+133</f>
        <v>1685</v>
      </c>
      <c r="AI28" s="3">
        <f>1747+171</f>
        <v>1918</v>
      </c>
      <c r="AJ28" s="3">
        <f>SUM(K28:N28)</f>
        <v>2147.1999999999998</v>
      </c>
      <c r="AK28" s="3">
        <f>AJ28*1.1</f>
        <v>2361.92</v>
      </c>
      <c r="AL28" s="3">
        <f t="shared" ref="AL28:AZ28" si="19">AK28*1.1</f>
        <v>2598.1120000000001</v>
      </c>
      <c r="AM28" s="3">
        <f t="shared" si="19"/>
        <v>2857.9232000000002</v>
      </c>
      <c r="AN28" s="3">
        <f t="shared" si="19"/>
        <v>3143.7155200000007</v>
      </c>
      <c r="AO28" s="3">
        <f t="shared" si="19"/>
        <v>3458.0870720000012</v>
      </c>
      <c r="AP28" s="3">
        <f t="shared" si="19"/>
        <v>3803.8957792000015</v>
      </c>
      <c r="AQ28" s="3">
        <f t="shared" si="19"/>
        <v>4184.2853571200021</v>
      </c>
      <c r="AR28" s="3">
        <f t="shared" si="19"/>
        <v>4602.7138928320028</v>
      </c>
      <c r="AS28" s="3">
        <f t="shared" si="19"/>
        <v>5062.9852821152035</v>
      </c>
      <c r="AT28" s="3">
        <f t="shared" si="19"/>
        <v>5569.2838103267241</v>
      </c>
      <c r="AU28" s="3">
        <f t="shared" si="19"/>
        <v>6126.2121913593974</v>
      </c>
      <c r="AV28" s="3">
        <f t="shared" si="19"/>
        <v>6738.8334104953374</v>
      </c>
      <c r="AW28" s="3">
        <f t="shared" si="19"/>
        <v>7412.7167515448718</v>
      </c>
      <c r="AX28" s="3">
        <f t="shared" si="19"/>
        <v>8153.9884266993595</v>
      </c>
      <c r="AY28" s="3">
        <f t="shared" si="19"/>
        <v>8969.3872693692956</v>
      </c>
      <c r="AZ28" s="3">
        <f t="shared" si="19"/>
        <v>9866.3259963062264</v>
      </c>
    </row>
    <row r="29" spans="2:52" s="3" customFormat="1" x14ac:dyDescent="0.2">
      <c r="B29" s="3" t="s">
        <v>27</v>
      </c>
      <c r="C29" s="4">
        <f t="shared" ref="C29:J29" si="20">SUM(C26:C28)</f>
        <v>3188</v>
      </c>
      <c r="D29" s="4">
        <f t="shared" si="20"/>
        <v>3574</v>
      </c>
      <c r="E29" s="4">
        <f t="shared" si="20"/>
        <v>3853</v>
      </c>
      <c r="F29" s="4">
        <f t="shared" si="20"/>
        <v>4642</v>
      </c>
      <c r="G29" s="4">
        <f t="shared" si="20"/>
        <v>4308</v>
      </c>
      <c r="H29" s="4">
        <f t="shared" si="20"/>
        <v>4685</v>
      </c>
      <c r="I29" s="4">
        <f t="shared" si="20"/>
        <v>4967</v>
      </c>
      <c r="J29" s="4">
        <f t="shared" si="20"/>
        <v>5752</v>
      </c>
      <c r="K29" s="4">
        <f t="shared" ref="K29:N29" si="21">SUM(K26:K28)</f>
        <v>5504</v>
      </c>
      <c r="L29" s="4">
        <f t="shared" si="21"/>
        <v>6006</v>
      </c>
      <c r="M29" s="4">
        <f t="shared" si="21"/>
        <v>5909.8</v>
      </c>
      <c r="N29" s="4">
        <f t="shared" si="21"/>
        <v>6859.8</v>
      </c>
      <c r="W29" s="4"/>
      <c r="Z29" s="4">
        <f t="shared" ref="Z29:AK29" si="22">SUM(Z26:Z28)</f>
        <v>1130</v>
      </c>
      <c r="AA29" s="4">
        <f t="shared" si="22"/>
        <v>1406</v>
      </c>
      <c r="AB29" s="4">
        <f t="shared" si="22"/>
        <v>1770</v>
      </c>
      <c r="AC29" s="4">
        <f t="shared" si="22"/>
        <v>2350</v>
      </c>
      <c r="AD29" s="4">
        <f t="shared" si="22"/>
        <v>3339</v>
      </c>
      <c r="AE29" s="4">
        <f t="shared" si="22"/>
        <v>5351</v>
      </c>
      <c r="AF29" s="4">
        <f t="shared" si="22"/>
        <v>8027</v>
      </c>
      <c r="AG29" s="4">
        <f t="shared" si="22"/>
        <v>10941</v>
      </c>
      <c r="AH29" s="4">
        <f t="shared" si="22"/>
        <v>15292</v>
      </c>
      <c r="AI29" s="4">
        <f t="shared" si="22"/>
        <v>19712</v>
      </c>
      <c r="AJ29" s="4">
        <f t="shared" si="22"/>
        <v>24279.599999999999</v>
      </c>
      <c r="AK29" s="4">
        <f t="shared" si="22"/>
        <v>28920.799999999996</v>
      </c>
      <c r="AL29" s="4">
        <f t="shared" ref="AL29:AZ29" si="23">SUM(AL26:AL28)</f>
        <v>34468.767999999996</v>
      </c>
      <c r="AM29" s="4">
        <f t="shared" si="23"/>
        <v>41102.710399999996</v>
      </c>
      <c r="AN29" s="4">
        <f t="shared" si="23"/>
        <v>49037.460159999988</v>
      </c>
      <c r="AO29" s="4">
        <f t="shared" si="23"/>
        <v>58530.580639999993</v>
      </c>
      <c r="AP29" s="4">
        <f t="shared" si="23"/>
        <v>69890.888060799989</v>
      </c>
      <c r="AQ29" s="4">
        <f t="shared" si="23"/>
        <v>83488.676095039977</v>
      </c>
      <c r="AR29" s="4">
        <f t="shared" si="23"/>
        <v>99767.98277833598</v>
      </c>
      <c r="AS29" s="4">
        <f t="shared" si="23"/>
        <v>119261.30794471997</v>
      </c>
      <c r="AT29" s="4">
        <f t="shared" si="23"/>
        <v>142607.27100545244</v>
      </c>
      <c r="AU29" s="4">
        <f t="shared" si="23"/>
        <v>170571.79682551025</v>
      </c>
      <c r="AV29" s="4">
        <f t="shared" si="23"/>
        <v>204073.53497147636</v>
      </c>
      <c r="AW29" s="4">
        <f t="shared" si="23"/>
        <v>244214.35862472208</v>
      </c>
      <c r="AX29" s="4">
        <f t="shared" si="23"/>
        <v>292315.95867451205</v>
      </c>
      <c r="AY29" s="4">
        <f t="shared" si="23"/>
        <v>349963.75156674447</v>
      </c>
      <c r="AZ29" s="4">
        <f t="shared" si="23"/>
        <v>419059.56315315643</v>
      </c>
    </row>
    <row r="30" spans="2:52" s="7" customFormat="1" x14ac:dyDescent="0.2">
      <c r="B30" s="7" t="s">
        <v>28</v>
      </c>
      <c r="C30" s="8">
        <f t="shared" ref="C30:J30" si="24">C25-C29</f>
        <v>181</v>
      </c>
      <c r="D30" s="8">
        <f t="shared" si="24"/>
        <v>-15</v>
      </c>
      <c r="E30" s="8">
        <f t="shared" si="24"/>
        <v>-544</v>
      </c>
      <c r="F30" s="8">
        <f t="shared" si="24"/>
        <v>591</v>
      </c>
      <c r="G30" s="8">
        <f t="shared" si="24"/>
        <v>255</v>
      </c>
      <c r="H30" s="8">
        <f t="shared" si="24"/>
        <v>110</v>
      </c>
      <c r="I30" s="8">
        <f t="shared" si="24"/>
        <v>406</v>
      </c>
      <c r="J30" s="8">
        <f t="shared" si="24"/>
        <v>1108</v>
      </c>
      <c r="K30" s="8">
        <f t="shared" ref="K30:N30" si="25">K25-K29</f>
        <v>1071</v>
      </c>
      <c r="L30" s="8">
        <f t="shared" si="25"/>
        <v>1340</v>
      </c>
      <c r="M30" s="8">
        <f t="shared" si="25"/>
        <v>1193.8534999999993</v>
      </c>
      <c r="N30" s="8">
        <f t="shared" si="25"/>
        <v>3120.1989999999996</v>
      </c>
      <c r="W30" s="8"/>
      <c r="Z30" s="8">
        <f t="shared" ref="Z30:AZ30" si="26">Z25-Z29</f>
        <v>1326</v>
      </c>
      <c r="AA30" s="8">
        <f t="shared" si="26"/>
        <v>1947</v>
      </c>
      <c r="AB30" s="8">
        <f t="shared" si="26"/>
        <v>842</v>
      </c>
      <c r="AC30" s="8">
        <f t="shared" si="26"/>
        <v>1129</v>
      </c>
      <c r="AD30" s="8">
        <f t="shared" si="26"/>
        <v>1406</v>
      </c>
      <c r="AE30" s="8">
        <f t="shared" si="26"/>
        <v>862</v>
      </c>
      <c r="AF30" s="8">
        <f t="shared" si="26"/>
        <v>676</v>
      </c>
      <c r="AG30" s="8">
        <f t="shared" si="26"/>
        <v>745</v>
      </c>
      <c r="AH30" s="8">
        <f t="shared" si="26"/>
        <v>178</v>
      </c>
      <c r="AI30" s="8">
        <f t="shared" si="26"/>
        <v>2233</v>
      </c>
      <c r="AJ30" s="8">
        <f t="shared" si="26"/>
        <v>6496.4125000000022</v>
      </c>
      <c r="AK30" s="8">
        <f t="shared" si="26"/>
        <v>8787.0588749999952</v>
      </c>
      <c r="AL30" s="8">
        <f t="shared" si="26"/>
        <v>12136.892006249996</v>
      </c>
      <c r="AM30" s="8">
        <f t="shared" si="26"/>
        <v>17032.069827187494</v>
      </c>
      <c r="AN30" s="8">
        <f t="shared" si="26"/>
        <v>24171.116809265615</v>
      </c>
      <c r="AO30" s="8">
        <f t="shared" si="26"/>
        <v>34554.294465855441</v>
      </c>
      <c r="AP30" s="8">
        <f t="shared" si="26"/>
        <v>49609.73453861376</v>
      </c>
      <c r="AQ30" s="8">
        <f t="shared" si="26"/>
        <v>71371.262613037848</v>
      </c>
      <c r="AR30" s="8">
        <f t="shared" si="26"/>
        <v>102728.85854220629</v>
      </c>
      <c r="AS30" s="8">
        <f t="shared" si="26"/>
        <v>147781.13610265747</v>
      </c>
      <c r="AT30" s="8">
        <f t="shared" si="26"/>
        <v>212331.04678928712</v>
      </c>
      <c r="AU30" s="8">
        <f t="shared" si="26"/>
        <v>304582.57863479794</v>
      </c>
      <c r="AV30" s="8">
        <f t="shared" si="26"/>
        <v>436119.43080277875</v>
      </c>
      <c r="AW30" s="8">
        <f t="shared" si="26"/>
        <v>623279.15960853221</v>
      </c>
      <c r="AX30" s="8">
        <f t="shared" si="26"/>
        <v>889081.83792373561</v>
      </c>
      <c r="AY30" s="8">
        <f t="shared" si="26"/>
        <v>1265936.065403248</v>
      </c>
      <c r="AZ30" s="8">
        <f t="shared" si="26"/>
        <v>1799434.5175971454</v>
      </c>
    </row>
    <row r="31" spans="2:52" s="3" customFormat="1" x14ac:dyDescent="0.2">
      <c r="B31" s="3" t="s">
        <v>29</v>
      </c>
      <c r="C31" s="4">
        <v>-26</v>
      </c>
      <c r="D31" s="4">
        <v>-12</v>
      </c>
      <c r="E31" s="4">
        <v>-90</v>
      </c>
      <c r="F31" s="4">
        <f>8-74-96</f>
        <v>-162</v>
      </c>
      <c r="G31" s="4">
        <v>-234</v>
      </c>
      <c r="H31" s="4">
        <v>-102</v>
      </c>
      <c r="I31" s="4">
        <f>13-116-56</f>
        <v>-159</v>
      </c>
      <c r="J31" s="4">
        <f>13-115-68</f>
        <v>-170</v>
      </c>
      <c r="K31" s="4">
        <f>21-117+81-15</f>
        <v>-30</v>
      </c>
      <c r="L31" s="4">
        <f>24-116</f>
        <v>-92</v>
      </c>
      <c r="M31" s="4">
        <f t="shared" ref="M31:N31" si="27">+L31</f>
        <v>-92</v>
      </c>
      <c r="N31" s="4">
        <f t="shared" si="27"/>
        <v>-92</v>
      </c>
      <c r="Z31" s="3">
        <f>59-78+7</f>
        <v>-12</v>
      </c>
      <c r="AA31" s="3">
        <f>90-77-8</f>
        <v>5</v>
      </c>
      <c r="AB31" s="3">
        <f>83-71+47</f>
        <v>59</v>
      </c>
      <c r="AC31" s="3">
        <f>37-34+29</f>
        <v>32</v>
      </c>
      <c r="AD31" s="3">
        <f>51-39+79</f>
        <v>91</v>
      </c>
      <c r="AE31" s="3">
        <f>61-65+76</f>
        <v>72</v>
      </c>
      <c r="AF31" s="3">
        <f>40-92-80</f>
        <v>-132</v>
      </c>
      <c r="AG31" s="3">
        <f>38-141-136</f>
        <v>-239</v>
      </c>
      <c r="AH31" s="3">
        <f>39-210-118</f>
        <v>-289</v>
      </c>
      <c r="AI31" s="3">
        <f>50-459-256</f>
        <v>-665</v>
      </c>
      <c r="AJ31" s="3">
        <f>N31</f>
        <v>-92</v>
      </c>
      <c r="AK31" s="3">
        <f>AJ46*$BC$40</f>
        <v>324.18094500000001</v>
      </c>
      <c r="AL31" s="3">
        <f t="shared" ref="AL31:AZ31" si="28">AK46*$BC$40</f>
        <v>488.18326175999994</v>
      </c>
      <c r="AM31" s="3">
        <f t="shared" si="28"/>
        <v>715.43461658417982</v>
      </c>
      <c r="AN31" s="3">
        <f t="shared" si="28"/>
        <v>1034.8896965720699</v>
      </c>
      <c r="AO31" s="3">
        <f t="shared" si="28"/>
        <v>1488.5978136771482</v>
      </c>
      <c r="AP31" s="3">
        <f t="shared" si="28"/>
        <v>2137.3698747087351</v>
      </c>
      <c r="AQ31" s="3">
        <f t="shared" si="28"/>
        <v>3068.8177541485402</v>
      </c>
      <c r="AR31" s="3">
        <f t="shared" si="28"/>
        <v>4408.7392007578947</v>
      </c>
      <c r="AS31" s="3">
        <f t="shared" si="28"/>
        <v>6337.2159601312505</v>
      </c>
      <c r="AT31" s="3">
        <f t="shared" si="28"/>
        <v>9111.346297261447</v>
      </c>
      <c r="AU31" s="3">
        <f t="shared" si="28"/>
        <v>13097.30937281932</v>
      </c>
      <c r="AV31" s="3">
        <f t="shared" si="28"/>
        <v>18815.547356956431</v>
      </c>
      <c r="AW31" s="3">
        <f t="shared" si="28"/>
        <v>27004.376963831666</v>
      </c>
      <c r="AX31" s="3">
        <f t="shared" si="28"/>
        <v>38709.480622134215</v>
      </c>
      <c r="AY31" s="3">
        <f t="shared" si="28"/>
        <v>55409.724355959872</v>
      </c>
      <c r="AZ31" s="3">
        <f t="shared" si="28"/>
        <v>79193.948571625602</v>
      </c>
    </row>
    <row r="32" spans="2:52" s="3" customFormat="1" x14ac:dyDescent="0.2">
      <c r="B32" s="3" t="s">
        <v>30</v>
      </c>
      <c r="C32" s="4">
        <f t="shared" ref="C32:J32" si="29">+C30+C31</f>
        <v>155</v>
      </c>
      <c r="D32" s="4">
        <f t="shared" si="29"/>
        <v>-27</v>
      </c>
      <c r="E32" s="4">
        <f t="shared" si="29"/>
        <v>-634</v>
      </c>
      <c r="F32" s="4">
        <f t="shared" si="29"/>
        <v>429</v>
      </c>
      <c r="G32" s="4">
        <f t="shared" si="29"/>
        <v>21</v>
      </c>
      <c r="H32" s="4">
        <f t="shared" si="29"/>
        <v>8</v>
      </c>
      <c r="I32" s="4">
        <f t="shared" si="29"/>
        <v>247</v>
      </c>
      <c r="J32" s="4">
        <f t="shared" si="29"/>
        <v>938</v>
      </c>
      <c r="K32" s="4">
        <f t="shared" ref="K32:N32" si="30">+K30+K31</f>
        <v>1041</v>
      </c>
      <c r="L32" s="4">
        <f t="shared" si="30"/>
        <v>1248</v>
      </c>
      <c r="M32" s="4">
        <f t="shared" si="30"/>
        <v>1101.8534999999993</v>
      </c>
      <c r="N32" s="4">
        <f t="shared" si="30"/>
        <v>3028.1989999999996</v>
      </c>
      <c r="W32" s="4"/>
      <c r="Z32" s="4">
        <f t="shared" ref="Z32:AZ32" si="31">+Z30+Z31</f>
        <v>1314</v>
      </c>
      <c r="AA32" s="4">
        <f t="shared" si="31"/>
        <v>1952</v>
      </c>
      <c r="AB32" s="4">
        <f t="shared" si="31"/>
        <v>901</v>
      </c>
      <c r="AC32" s="4">
        <f t="shared" si="31"/>
        <v>1161</v>
      </c>
      <c r="AD32" s="4">
        <f t="shared" si="31"/>
        <v>1497</v>
      </c>
      <c r="AE32" s="4">
        <f t="shared" si="31"/>
        <v>934</v>
      </c>
      <c r="AF32" s="4">
        <f t="shared" si="31"/>
        <v>544</v>
      </c>
      <c r="AG32" s="4">
        <f t="shared" si="31"/>
        <v>506</v>
      </c>
      <c r="AH32" s="4">
        <f t="shared" si="31"/>
        <v>-111</v>
      </c>
      <c r="AI32" s="4">
        <f t="shared" si="31"/>
        <v>1568</v>
      </c>
      <c r="AJ32" s="4">
        <f t="shared" si="31"/>
        <v>6404.4125000000022</v>
      </c>
      <c r="AK32" s="4">
        <f t="shared" si="31"/>
        <v>9111.2398199999952</v>
      </c>
      <c r="AL32" s="4">
        <f t="shared" si="31"/>
        <v>12625.075268009996</v>
      </c>
      <c r="AM32" s="4">
        <f t="shared" si="31"/>
        <v>17747.504443771672</v>
      </c>
      <c r="AN32" s="4">
        <f t="shared" si="31"/>
        <v>25206.006505837686</v>
      </c>
      <c r="AO32" s="4">
        <f t="shared" si="31"/>
        <v>36042.892279532593</v>
      </c>
      <c r="AP32" s="4">
        <f t="shared" si="31"/>
        <v>51747.104413322493</v>
      </c>
      <c r="AQ32" s="4">
        <f t="shared" si="31"/>
        <v>74440.080367186383</v>
      </c>
      <c r="AR32" s="4">
        <f t="shared" si="31"/>
        <v>107137.59774296418</v>
      </c>
      <c r="AS32" s="4">
        <f t="shared" si="31"/>
        <v>154118.35206278873</v>
      </c>
      <c r="AT32" s="4">
        <f t="shared" si="31"/>
        <v>221442.39308654857</v>
      </c>
      <c r="AU32" s="4">
        <f t="shared" si="31"/>
        <v>317679.88800761726</v>
      </c>
      <c r="AV32" s="4">
        <f t="shared" si="31"/>
        <v>454934.97815973515</v>
      </c>
      <c r="AW32" s="4">
        <f t="shared" si="31"/>
        <v>650283.53657236393</v>
      </c>
      <c r="AX32" s="4">
        <f t="shared" si="31"/>
        <v>927791.31854586978</v>
      </c>
      <c r="AY32" s="4">
        <f t="shared" si="31"/>
        <v>1321345.7897592077</v>
      </c>
      <c r="AZ32" s="4">
        <f t="shared" si="31"/>
        <v>1878628.466168771</v>
      </c>
    </row>
    <row r="33" spans="2:280" s="3" customFormat="1" x14ac:dyDescent="0.2">
      <c r="B33" s="3" t="s">
        <v>31</v>
      </c>
      <c r="C33" s="4">
        <f>-73+61</f>
        <v>-12</v>
      </c>
      <c r="D33" s="4">
        <f>-94+5</f>
        <v>-89</v>
      </c>
      <c r="E33" s="4">
        <f>-205+8</f>
        <v>-197</v>
      </c>
      <c r="F33" s="4">
        <f>205+10</f>
        <v>215</v>
      </c>
      <c r="G33" s="4">
        <f>-71+7</f>
        <v>-64</v>
      </c>
      <c r="H33" s="4">
        <f>-266+4</f>
        <v>-262</v>
      </c>
      <c r="I33" s="4">
        <f>161+7</f>
        <v>168</v>
      </c>
      <c r="J33" s="4">
        <f>453+3</f>
        <v>456</v>
      </c>
      <c r="K33" s="4">
        <f>475</f>
        <v>475</v>
      </c>
      <c r="L33" s="4">
        <v>307</v>
      </c>
      <c r="M33" s="4">
        <f t="shared" ref="M33:N33" si="32">+M32*0.4</f>
        <v>440.74139999999971</v>
      </c>
      <c r="N33" s="4">
        <f t="shared" si="32"/>
        <v>1211.2795999999998</v>
      </c>
      <c r="Z33" s="3">
        <v>187</v>
      </c>
      <c r="AA33" s="3">
        <v>184</v>
      </c>
      <c r="AB33" s="3">
        <f>247+9</f>
        <v>256</v>
      </c>
      <c r="AC33" s="3">
        <f>253+6</f>
        <v>259</v>
      </c>
      <c r="AD33" s="3">
        <f>352-7</f>
        <v>345</v>
      </c>
      <c r="AE33" s="3">
        <f>291+12</f>
        <v>303</v>
      </c>
      <c r="AF33" s="3">
        <f>428+155</f>
        <v>583</v>
      </c>
      <c r="AG33" s="3">
        <f>161+71</f>
        <v>232</v>
      </c>
      <c r="AH33" s="3">
        <f>167-37</f>
        <v>130</v>
      </c>
      <c r="AI33" s="3">
        <f>950+22</f>
        <v>972</v>
      </c>
      <c r="AJ33" s="3">
        <f>AJ32*0.4</f>
        <v>2561.7650000000012</v>
      </c>
      <c r="AK33" s="3">
        <f t="shared" ref="AK33:AZ33" si="33">AK32*0.4</f>
        <v>3644.4959279999985</v>
      </c>
      <c r="AL33" s="3">
        <f t="shared" si="33"/>
        <v>5050.0301072039983</v>
      </c>
      <c r="AM33" s="3">
        <f t="shared" si="33"/>
        <v>7099.001777508669</v>
      </c>
      <c r="AN33" s="3">
        <f t="shared" si="33"/>
        <v>10082.402602335074</v>
      </c>
      <c r="AO33" s="3">
        <f t="shared" si="33"/>
        <v>14417.156911813037</v>
      </c>
      <c r="AP33" s="3">
        <f t="shared" si="33"/>
        <v>20698.841765328998</v>
      </c>
      <c r="AQ33" s="3">
        <f t="shared" si="33"/>
        <v>29776.032146874553</v>
      </c>
      <c r="AR33" s="3">
        <f t="shared" si="33"/>
        <v>42855.039097185676</v>
      </c>
      <c r="AS33" s="3">
        <f t="shared" si="33"/>
        <v>61647.340825115498</v>
      </c>
      <c r="AT33" s="3">
        <f t="shared" si="33"/>
        <v>88576.957234619433</v>
      </c>
      <c r="AU33" s="3">
        <f t="shared" si="33"/>
        <v>127071.95520304691</v>
      </c>
      <c r="AV33" s="3">
        <f t="shared" si="33"/>
        <v>181973.99126389407</v>
      </c>
      <c r="AW33" s="3">
        <f t="shared" si="33"/>
        <v>260113.41462894558</v>
      </c>
      <c r="AX33" s="3">
        <f t="shared" si="33"/>
        <v>371116.52741834795</v>
      </c>
      <c r="AY33" s="3">
        <f t="shared" si="33"/>
        <v>528538.31590368308</v>
      </c>
      <c r="AZ33" s="3">
        <f t="shared" si="33"/>
        <v>751451.38646750851</v>
      </c>
    </row>
    <row r="34" spans="2:280" s="5" customFormat="1" x14ac:dyDescent="0.2">
      <c r="B34" s="5" t="s">
        <v>32</v>
      </c>
      <c r="C34" s="6">
        <f t="shared" ref="C34:J34" si="34">+C32-C33</f>
        <v>167</v>
      </c>
      <c r="D34" s="6">
        <f t="shared" si="34"/>
        <v>62</v>
      </c>
      <c r="E34" s="6">
        <f t="shared" si="34"/>
        <v>-437</v>
      </c>
      <c r="F34" s="6">
        <f t="shared" si="34"/>
        <v>214</v>
      </c>
      <c r="G34" s="6">
        <f t="shared" si="34"/>
        <v>85</v>
      </c>
      <c r="H34" s="6">
        <f t="shared" si="34"/>
        <v>270</v>
      </c>
      <c r="I34" s="6">
        <f t="shared" si="34"/>
        <v>79</v>
      </c>
      <c r="J34" s="6">
        <f t="shared" si="34"/>
        <v>482</v>
      </c>
      <c r="K34" s="6">
        <f t="shared" ref="K34:N34" si="35">+K32-K33</f>
        <v>566</v>
      </c>
      <c r="L34" s="6">
        <f t="shared" si="35"/>
        <v>941</v>
      </c>
      <c r="M34" s="6">
        <f t="shared" si="35"/>
        <v>661.1120999999996</v>
      </c>
      <c r="N34" s="6">
        <f t="shared" si="35"/>
        <v>1816.9193999999998</v>
      </c>
      <c r="Z34" s="5">
        <f t="shared" ref="Z34:AZ34" si="36">+Z32-Z33</f>
        <v>1127</v>
      </c>
      <c r="AA34" s="5">
        <f t="shared" si="36"/>
        <v>1768</v>
      </c>
      <c r="AB34" s="5">
        <f t="shared" si="36"/>
        <v>645</v>
      </c>
      <c r="AC34" s="5">
        <f t="shared" si="36"/>
        <v>902</v>
      </c>
      <c r="AD34" s="5">
        <f t="shared" si="36"/>
        <v>1152</v>
      </c>
      <c r="AE34" s="5">
        <f t="shared" si="36"/>
        <v>631</v>
      </c>
      <c r="AF34" s="5">
        <f t="shared" si="36"/>
        <v>-39</v>
      </c>
      <c r="AG34" s="5">
        <f t="shared" si="36"/>
        <v>274</v>
      </c>
      <c r="AH34" s="5">
        <f t="shared" si="36"/>
        <v>-241</v>
      </c>
      <c r="AI34" s="5">
        <f t="shared" si="36"/>
        <v>596</v>
      </c>
      <c r="AJ34" s="5">
        <f t="shared" si="36"/>
        <v>3842.6475000000009</v>
      </c>
      <c r="AK34" s="5">
        <f t="shared" si="36"/>
        <v>5466.7438919999968</v>
      </c>
      <c r="AL34" s="5">
        <f t="shared" si="36"/>
        <v>7575.0451608059975</v>
      </c>
      <c r="AM34" s="5">
        <f t="shared" si="36"/>
        <v>10648.502666263003</v>
      </c>
      <c r="AN34" s="5">
        <f t="shared" si="36"/>
        <v>15123.603903502612</v>
      </c>
      <c r="AO34" s="5">
        <f t="shared" si="36"/>
        <v>21625.735367719557</v>
      </c>
      <c r="AP34" s="5">
        <f t="shared" si="36"/>
        <v>31048.262647993495</v>
      </c>
      <c r="AQ34" s="5">
        <f t="shared" si="36"/>
        <v>44664.04822031183</v>
      </c>
      <c r="AR34" s="5">
        <f t="shared" si="36"/>
        <v>64282.558645778503</v>
      </c>
      <c r="AS34" s="5">
        <f t="shared" si="36"/>
        <v>92471.011237673229</v>
      </c>
      <c r="AT34" s="5">
        <f t="shared" si="36"/>
        <v>132865.43585192913</v>
      </c>
      <c r="AU34" s="5">
        <f t="shared" si="36"/>
        <v>190607.93280457036</v>
      </c>
      <c r="AV34" s="5">
        <f t="shared" si="36"/>
        <v>272960.98689584108</v>
      </c>
      <c r="AW34" s="5">
        <f t="shared" si="36"/>
        <v>390170.12194341834</v>
      </c>
      <c r="AX34" s="5">
        <f t="shared" si="36"/>
        <v>556674.79112752178</v>
      </c>
      <c r="AY34" s="5">
        <f t="shared" si="36"/>
        <v>792807.47385552467</v>
      </c>
      <c r="AZ34" s="5">
        <f t="shared" si="36"/>
        <v>1127177.0797012625</v>
      </c>
      <c r="BA34" s="5">
        <f>AZ34*(1+$BC$39)</f>
        <v>1115905.3089042499</v>
      </c>
      <c r="BB34" s="5">
        <f t="shared" ref="BB34:DM34" si="37">BA34*(1+$BC$39)</f>
        <v>1104746.2558152075</v>
      </c>
      <c r="BC34" s="5">
        <f t="shared" si="37"/>
        <v>1093698.7932570553</v>
      </c>
      <c r="BD34" s="5">
        <f t="shared" si="37"/>
        <v>1082761.8053244848</v>
      </c>
      <c r="BE34" s="5">
        <f t="shared" si="37"/>
        <v>1071934.1872712399</v>
      </c>
      <c r="BF34" s="5">
        <f t="shared" si="37"/>
        <v>1061214.8453985276</v>
      </c>
      <c r="BG34" s="5">
        <f t="shared" si="37"/>
        <v>1050602.6969445422</v>
      </c>
      <c r="BH34" s="5">
        <f t="shared" si="37"/>
        <v>1040096.6699750968</v>
      </c>
      <c r="BI34" s="5">
        <f t="shared" si="37"/>
        <v>1029695.7032753458</v>
      </c>
      <c r="BJ34" s="5">
        <f t="shared" si="37"/>
        <v>1019398.7462425923</v>
      </c>
      <c r="BK34" s="5">
        <f t="shared" si="37"/>
        <v>1009204.7587801664</v>
      </c>
      <c r="BL34" s="5">
        <f t="shared" si="37"/>
        <v>999112.71119236469</v>
      </c>
      <c r="BM34" s="5">
        <f t="shared" si="37"/>
        <v>989121.58408044104</v>
      </c>
      <c r="BN34" s="5">
        <f t="shared" si="37"/>
        <v>979230.36823963665</v>
      </c>
      <c r="BO34" s="5">
        <f t="shared" si="37"/>
        <v>969438.06455724023</v>
      </c>
      <c r="BP34" s="5">
        <f t="shared" si="37"/>
        <v>959743.68391166779</v>
      </c>
      <c r="BQ34" s="5">
        <f t="shared" si="37"/>
        <v>950146.24707255105</v>
      </c>
      <c r="BR34" s="5">
        <f t="shared" si="37"/>
        <v>940644.78460182552</v>
      </c>
      <c r="BS34" s="5">
        <f t="shared" si="37"/>
        <v>931238.33675580728</v>
      </c>
      <c r="BT34" s="5">
        <f t="shared" si="37"/>
        <v>921925.95338824915</v>
      </c>
      <c r="BU34" s="5">
        <f t="shared" si="37"/>
        <v>912706.69385436666</v>
      </c>
      <c r="BV34" s="5">
        <f t="shared" si="37"/>
        <v>903579.62691582297</v>
      </c>
      <c r="BW34" s="5">
        <f t="shared" si="37"/>
        <v>894543.83064666472</v>
      </c>
      <c r="BX34" s="5">
        <f t="shared" si="37"/>
        <v>885598.39234019804</v>
      </c>
      <c r="BY34" s="5">
        <f t="shared" si="37"/>
        <v>876742.40841679601</v>
      </c>
      <c r="BZ34" s="5">
        <f t="shared" si="37"/>
        <v>867974.98433262808</v>
      </c>
      <c r="CA34" s="5">
        <f t="shared" si="37"/>
        <v>859295.2344893018</v>
      </c>
      <c r="CB34" s="5">
        <f t="shared" si="37"/>
        <v>850702.28214440879</v>
      </c>
      <c r="CC34" s="5">
        <f t="shared" si="37"/>
        <v>842195.2593229647</v>
      </c>
      <c r="CD34" s="5">
        <f t="shared" si="37"/>
        <v>833773.30672973499</v>
      </c>
      <c r="CE34" s="5">
        <f t="shared" si="37"/>
        <v>825435.57366243761</v>
      </c>
      <c r="CF34" s="5">
        <f t="shared" si="37"/>
        <v>817181.21792581328</v>
      </c>
      <c r="CG34" s="5">
        <f t="shared" si="37"/>
        <v>809009.40574655519</v>
      </c>
      <c r="CH34" s="5">
        <f t="shared" si="37"/>
        <v>800919.31168908963</v>
      </c>
      <c r="CI34" s="5">
        <f t="shared" si="37"/>
        <v>792910.11857219879</v>
      </c>
      <c r="CJ34" s="5">
        <f t="shared" si="37"/>
        <v>784981.01738647674</v>
      </c>
      <c r="CK34" s="5">
        <f t="shared" si="37"/>
        <v>777131.20721261192</v>
      </c>
      <c r="CL34" s="5">
        <f t="shared" si="37"/>
        <v>769359.89514048584</v>
      </c>
      <c r="CM34" s="5">
        <f t="shared" si="37"/>
        <v>761666.29618908092</v>
      </c>
      <c r="CN34" s="5">
        <f t="shared" si="37"/>
        <v>754049.63322719012</v>
      </c>
      <c r="CO34" s="5">
        <f t="shared" si="37"/>
        <v>746509.13689491816</v>
      </c>
      <c r="CP34" s="5">
        <f t="shared" si="37"/>
        <v>739044.04552596901</v>
      </c>
      <c r="CQ34" s="5">
        <f t="shared" si="37"/>
        <v>731653.60507070937</v>
      </c>
      <c r="CR34" s="5">
        <f t="shared" si="37"/>
        <v>724337.06902000227</v>
      </c>
      <c r="CS34" s="5">
        <f t="shared" si="37"/>
        <v>717093.69832980225</v>
      </c>
      <c r="CT34" s="5">
        <f t="shared" si="37"/>
        <v>709922.76134650421</v>
      </c>
      <c r="CU34" s="5">
        <f t="shared" si="37"/>
        <v>702823.53373303916</v>
      </c>
      <c r="CV34" s="5">
        <f t="shared" si="37"/>
        <v>695795.29839570879</v>
      </c>
      <c r="CW34" s="5">
        <f t="shared" si="37"/>
        <v>688837.34541175165</v>
      </c>
      <c r="CX34" s="5">
        <f t="shared" si="37"/>
        <v>681948.97195763409</v>
      </c>
      <c r="CY34" s="5">
        <f t="shared" si="37"/>
        <v>675129.48223805777</v>
      </c>
      <c r="CZ34" s="5">
        <f t="shared" si="37"/>
        <v>668378.18741567724</v>
      </c>
      <c r="DA34" s="5">
        <f t="shared" si="37"/>
        <v>661694.40554152045</v>
      </c>
      <c r="DB34" s="5">
        <f t="shared" si="37"/>
        <v>655077.46148610523</v>
      </c>
      <c r="DC34" s="5">
        <f t="shared" si="37"/>
        <v>648526.68687124422</v>
      </c>
      <c r="DD34" s="5">
        <f t="shared" si="37"/>
        <v>642041.42000253173</v>
      </c>
      <c r="DE34" s="5">
        <f t="shared" si="37"/>
        <v>635621.00580250635</v>
      </c>
      <c r="DF34" s="5">
        <f t="shared" si="37"/>
        <v>629264.79574448126</v>
      </c>
      <c r="DG34" s="5">
        <f t="shared" si="37"/>
        <v>622972.14778703649</v>
      </c>
      <c r="DH34" s="5">
        <f t="shared" si="37"/>
        <v>616742.42630916613</v>
      </c>
      <c r="DI34" s="5">
        <f t="shared" si="37"/>
        <v>610575.00204607449</v>
      </c>
      <c r="DJ34" s="5">
        <f t="shared" si="37"/>
        <v>604469.25202561368</v>
      </c>
      <c r="DK34" s="5">
        <f t="shared" si="37"/>
        <v>598424.55950535752</v>
      </c>
      <c r="DL34" s="5">
        <f t="shared" si="37"/>
        <v>592440.31391030399</v>
      </c>
      <c r="DM34" s="5">
        <f t="shared" si="37"/>
        <v>586515.9107712009</v>
      </c>
      <c r="DN34" s="5">
        <f t="shared" ref="DN34:FY34" si="38">DM34*(1+$BC$39)</f>
        <v>580650.75166348892</v>
      </c>
      <c r="DO34" s="5">
        <f t="shared" si="38"/>
        <v>574844.24414685403</v>
      </c>
      <c r="DP34" s="5">
        <f t="shared" si="38"/>
        <v>569095.80170538544</v>
      </c>
      <c r="DQ34" s="5">
        <f t="shared" si="38"/>
        <v>563404.84368833154</v>
      </c>
      <c r="DR34" s="5">
        <f t="shared" si="38"/>
        <v>557770.79525144817</v>
      </c>
      <c r="DS34" s="5">
        <f t="shared" si="38"/>
        <v>552193.08729893365</v>
      </c>
      <c r="DT34" s="5">
        <f t="shared" si="38"/>
        <v>546671.1564259443</v>
      </c>
      <c r="DU34" s="5">
        <f t="shared" si="38"/>
        <v>541204.44486168481</v>
      </c>
      <c r="DV34" s="5">
        <f t="shared" si="38"/>
        <v>535792.40041306801</v>
      </c>
      <c r="DW34" s="5">
        <f t="shared" si="38"/>
        <v>530434.47640893736</v>
      </c>
      <c r="DX34" s="5">
        <f t="shared" si="38"/>
        <v>525130.13164484804</v>
      </c>
      <c r="DY34" s="5">
        <f t="shared" si="38"/>
        <v>519878.83032839955</v>
      </c>
      <c r="DZ34" s="5">
        <f t="shared" si="38"/>
        <v>514680.04202511557</v>
      </c>
      <c r="EA34" s="5">
        <f t="shared" si="38"/>
        <v>509533.24160486442</v>
      </c>
      <c r="EB34" s="5">
        <f t="shared" si="38"/>
        <v>504437.9091888158</v>
      </c>
      <c r="EC34" s="5">
        <f t="shared" si="38"/>
        <v>499393.53009692766</v>
      </c>
      <c r="ED34" s="5">
        <f t="shared" si="38"/>
        <v>494399.59479595837</v>
      </c>
      <c r="EE34" s="5">
        <f t="shared" si="38"/>
        <v>489455.59884799877</v>
      </c>
      <c r="EF34" s="5">
        <f t="shared" si="38"/>
        <v>484561.04285951878</v>
      </c>
      <c r="EG34" s="5">
        <f t="shared" si="38"/>
        <v>479715.43243092357</v>
      </c>
      <c r="EH34" s="5">
        <f t="shared" si="38"/>
        <v>474918.27810661431</v>
      </c>
      <c r="EI34" s="5">
        <f t="shared" si="38"/>
        <v>470169.09532554814</v>
      </c>
      <c r="EJ34" s="5">
        <f t="shared" si="38"/>
        <v>465467.40437229263</v>
      </c>
      <c r="EK34" s="5">
        <f t="shared" si="38"/>
        <v>460812.73032856971</v>
      </c>
      <c r="EL34" s="5">
        <f t="shared" si="38"/>
        <v>456204.60302528401</v>
      </c>
      <c r="EM34" s="5">
        <f t="shared" si="38"/>
        <v>451642.55699503119</v>
      </c>
      <c r="EN34" s="5">
        <f t="shared" si="38"/>
        <v>447126.13142508088</v>
      </c>
      <c r="EO34" s="5">
        <f t="shared" si="38"/>
        <v>442654.87011083006</v>
      </c>
      <c r="EP34" s="5">
        <f t="shared" si="38"/>
        <v>438228.32140972174</v>
      </c>
      <c r="EQ34" s="5">
        <f t="shared" si="38"/>
        <v>433846.03819562454</v>
      </c>
      <c r="ER34" s="5">
        <f t="shared" si="38"/>
        <v>429507.57781366829</v>
      </c>
      <c r="ES34" s="5">
        <f t="shared" si="38"/>
        <v>425212.50203553162</v>
      </c>
      <c r="ET34" s="5">
        <f t="shared" si="38"/>
        <v>420960.37701517629</v>
      </c>
      <c r="EU34" s="5">
        <f t="shared" si="38"/>
        <v>416750.77324502449</v>
      </c>
      <c r="EV34" s="5">
        <f t="shared" si="38"/>
        <v>412583.26551257423</v>
      </c>
      <c r="EW34" s="5">
        <f t="shared" si="38"/>
        <v>408457.43285744847</v>
      </c>
      <c r="EX34" s="5">
        <f t="shared" si="38"/>
        <v>404372.858528874</v>
      </c>
      <c r="EY34" s="5">
        <f t="shared" si="38"/>
        <v>400329.12994358526</v>
      </c>
      <c r="EZ34" s="5">
        <f t="shared" si="38"/>
        <v>396325.83864414942</v>
      </c>
      <c r="FA34" s="5">
        <f t="shared" si="38"/>
        <v>392362.58025770792</v>
      </c>
      <c r="FB34" s="5">
        <f t="shared" si="38"/>
        <v>388438.95445513085</v>
      </c>
      <c r="FC34" s="5">
        <f t="shared" si="38"/>
        <v>384554.56491057953</v>
      </c>
      <c r="FD34" s="5">
        <f t="shared" si="38"/>
        <v>380709.01926147373</v>
      </c>
      <c r="FE34" s="5">
        <f t="shared" si="38"/>
        <v>376901.92906885897</v>
      </c>
      <c r="FF34" s="5">
        <f t="shared" si="38"/>
        <v>373132.9097781704</v>
      </c>
      <c r="FG34" s="5">
        <f t="shared" si="38"/>
        <v>369401.58068038872</v>
      </c>
      <c r="FH34" s="5">
        <f t="shared" si="38"/>
        <v>365707.56487358484</v>
      </c>
      <c r="FI34" s="5">
        <f t="shared" si="38"/>
        <v>362050.48922484898</v>
      </c>
      <c r="FJ34" s="5">
        <f t="shared" si="38"/>
        <v>358429.98433260049</v>
      </c>
      <c r="FK34" s="5">
        <f t="shared" si="38"/>
        <v>354845.68448927446</v>
      </c>
      <c r="FL34" s="5">
        <f t="shared" si="38"/>
        <v>351297.2276443817</v>
      </c>
      <c r="FM34" s="5">
        <f t="shared" si="38"/>
        <v>347784.25536793785</v>
      </c>
      <c r="FN34" s="5">
        <f t="shared" si="38"/>
        <v>344306.41281425848</v>
      </c>
      <c r="FO34" s="5">
        <f t="shared" si="38"/>
        <v>340863.34868611587</v>
      </c>
      <c r="FP34" s="5">
        <f t="shared" si="38"/>
        <v>337454.71519925469</v>
      </c>
      <c r="FQ34" s="5">
        <f t="shared" si="38"/>
        <v>334080.16804726212</v>
      </c>
      <c r="FR34" s="5">
        <f t="shared" si="38"/>
        <v>330739.3663667895</v>
      </c>
      <c r="FS34" s="5">
        <f t="shared" si="38"/>
        <v>327431.9727031216</v>
      </c>
      <c r="FT34" s="5">
        <f t="shared" si="38"/>
        <v>324157.65297609038</v>
      </c>
      <c r="FU34" s="5">
        <f t="shared" si="38"/>
        <v>320916.07644632948</v>
      </c>
      <c r="FV34" s="5">
        <f t="shared" si="38"/>
        <v>317706.91568186617</v>
      </c>
      <c r="FW34" s="5">
        <f t="shared" si="38"/>
        <v>314529.8465250475</v>
      </c>
      <c r="FX34" s="5">
        <f t="shared" si="38"/>
        <v>311384.54805979703</v>
      </c>
      <c r="FY34" s="5">
        <f t="shared" si="38"/>
        <v>308270.70257919905</v>
      </c>
      <c r="FZ34" s="5">
        <f t="shared" ref="FZ34:IK34" si="39">FY34*(1+$BC$39)</f>
        <v>305187.99555340706</v>
      </c>
      <c r="GA34" s="5">
        <f t="shared" si="39"/>
        <v>302136.11559787299</v>
      </c>
      <c r="GB34" s="5">
        <f t="shared" si="39"/>
        <v>299114.75444189424</v>
      </c>
      <c r="GC34" s="5">
        <f t="shared" si="39"/>
        <v>296123.60689747531</v>
      </c>
      <c r="GD34" s="5">
        <f t="shared" si="39"/>
        <v>293162.37082850054</v>
      </c>
      <c r="GE34" s="5">
        <f t="shared" si="39"/>
        <v>290230.74712021556</v>
      </c>
      <c r="GF34" s="5">
        <f t="shared" si="39"/>
        <v>287328.43964901339</v>
      </c>
      <c r="GG34" s="5">
        <f t="shared" si="39"/>
        <v>284455.15525252325</v>
      </c>
      <c r="GH34" s="5">
        <f t="shared" si="39"/>
        <v>281610.603699998</v>
      </c>
      <c r="GI34" s="5">
        <f t="shared" si="39"/>
        <v>278794.49766299804</v>
      </c>
      <c r="GJ34" s="5">
        <f t="shared" si="39"/>
        <v>276006.55268636806</v>
      </c>
      <c r="GK34" s="5">
        <f t="shared" si="39"/>
        <v>273246.48715950438</v>
      </c>
      <c r="GL34" s="5">
        <f t="shared" si="39"/>
        <v>270514.02228790935</v>
      </c>
      <c r="GM34" s="5">
        <f t="shared" si="39"/>
        <v>267808.88206503028</v>
      </c>
      <c r="GN34" s="5">
        <f t="shared" si="39"/>
        <v>265130.79324437998</v>
      </c>
      <c r="GO34" s="5">
        <f t="shared" si="39"/>
        <v>262479.48531193618</v>
      </c>
      <c r="GP34" s="5">
        <f t="shared" si="39"/>
        <v>259854.69045881683</v>
      </c>
      <c r="GQ34" s="5">
        <f t="shared" si="39"/>
        <v>257256.14355422865</v>
      </c>
      <c r="GR34" s="5">
        <f t="shared" si="39"/>
        <v>254683.58211868635</v>
      </c>
      <c r="GS34" s="5">
        <f t="shared" si="39"/>
        <v>252136.74629749949</v>
      </c>
      <c r="GT34" s="5">
        <f t="shared" si="39"/>
        <v>249615.37883452448</v>
      </c>
      <c r="GU34" s="5">
        <f t="shared" si="39"/>
        <v>247119.22504617923</v>
      </c>
      <c r="GV34" s="5">
        <f t="shared" si="39"/>
        <v>244648.03279571744</v>
      </c>
      <c r="GW34" s="5">
        <f t="shared" si="39"/>
        <v>242201.55246776028</v>
      </c>
      <c r="GX34" s="5">
        <f t="shared" si="39"/>
        <v>239779.53694308267</v>
      </c>
      <c r="GY34" s="5">
        <f t="shared" si="39"/>
        <v>237381.74157365185</v>
      </c>
      <c r="GZ34" s="5">
        <f t="shared" si="39"/>
        <v>235007.92415791532</v>
      </c>
      <c r="HA34" s="5">
        <f t="shared" si="39"/>
        <v>232657.84491633615</v>
      </c>
      <c r="HB34" s="5">
        <f t="shared" si="39"/>
        <v>230331.2664671728</v>
      </c>
      <c r="HC34" s="5">
        <f t="shared" si="39"/>
        <v>228027.95380250106</v>
      </c>
      <c r="HD34" s="5">
        <f t="shared" si="39"/>
        <v>225747.67426447605</v>
      </c>
      <c r="HE34" s="5">
        <f t="shared" si="39"/>
        <v>223490.19752183129</v>
      </c>
      <c r="HF34" s="5">
        <f t="shared" si="39"/>
        <v>221255.29554661296</v>
      </c>
      <c r="HG34" s="5">
        <f t="shared" si="39"/>
        <v>219042.74259114685</v>
      </c>
      <c r="HH34" s="5">
        <f t="shared" si="39"/>
        <v>216852.31516523537</v>
      </c>
      <c r="HI34" s="5">
        <f t="shared" si="39"/>
        <v>214683.79201358301</v>
      </c>
      <c r="HJ34" s="5">
        <f t="shared" si="39"/>
        <v>212536.95409344719</v>
      </c>
      <c r="HK34" s="5">
        <f t="shared" si="39"/>
        <v>210411.58455251271</v>
      </c>
      <c r="HL34" s="5">
        <f t="shared" si="39"/>
        <v>208307.46870698757</v>
      </c>
      <c r="HM34" s="5">
        <f t="shared" si="39"/>
        <v>206224.3940199177</v>
      </c>
      <c r="HN34" s="5">
        <f t="shared" si="39"/>
        <v>204162.15007971853</v>
      </c>
      <c r="HO34" s="5">
        <f t="shared" si="39"/>
        <v>202120.52857892134</v>
      </c>
      <c r="HP34" s="5">
        <f t="shared" si="39"/>
        <v>200099.32329313213</v>
      </c>
      <c r="HQ34" s="5">
        <f t="shared" si="39"/>
        <v>198098.33006020079</v>
      </c>
      <c r="HR34" s="5">
        <f t="shared" si="39"/>
        <v>196117.34675959879</v>
      </c>
      <c r="HS34" s="5">
        <f t="shared" si="39"/>
        <v>194156.17329200279</v>
      </c>
      <c r="HT34" s="5">
        <f t="shared" si="39"/>
        <v>192214.61155908275</v>
      </c>
      <c r="HU34" s="5">
        <f t="shared" si="39"/>
        <v>190292.46544349194</v>
      </c>
      <c r="HV34" s="5">
        <f t="shared" si="39"/>
        <v>188389.54078905701</v>
      </c>
      <c r="HW34" s="5">
        <f t="shared" si="39"/>
        <v>186505.64538116643</v>
      </c>
      <c r="HX34" s="5">
        <f t="shared" si="39"/>
        <v>184640.58892735475</v>
      </c>
      <c r="HY34" s="5">
        <f t="shared" si="39"/>
        <v>182794.18303808119</v>
      </c>
      <c r="HZ34" s="5">
        <f t="shared" si="39"/>
        <v>180966.24120770037</v>
      </c>
      <c r="IA34" s="5">
        <f t="shared" si="39"/>
        <v>179156.57879562335</v>
      </c>
      <c r="IB34" s="5">
        <f t="shared" si="39"/>
        <v>177365.01300766712</v>
      </c>
      <c r="IC34" s="5">
        <f t="shared" si="39"/>
        <v>175591.36287759044</v>
      </c>
      <c r="ID34" s="5">
        <f t="shared" si="39"/>
        <v>173835.44924881452</v>
      </c>
      <c r="IE34" s="5">
        <f t="shared" si="39"/>
        <v>172097.09475632638</v>
      </c>
      <c r="IF34" s="5">
        <f t="shared" si="39"/>
        <v>170376.12380876311</v>
      </c>
      <c r="IG34" s="5">
        <f t="shared" si="39"/>
        <v>168672.36257067547</v>
      </c>
      <c r="IH34" s="5">
        <f t="shared" si="39"/>
        <v>166985.6389449687</v>
      </c>
      <c r="II34" s="5">
        <f t="shared" si="39"/>
        <v>165315.78255551902</v>
      </c>
      <c r="IJ34" s="5">
        <f t="shared" si="39"/>
        <v>163662.62472996383</v>
      </c>
      <c r="IK34" s="5">
        <f t="shared" si="39"/>
        <v>162025.9984826642</v>
      </c>
      <c r="IL34" s="5">
        <f t="shared" ref="IL34:JT34" si="40">IK34*(1+$BC$39)</f>
        <v>160405.73849783756</v>
      </c>
      <c r="IM34" s="5">
        <f t="shared" si="40"/>
        <v>158801.68111285919</v>
      </c>
      <c r="IN34" s="5">
        <f t="shared" si="40"/>
        <v>157213.66430173061</v>
      </c>
      <c r="IO34" s="5">
        <f t="shared" si="40"/>
        <v>155641.52765871331</v>
      </c>
      <c r="IP34" s="5">
        <f t="shared" si="40"/>
        <v>154085.11238212619</v>
      </c>
      <c r="IQ34" s="5">
        <f t="shared" si="40"/>
        <v>152544.26125830493</v>
      </c>
      <c r="IR34" s="5">
        <f t="shared" si="40"/>
        <v>151018.81864572188</v>
      </c>
      <c r="IS34" s="5">
        <f t="shared" si="40"/>
        <v>149508.63045926468</v>
      </c>
      <c r="IT34" s="5">
        <f t="shared" si="40"/>
        <v>148013.54415467204</v>
      </c>
      <c r="IU34" s="5">
        <f t="shared" si="40"/>
        <v>146533.4087131253</v>
      </c>
      <c r="IV34" s="5">
        <f t="shared" si="40"/>
        <v>145068.07462599405</v>
      </c>
      <c r="IW34" s="5">
        <f t="shared" si="40"/>
        <v>143617.3938797341</v>
      </c>
      <c r="IX34" s="5">
        <f t="shared" si="40"/>
        <v>142181.21994093675</v>
      </c>
      <c r="IY34" s="5">
        <f t="shared" si="40"/>
        <v>140759.40774152736</v>
      </c>
      <c r="IZ34" s="5">
        <f t="shared" si="40"/>
        <v>139351.81366411209</v>
      </c>
      <c r="JA34" s="5">
        <f t="shared" si="40"/>
        <v>137958.29552747097</v>
      </c>
      <c r="JB34" s="5">
        <f t="shared" si="40"/>
        <v>136578.71257219627</v>
      </c>
      <c r="JC34" s="5">
        <f t="shared" si="40"/>
        <v>135212.92544647431</v>
      </c>
      <c r="JD34" s="5">
        <f t="shared" si="40"/>
        <v>133860.79619200955</v>
      </c>
      <c r="JE34" s="5">
        <f t="shared" si="40"/>
        <v>132522.18823008946</v>
      </c>
      <c r="JF34" s="5">
        <f t="shared" si="40"/>
        <v>131196.96634778858</v>
      </c>
      <c r="JG34" s="5">
        <f t="shared" si="40"/>
        <v>129884.9966843107</v>
      </c>
      <c r="JH34" s="5">
        <f t="shared" si="40"/>
        <v>128586.14671746759</v>
      </c>
      <c r="JI34" s="5">
        <f t="shared" si="40"/>
        <v>127300.28525029292</v>
      </c>
      <c r="JJ34" s="5">
        <f t="shared" si="40"/>
        <v>126027.28239778998</v>
      </c>
      <c r="JK34" s="5">
        <f t="shared" si="40"/>
        <v>124767.00957381209</v>
      </c>
      <c r="JL34" s="5">
        <f t="shared" si="40"/>
        <v>123519.33947807396</v>
      </c>
      <c r="JM34" s="5">
        <f t="shared" si="40"/>
        <v>122284.14608329322</v>
      </c>
      <c r="JN34" s="5">
        <f t="shared" si="40"/>
        <v>121061.30462246029</v>
      </c>
      <c r="JO34" s="5">
        <f t="shared" si="40"/>
        <v>119850.69157623568</v>
      </c>
      <c r="JP34" s="5">
        <f t="shared" si="40"/>
        <v>118652.18466047333</v>
      </c>
      <c r="JQ34" s="5">
        <f t="shared" si="40"/>
        <v>117465.66281386859</v>
      </c>
      <c r="JR34" s="5">
        <f t="shared" si="40"/>
        <v>116291.0061857299</v>
      </c>
      <c r="JS34" s="5">
        <f t="shared" si="40"/>
        <v>115128.0961238726</v>
      </c>
      <c r="JT34" s="5">
        <f t="shared" si="40"/>
        <v>113976.81516263388</v>
      </c>
    </row>
    <row r="35" spans="2:280" s="3" customFormat="1" x14ac:dyDescent="0.2">
      <c r="B35" s="3" t="s">
        <v>33</v>
      </c>
      <c r="C35" s="10">
        <f t="shared" ref="C35:J35" si="41">C34/C36</f>
        <v>0.35683760683760685</v>
      </c>
      <c r="D35" s="10">
        <f t="shared" si="41"/>
        <v>0.13449023861171366</v>
      </c>
      <c r="E35" s="10">
        <f t="shared" si="41"/>
        <v>-0.94384449244060475</v>
      </c>
      <c r="F35" s="10">
        <f t="shared" si="41"/>
        <v>0.45338983050847459</v>
      </c>
      <c r="G35" s="10">
        <f t="shared" si="41"/>
        <v>0.18279569892473119</v>
      </c>
      <c r="H35" s="10">
        <f t="shared" si="41"/>
        <v>0.5672268907563025</v>
      </c>
      <c r="I35" s="10">
        <f t="shared" si="41"/>
        <v>0.16527196652719664</v>
      </c>
      <c r="J35" s="10">
        <f t="shared" si="41"/>
        <v>1.002079002079002</v>
      </c>
      <c r="K35" s="10">
        <f t="shared" ref="K35:N35" si="42">K34/K36</f>
        <v>1.1767151767151767</v>
      </c>
      <c r="L35" s="10">
        <f t="shared" si="42"/>
        <v>1.9482401656314701</v>
      </c>
      <c r="M35" s="10">
        <f t="shared" si="42"/>
        <v>1.3687621118012414</v>
      </c>
      <c r="N35" s="10">
        <f t="shared" si="42"/>
        <v>3.7617378881987573</v>
      </c>
      <c r="W35" s="1"/>
      <c r="Z35" s="1">
        <f t="shared" ref="Z35:AZ35" si="43">Z34/Z36</f>
        <v>2.6580188679245285</v>
      </c>
      <c r="AA35" s="1">
        <f t="shared" si="43"/>
        <v>4.1698113207547172</v>
      </c>
      <c r="AB35" s="1">
        <f t="shared" si="43"/>
        <v>1.4930555555555556</v>
      </c>
      <c r="AC35" s="1">
        <f t="shared" si="43"/>
        <v>2.0407239819004523</v>
      </c>
      <c r="AD35" s="1">
        <f t="shared" si="43"/>
        <v>2.5263157894736841</v>
      </c>
      <c r="AE35" s="1">
        <f t="shared" si="43"/>
        <v>1.3687635574837311</v>
      </c>
      <c r="AF35" s="1">
        <f t="shared" si="43"/>
        <v>-8.6092715231788075E-2</v>
      </c>
      <c r="AG35" s="1">
        <f t="shared" si="43"/>
        <v>0.58924731182795698</v>
      </c>
      <c r="AH35" s="1">
        <f t="shared" si="43"/>
        <v>-0.52164502164502169</v>
      </c>
      <c r="AI35" s="1">
        <f t="shared" si="43"/>
        <v>1.249475890985325</v>
      </c>
      <c r="AJ35" s="1">
        <f t="shared" si="43"/>
        <v>7.9557919254658405</v>
      </c>
      <c r="AK35" s="1">
        <f t="shared" si="43"/>
        <v>11.318310335403719</v>
      </c>
      <c r="AL35" s="1">
        <f t="shared" si="43"/>
        <v>15.683323314298132</v>
      </c>
      <c r="AM35" s="1">
        <f t="shared" si="43"/>
        <v>22.046589371144933</v>
      </c>
      <c r="AN35" s="1">
        <f t="shared" si="43"/>
        <v>31.311809324021969</v>
      </c>
      <c r="AO35" s="1">
        <f t="shared" si="43"/>
        <v>44.773779229233035</v>
      </c>
      <c r="AP35" s="1">
        <f t="shared" si="43"/>
        <v>64.282117283630427</v>
      </c>
      <c r="AQ35" s="1">
        <f t="shared" si="43"/>
        <v>92.472149524455133</v>
      </c>
      <c r="AR35" s="1">
        <f t="shared" si="43"/>
        <v>133.0901835316325</v>
      </c>
      <c r="AS35" s="1">
        <f t="shared" si="43"/>
        <v>191.45136902209779</v>
      </c>
      <c r="AT35" s="1">
        <f t="shared" si="43"/>
        <v>275.08371811993607</v>
      </c>
      <c r="AU35" s="1">
        <f t="shared" si="43"/>
        <v>394.63340125169844</v>
      </c>
      <c r="AV35" s="1">
        <f t="shared" si="43"/>
        <v>565.13661883196914</v>
      </c>
      <c r="AW35" s="1">
        <f t="shared" si="43"/>
        <v>807.80563549361977</v>
      </c>
      <c r="AX35" s="1">
        <f t="shared" si="43"/>
        <v>1152.5357994358628</v>
      </c>
      <c r="AY35" s="1">
        <f t="shared" si="43"/>
        <v>1641.423341315786</v>
      </c>
      <c r="AZ35" s="1">
        <f t="shared" si="43"/>
        <v>2333.6999579736284</v>
      </c>
    </row>
    <row r="36" spans="2:280" s="3" customFormat="1" x14ac:dyDescent="0.2">
      <c r="B36" s="3" t="s">
        <v>1</v>
      </c>
      <c r="C36" s="4">
        <v>468</v>
      </c>
      <c r="D36" s="4">
        <v>461</v>
      </c>
      <c r="E36" s="4">
        <v>463</v>
      </c>
      <c r="F36" s="4">
        <v>472</v>
      </c>
      <c r="G36" s="4">
        <v>465</v>
      </c>
      <c r="H36" s="4">
        <v>476</v>
      </c>
      <c r="I36" s="4">
        <v>478</v>
      </c>
      <c r="J36" s="4">
        <v>481</v>
      </c>
      <c r="K36" s="4">
        <v>481</v>
      </c>
      <c r="L36" s="4">
        <v>483</v>
      </c>
      <c r="M36" s="4">
        <f t="shared" ref="M36:N36" si="44">+L36</f>
        <v>483</v>
      </c>
      <c r="N36" s="4">
        <f t="shared" si="44"/>
        <v>483</v>
      </c>
      <c r="Z36" s="3">
        <v>424</v>
      </c>
      <c r="AA36" s="3">
        <v>424</v>
      </c>
      <c r="AB36" s="3">
        <v>432</v>
      </c>
      <c r="AC36" s="3">
        <v>442</v>
      </c>
      <c r="AD36" s="3">
        <v>456</v>
      </c>
      <c r="AE36" s="3">
        <v>461</v>
      </c>
      <c r="AF36" s="3">
        <v>453</v>
      </c>
      <c r="AG36" s="3">
        <v>465</v>
      </c>
      <c r="AH36" s="3">
        <v>462</v>
      </c>
      <c r="AI36" s="3">
        <v>477</v>
      </c>
      <c r="AJ36" s="4">
        <f>N36</f>
        <v>483</v>
      </c>
      <c r="AK36" s="3">
        <f>AJ36</f>
        <v>483</v>
      </c>
      <c r="AL36" s="3">
        <f t="shared" ref="AL36:AZ36" si="45">AK36</f>
        <v>483</v>
      </c>
      <c r="AM36" s="3">
        <f t="shared" si="45"/>
        <v>483</v>
      </c>
      <c r="AN36" s="3">
        <f t="shared" si="45"/>
        <v>483</v>
      </c>
      <c r="AO36" s="3">
        <f t="shared" si="45"/>
        <v>483</v>
      </c>
      <c r="AP36" s="3">
        <f t="shared" si="45"/>
        <v>483</v>
      </c>
      <c r="AQ36" s="3">
        <f t="shared" si="45"/>
        <v>483</v>
      </c>
      <c r="AR36" s="3">
        <f t="shared" si="45"/>
        <v>483</v>
      </c>
      <c r="AS36" s="3">
        <f t="shared" si="45"/>
        <v>483</v>
      </c>
      <c r="AT36" s="3">
        <f t="shared" si="45"/>
        <v>483</v>
      </c>
      <c r="AU36" s="3">
        <f t="shared" si="45"/>
        <v>483</v>
      </c>
      <c r="AV36" s="3">
        <f t="shared" si="45"/>
        <v>483</v>
      </c>
      <c r="AW36" s="3">
        <f t="shared" si="45"/>
        <v>483</v>
      </c>
      <c r="AX36" s="3">
        <f t="shared" si="45"/>
        <v>483</v>
      </c>
      <c r="AY36" s="3">
        <f t="shared" si="45"/>
        <v>483</v>
      </c>
      <c r="AZ36" s="3">
        <f t="shared" si="45"/>
        <v>483</v>
      </c>
    </row>
    <row r="37" spans="2:280" s="3" customForma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280" s="7" customFormat="1" x14ac:dyDescent="0.2">
      <c r="B38" s="7" t="s">
        <v>36</v>
      </c>
      <c r="C38" s="8"/>
      <c r="D38" s="8"/>
      <c r="E38" s="8"/>
      <c r="F38" s="8"/>
      <c r="G38" s="16">
        <f t="shared" ref="G38:K40" si="46">G20/C20-1</f>
        <v>8.7806431072906754E-2</v>
      </c>
      <c r="H38" s="16">
        <f t="shared" si="46"/>
        <v>0.12150022949314798</v>
      </c>
      <c r="I38" s="16">
        <f t="shared" si="46"/>
        <v>0.15235301460491835</v>
      </c>
      <c r="J38" s="16">
        <f t="shared" si="46"/>
        <v>0.15219461518483257</v>
      </c>
      <c r="K38" s="16">
        <f t="shared" si="46"/>
        <v>0.20469445094825578</v>
      </c>
      <c r="L38" s="16">
        <f t="shared" ref="L38:N38" si="47">L20/H20-1</f>
        <v>0.23456501403180541</v>
      </c>
      <c r="M38" s="16">
        <f t="shared" si="47"/>
        <v>0.14999999999999991</v>
      </c>
      <c r="N38" s="16">
        <f t="shared" si="47"/>
        <v>0.14999999999999991</v>
      </c>
      <c r="AE38" s="17"/>
      <c r="AF38" s="17">
        <f t="shared" ref="AF38:AI40" si="48">AF20/AE20-1</f>
        <v>0.23173809523809519</v>
      </c>
      <c r="AG38" s="17">
        <f t="shared" si="48"/>
        <v>0.17725629675448951</v>
      </c>
      <c r="AH38" s="17">
        <f t="shared" si="48"/>
        <v>0.15068223240234468</v>
      </c>
      <c r="AI38" s="17">
        <f t="shared" si="48"/>
        <v>0.131107305936073</v>
      </c>
      <c r="AJ38" s="17">
        <f t="shared" ref="AJ38:AJ40" si="49">AJ20/AI20-1</f>
        <v>0.18004932633597415</v>
      </c>
      <c r="AK38" s="17">
        <f t="shared" ref="AK38:AK40" si="50">AK20/AJ20-1</f>
        <v>0.14999999999999991</v>
      </c>
      <c r="AL38" s="17">
        <f t="shared" ref="AL38:AL40" si="51">AL20/AK20-1</f>
        <v>0.14999999999999991</v>
      </c>
      <c r="AM38" s="17">
        <f t="shared" ref="AM38:AM40" si="52">AM20/AL20-1</f>
        <v>0.14999999999999991</v>
      </c>
      <c r="AN38" s="17">
        <f t="shared" ref="AN38:AN40" si="53">AN20/AM20-1</f>
        <v>0.14999999999999991</v>
      </c>
      <c r="AO38" s="17">
        <f t="shared" ref="AO38:AO40" si="54">AO20/AN20-1</f>
        <v>0.14999999999999991</v>
      </c>
      <c r="AP38" s="17">
        <f t="shared" ref="AP38:AP40" si="55">AP20/AO20-1</f>
        <v>0.14999999999999991</v>
      </c>
      <c r="AQ38" s="17">
        <f t="shared" ref="AQ38:AQ40" si="56">AQ20/AP20-1</f>
        <v>0.14999999999999991</v>
      </c>
      <c r="AR38" s="17">
        <f t="shared" ref="AR38:AR40" si="57">AR20/AQ20-1</f>
        <v>0.14999999999999991</v>
      </c>
      <c r="AS38" s="17">
        <f t="shared" ref="AS38:AS40" si="58">AS20/AR20-1</f>
        <v>0.14999999999999991</v>
      </c>
      <c r="AT38" s="17">
        <f t="shared" ref="AT38:AT40" si="59">AT20/AS20-1</f>
        <v>0.14999999999999991</v>
      </c>
      <c r="AU38" s="17">
        <f t="shared" ref="AU38:AU40" si="60">AU20/AT20-1</f>
        <v>0.14999999999999991</v>
      </c>
      <c r="AV38" s="17">
        <f t="shared" ref="AV38:AV40" si="61">AV20/AU20-1</f>
        <v>0.14999999999999991</v>
      </c>
      <c r="AW38" s="17">
        <f t="shared" ref="AW38:AW40" si="62">AW20/AV20-1</f>
        <v>0.14999999999999991</v>
      </c>
      <c r="AX38" s="17">
        <f t="shared" ref="AX38:AX40" si="63">AX20/AW20-1</f>
        <v>0.14999999999999991</v>
      </c>
      <c r="AY38" s="17">
        <f t="shared" ref="AY38:AY40" si="64">AY20/AX20-1</f>
        <v>0.14999999999999991</v>
      </c>
      <c r="AZ38" s="17">
        <f t="shared" ref="AZ38:AZ40" si="65">AZ20/AY20-1</f>
        <v>0.14999999999999991</v>
      </c>
    </row>
    <row r="39" spans="2:280" s="7" customFormat="1" x14ac:dyDescent="0.2">
      <c r="B39" s="7" t="s">
        <v>46</v>
      </c>
      <c r="C39" s="8"/>
      <c r="D39" s="8"/>
      <c r="E39" s="8"/>
      <c r="F39" s="8"/>
      <c r="G39" s="16">
        <f t="shared" si="46"/>
        <v>0.39568880079286428</v>
      </c>
      <c r="H39" s="16">
        <f t="shared" si="46"/>
        <v>0.48716067498165816</v>
      </c>
      <c r="I39" s="16">
        <f t="shared" si="46"/>
        <v>0.51305683563748072</v>
      </c>
      <c r="J39" s="16">
        <f t="shared" si="46"/>
        <v>0.46627047863796989</v>
      </c>
      <c r="K39" s="16">
        <f t="shared" si="46"/>
        <v>0.5173087164921002</v>
      </c>
      <c r="L39" s="16">
        <f t="shared" ref="L39:N39" si="66">L21/H21-1</f>
        <v>0.5273803650715343</v>
      </c>
      <c r="M39" s="16">
        <f t="shared" si="66"/>
        <v>0.39999999999999991</v>
      </c>
      <c r="N39" s="16">
        <f t="shared" si="66"/>
        <v>0.39999999999999991</v>
      </c>
      <c r="AE39" s="17"/>
      <c r="AF39" s="17">
        <f t="shared" si="48"/>
        <v>0.540233667928254</v>
      </c>
      <c r="AG39" s="17">
        <f t="shared" si="48"/>
        <v>0.44754273504273501</v>
      </c>
      <c r="AH39" s="17">
        <f t="shared" si="48"/>
        <v>0.3955273451915271</v>
      </c>
      <c r="AI39" s="17">
        <f t="shared" si="48"/>
        <v>0.46699809604400255</v>
      </c>
      <c r="AJ39" s="17">
        <f t="shared" si="49"/>
        <v>0.45174850385752396</v>
      </c>
      <c r="AK39" s="17">
        <f t="shared" si="50"/>
        <v>0.39999999999999991</v>
      </c>
      <c r="AL39" s="17">
        <f t="shared" si="51"/>
        <v>0.39999999999999991</v>
      </c>
      <c r="AM39" s="17">
        <f t="shared" si="52"/>
        <v>0.39999999999999991</v>
      </c>
      <c r="AN39" s="17">
        <f t="shared" si="53"/>
        <v>0.40000000000000013</v>
      </c>
      <c r="AO39" s="17">
        <f t="shared" si="54"/>
        <v>0.39999999999999991</v>
      </c>
      <c r="AP39" s="17">
        <f t="shared" si="55"/>
        <v>0.39999999999999991</v>
      </c>
      <c r="AQ39" s="17">
        <f t="shared" si="56"/>
        <v>0.39999999999999991</v>
      </c>
      <c r="AR39" s="17">
        <f t="shared" si="57"/>
        <v>0.39999999999999991</v>
      </c>
      <c r="AS39" s="17">
        <f t="shared" si="58"/>
        <v>0.39999999999999991</v>
      </c>
      <c r="AT39" s="17">
        <f t="shared" si="59"/>
        <v>0.40000000000000013</v>
      </c>
      <c r="AU39" s="17">
        <f t="shared" si="60"/>
        <v>0.39999999999999991</v>
      </c>
      <c r="AV39" s="17">
        <f t="shared" si="61"/>
        <v>0.39999999999999991</v>
      </c>
      <c r="AW39" s="17">
        <f t="shared" si="62"/>
        <v>0.39999999999999991</v>
      </c>
      <c r="AX39" s="17">
        <f t="shared" si="63"/>
        <v>0.39999999999999991</v>
      </c>
      <c r="AY39" s="17">
        <f t="shared" si="64"/>
        <v>0.39999999999999991</v>
      </c>
      <c r="AZ39" s="17">
        <f t="shared" si="65"/>
        <v>0.39999999999999991</v>
      </c>
      <c r="BB39" s="7" t="s">
        <v>66</v>
      </c>
      <c r="BC39" s="22">
        <v>-0.01</v>
      </c>
    </row>
    <row r="40" spans="2:280" s="5" customFormat="1" x14ac:dyDescent="0.2">
      <c r="B40" s="5" t="s">
        <v>35</v>
      </c>
      <c r="C40" s="6"/>
      <c r="D40" s="6"/>
      <c r="E40" s="6"/>
      <c r="F40" s="6"/>
      <c r="G40" s="11">
        <f t="shared" si="46"/>
        <v>0.15075224152778488</v>
      </c>
      <c r="H40" s="11">
        <f t="shared" si="46"/>
        <v>0.19881075491209921</v>
      </c>
      <c r="I40" s="11">
        <f t="shared" si="46"/>
        <v>0.23222702755235924</v>
      </c>
      <c r="J40" s="11">
        <f t="shared" si="46"/>
        <v>0.21886933987997814</v>
      </c>
      <c r="K40" s="11">
        <f t="shared" si="46"/>
        <v>0.28221155962495037</v>
      </c>
      <c r="L40" s="11">
        <f t="shared" ref="L40:N40" si="67">L22/H22-1</f>
        <v>0.31136510675005402</v>
      </c>
      <c r="M40" s="11">
        <f t="shared" si="67"/>
        <v>0.21797657543970339</v>
      </c>
      <c r="N40" s="11">
        <f t="shared" si="67"/>
        <v>0.21384451842112617</v>
      </c>
      <c r="Q40" s="12">
        <f t="shared" ref="Q40:Z40" si="68">Q22/P22-1</f>
        <v>8.3856852533976891</v>
      </c>
      <c r="R40" s="12">
        <f t="shared" si="68"/>
        <v>3.1263372285789677</v>
      </c>
      <c r="S40" s="12">
        <f t="shared" si="68"/>
        <v>1.6890585567192891</v>
      </c>
      <c r="T40" s="12">
        <f t="shared" si="68"/>
        <v>0.68430132470321792</v>
      </c>
      <c r="U40" s="12">
        <f t="shared" si="68"/>
        <v>0.1305040617556299</v>
      </c>
      <c r="V40" s="12">
        <f t="shared" si="68"/>
        <v>0.25957418461821291</v>
      </c>
      <c r="W40" s="12">
        <f t="shared" si="68"/>
        <v>0.3383637567455966</v>
      </c>
      <c r="X40" s="12">
        <f t="shared" si="68"/>
        <v>0.31485481977597884</v>
      </c>
      <c r="Y40" s="12">
        <f t="shared" si="68"/>
        <v>0.22670134373645423</v>
      </c>
      <c r="Z40" s="12">
        <f t="shared" si="68"/>
        <v>0.26160188457008249</v>
      </c>
      <c r="AA40" s="12">
        <f>AA22/Z22-1</f>
        <v>0.38502474092054895</v>
      </c>
      <c r="AB40" s="12">
        <f>AB22/AA22-1</f>
        <v>0.29194472531176263</v>
      </c>
      <c r="AC40" s="12">
        <f>AC22/AB22-1</f>
        <v>0.27877491391004905</v>
      </c>
      <c r="AD40" s="12">
        <f>AD22/AC22-1</f>
        <v>0.39556897466236896</v>
      </c>
      <c r="AE40" s="12">
        <f>AE22/AD22-1</f>
        <v>0.40559583674424049</v>
      </c>
      <c r="AF40" s="12">
        <f t="shared" si="48"/>
        <v>0.27073236682821311</v>
      </c>
      <c r="AG40" s="12">
        <f t="shared" si="48"/>
        <v>0.21866662301736706</v>
      </c>
      <c r="AH40" s="12">
        <f t="shared" si="48"/>
        <v>0.1952398861011122</v>
      </c>
      <c r="AI40" s="12">
        <f t="shared" si="48"/>
        <v>0.20247673843664304</v>
      </c>
      <c r="AJ40" s="12">
        <f t="shared" si="49"/>
        <v>0.25047894510588198</v>
      </c>
      <c r="AK40" s="12">
        <f t="shared" si="50"/>
        <v>0.22523536390557397</v>
      </c>
      <c r="AL40" s="12">
        <f t="shared" si="51"/>
        <v>0.23596675591541394</v>
      </c>
      <c r="AM40" s="12">
        <f t="shared" si="52"/>
        <v>0.24737596719779109</v>
      </c>
      <c r="AN40" s="12">
        <f t="shared" si="53"/>
        <v>0.25929050876550264</v>
      </c>
      <c r="AO40" s="12">
        <f t="shared" si="54"/>
        <v>0.27150231515815815</v>
      </c>
      <c r="AP40" s="12">
        <f t="shared" si="55"/>
        <v>0.28378130672161839</v>
      </c>
      <c r="AQ40" s="12">
        <f t="shared" si="56"/>
        <v>0.29589231704000785</v>
      </c>
      <c r="AR40" s="12">
        <f t="shared" si="57"/>
        <v>0.30761282104252574</v>
      </c>
      <c r="AS40" s="12">
        <f t="shared" si="58"/>
        <v>0.3187486891445519</v>
      </c>
      <c r="AT40" s="12">
        <f t="shared" si="59"/>
        <v>0.32914570588549608</v>
      </c>
      <c r="AU40" s="12">
        <f t="shared" si="60"/>
        <v>0.33869563143388026</v>
      </c>
      <c r="AV40" s="12">
        <f t="shared" si="61"/>
        <v>0.34733677902905757</v>
      </c>
      <c r="AW40" s="12">
        <f t="shared" si="62"/>
        <v>0.35505006242000769</v>
      </c>
      <c r="AX40" s="12">
        <f t="shared" si="63"/>
        <v>0.36185201591395644</v>
      </c>
      <c r="AY40" s="12">
        <f t="shared" si="64"/>
        <v>0.36778638120272666</v>
      </c>
      <c r="AZ40" s="12">
        <f t="shared" si="65"/>
        <v>0.37291560866084295</v>
      </c>
      <c r="BB40" s="7" t="s">
        <v>65</v>
      </c>
      <c r="BC40" s="22">
        <v>0.03</v>
      </c>
    </row>
    <row r="41" spans="2:280" s="3" customForma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BB41" s="3" t="s">
        <v>67</v>
      </c>
      <c r="BC41" s="23">
        <v>8.5000000000000006E-2</v>
      </c>
    </row>
    <row r="42" spans="2:280" x14ac:dyDescent="0.2">
      <c r="B42" s="3" t="s">
        <v>22</v>
      </c>
      <c r="C42" s="9">
        <f t="shared" ref="C42" si="69">C25/C22</f>
        <v>0.17066004761663542</v>
      </c>
      <c r="D42" s="9">
        <f t="shared" ref="D42:E42" si="70">D25/D22</f>
        <v>0.18402275077559463</v>
      </c>
      <c r="E42" s="9">
        <f t="shared" si="70"/>
        <v>0.16079498517906604</v>
      </c>
      <c r="F42" s="9">
        <f>F25/F22</f>
        <v>0.17843016912165849</v>
      </c>
      <c r="G42" s="9">
        <f>G25/G22</f>
        <v>0.20086278998107143</v>
      </c>
      <c r="H42" s="9">
        <f>H25/H22</f>
        <v>0.20681475091654086</v>
      </c>
      <c r="I42" s="9">
        <f>I25/I22</f>
        <v>0.21188579540973262</v>
      </c>
      <c r="J42" s="9">
        <f>J25/J22</f>
        <v>0.19190421573838365</v>
      </c>
      <c r="K42" s="9">
        <f t="shared" ref="K42:N42" si="71">K25/K22</f>
        <v>0.22572782202691569</v>
      </c>
      <c r="L42" s="9">
        <f t="shared" si="71"/>
        <v>0.24161294566504407</v>
      </c>
      <c r="M42" s="9">
        <f t="shared" si="71"/>
        <v>0.23</v>
      </c>
      <c r="N42" s="9">
        <f t="shared" si="71"/>
        <v>0.23</v>
      </c>
      <c r="Z42" s="9">
        <f t="shared" ref="Z42:AB42" si="72">Z25/Z22</f>
        <v>0.22929698440855195</v>
      </c>
      <c r="AA42" s="9">
        <f t="shared" si="72"/>
        <v>0.22601954836535221</v>
      </c>
      <c r="AB42" s="9">
        <f t="shared" si="72"/>
        <v>0.13628300114786601</v>
      </c>
      <c r="AC42" s="9">
        <f t="shared" ref="AC42:AD42" si="73">AC25/AC22</f>
        <v>0.14194785588967318</v>
      </c>
      <c r="AD42" s="9">
        <f t="shared" si="73"/>
        <v>0.13872646474096598</v>
      </c>
      <c r="AE42" s="9">
        <f t="shared" ref="AE42:AF42" si="74">AE25/AE22</f>
        <v>0.12923019323169083</v>
      </c>
      <c r="AF42" s="9">
        <f t="shared" si="74"/>
        <v>0.14245494573846432</v>
      </c>
      <c r="AG42" s="9">
        <f t="shared" ref="AG42" si="75">AG25/AG22</f>
        <v>0.1569601891151346</v>
      </c>
      <c r="AH42" s="9">
        <f t="shared" ref="AH42:AJ42" si="76">AH25/AH22</f>
        <v>0.17384366431428958</v>
      </c>
      <c r="AI42" s="9">
        <f t="shared" si="76"/>
        <v>0.20508195802104554</v>
      </c>
      <c r="AJ42" s="9">
        <f t="shared" si="76"/>
        <v>0.23</v>
      </c>
      <c r="AK42" s="9">
        <f t="shared" ref="AK42:AZ42" si="77">AK25/AK22</f>
        <v>0.22999999999999998</v>
      </c>
      <c r="AL42" s="9">
        <f t="shared" si="77"/>
        <v>0.23</v>
      </c>
      <c r="AM42" s="9">
        <f t="shared" si="77"/>
        <v>0.23</v>
      </c>
      <c r="AN42" s="9">
        <f t="shared" si="77"/>
        <v>0.22999999999999998</v>
      </c>
      <c r="AO42" s="9">
        <f t="shared" si="77"/>
        <v>0.23</v>
      </c>
      <c r="AP42" s="9">
        <f t="shared" si="77"/>
        <v>0.23</v>
      </c>
      <c r="AQ42" s="9">
        <f t="shared" si="77"/>
        <v>0.23000000000000004</v>
      </c>
      <c r="AR42" s="9">
        <f t="shared" si="77"/>
        <v>0.23</v>
      </c>
      <c r="AS42" s="9">
        <f t="shared" si="77"/>
        <v>0.23</v>
      </c>
      <c r="AT42" s="9">
        <f t="shared" si="77"/>
        <v>0.23</v>
      </c>
      <c r="AU42" s="9">
        <f t="shared" si="77"/>
        <v>0.23</v>
      </c>
      <c r="AV42" s="9">
        <f t="shared" si="77"/>
        <v>0.23</v>
      </c>
      <c r="AW42" s="9">
        <f t="shared" si="77"/>
        <v>0.23</v>
      </c>
      <c r="AX42" s="9">
        <f t="shared" si="77"/>
        <v>0.22999999999999998</v>
      </c>
      <c r="AY42" s="9">
        <f t="shared" si="77"/>
        <v>0.23</v>
      </c>
      <c r="AZ42" s="9">
        <f t="shared" si="77"/>
        <v>0.23</v>
      </c>
      <c r="BB42" s="3" t="s">
        <v>68</v>
      </c>
      <c r="BC42" s="3">
        <f>NPV(BC41,AJ34:JT34)</f>
        <v>4097700.2151382873</v>
      </c>
      <c r="BD42" s="7"/>
    </row>
    <row r="43" spans="2:280" x14ac:dyDescent="0.2">
      <c r="B43" s="3" t="s">
        <v>34</v>
      </c>
      <c r="C43" s="9">
        <f t="shared" ref="C43:N43" si="78">C30/C22</f>
        <v>9.1687351198014282E-3</v>
      </c>
      <c r="D43" s="9">
        <f t="shared" si="78"/>
        <v>-7.7559462254395031E-4</v>
      </c>
      <c r="E43" s="9">
        <f t="shared" si="78"/>
        <v>-2.6434715000728897E-2</v>
      </c>
      <c r="F43" s="9">
        <f t="shared" si="78"/>
        <v>2.015139116202946E-2</v>
      </c>
      <c r="G43" s="9">
        <f t="shared" si="78"/>
        <v>1.1225073733327463E-2</v>
      </c>
      <c r="H43" s="9">
        <f t="shared" si="78"/>
        <v>4.7444468406297171E-3</v>
      </c>
      <c r="I43" s="9">
        <f t="shared" si="78"/>
        <v>1.6010726397980915E-2</v>
      </c>
      <c r="J43" s="9">
        <f t="shared" si="78"/>
        <v>3.0995608023050885E-2</v>
      </c>
      <c r="K43" s="9">
        <f t="shared" si="78"/>
        <v>3.6768744850315845E-2</v>
      </c>
      <c r="L43" s="9">
        <f t="shared" si="78"/>
        <v>4.4073148269964481E-2</v>
      </c>
      <c r="M43" s="9">
        <f t="shared" si="78"/>
        <v>3.8654236865579082E-2</v>
      </c>
      <c r="N43" s="9">
        <f t="shared" si="78"/>
        <v>7.1908400992825749E-2</v>
      </c>
      <c r="Z43" s="9">
        <f t="shared" ref="Z43:AZ43" si="79">Z30/Z22</f>
        <v>0.12379796470917748</v>
      </c>
      <c r="AA43" s="9">
        <f t="shared" si="79"/>
        <v>0.13124368048533872</v>
      </c>
      <c r="AB43" s="9">
        <f t="shared" si="79"/>
        <v>4.3931962850881773E-2</v>
      </c>
      <c r="AC43" s="9">
        <f t="shared" si="79"/>
        <v>4.6064710922518258E-2</v>
      </c>
      <c r="AD43" s="9">
        <f t="shared" si="79"/>
        <v>4.1106303356332592E-2</v>
      </c>
      <c r="AE43" s="9">
        <f t="shared" si="79"/>
        <v>1.79295713126859E-2</v>
      </c>
      <c r="AF43" s="9">
        <f t="shared" si="79"/>
        <v>1.1065097474342396E-2</v>
      </c>
      <c r="AG43" s="9">
        <f t="shared" si="79"/>
        <v>1.0006447106860796E-2</v>
      </c>
      <c r="AH43" s="9">
        <f t="shared" si="79"/>
        <v>2.000269699285297E-3</v>
      </c>
      <c r="AI43" s="9">
        <f t="shared" si="79"/>
        <v>2.0867988710913405E-2</v>
      </c>
      <c r="AJ43" s="9">
        <f t="shared" si="79"/>
        <v>4.8549982717871608E-2</v>
      </c>
      <c r="AK43" s="9">
        <f t="shared" si="79"/>
        <v>5.3596878781943288E-2</v>
      </c>
      <c r="AL43" s="9">
        <f t="shared" si="79"/>
        <v>5.9895840141801465E-2</v>
      </c>
      <c r="AM43" s="9">
        <f t="shared" si="79"/>
        <v>6.7384378937087847E-2</v>
      </c>
      <c r="AN43" s="9">
        <f t="shared" si="79"/>
        <v>7.5938600315438698E-2</v>
      </c>
      <c r="AO43" s="9">
        <f t="shared" si="79"/>
        <v>8.537893742790037E-2</v>
      </c>
      <c r="AP43" s="9">
        <f t="shared" si="79"/>
        <v>9.5482673610247301E-2</v>
      </c>
      <c r="AQ43" s="9">
        <f t="shared" si="79"/>
        <v>0.10600152975614245</v>
      </c>
      <c r="AR43" s="9">
        <f t="shared" si="79"/>
        <v>0.11668151123061762</v>
      </c>
      <c r="AS43" s="9">
        <f t="shared" si="79"/>
        <v>0.12728186871140579</v>
      </c>
      <c r="AT43" s="9">
        <f t="shared" si="79"/>
        <v>0.13759050041415344</v>
      </c>
      <c r="AU43" s="9">
        <f t="shared" si="79"/>
        <v>0.14743417445780305</v>
      </c>
      <c r="AV43" s="9">
        <f t="shared" si="79"/>
        <v>0.15668317905262574</v>
      </c>
      <c r="AW43" s="9">
        <f t="shared" si="79"/>
        <v>0.16525104072468344</v>
      </c>
      <c r="AX43" s="9">
        <f t="shared" si="79"/>
        <v>0.17309057398893957</v>
      </c>
      <c r="AY43" s="9">
        <f t="shared" si="79"/>
        <v>0.1801877146002264</v>
      </c>
      <c r="AZ43" s="9">
        <f t="shared" si="79"/>
        <v>0.18655444819008546</v>
      </c>
      <c r="BB43" s="3" t="s">
        <v>69</v>
      </c>
      <c r="BC43" s="3">
        <f>BC42-Main!K6+Main!K5</f>
        <v>4106028.2151382873</v>
      </c>
      <c r="BD43" s="3"/>
    </row>
    <row r="44" spans="2:280" x14ac:dyDescent="0.2">
      <c r="B44" s="3" t="s">
        <v>72</v>
      </c>
      <c r="C44" s="9">
        <f>C33/C32</f>
        <v>-7.7419354838709681E-2</v>
      </c>
      <c r="D44" s="9">
        <f t="shared" ref="D44:N44" si="80">D33/D32</f>
        <v>3.2962962962962963</v>
      </c>
      <c r="E44" s="9">
        <f t="shared" si="80"/>
        <v>0.3107255520504732</v>
      </c>
      <c r="F44" s="9">
        <f t="shared" si="80"/>
        <v>0.50116550116550118</v>
      </c>
      <c r="G44" s="9">
        <f t="shared" si="80"/>
        <v>-3.0476190476190474</v>
      </c>
      <c r="H44" s="9">
        <f t="shared" si="80"/>
        <v>-32.75</v>
      </c>
      <c r="I44" s="9">
        <f t="shared" si="80"/>
        <v>0.68016194331983804</v>
      </c>
      <c r="J44" s="9">
        <f t="shared" si="80"/>
        <v>0.48614072494669508</v>
      </c>
      <c r="K44" s="9">
        <f t="shared" si="80"/>
        <v>0.45629202689721421</v>
      </c>
      <c r="L44" s="9">
        <f t="shared" si="80"/>
        <v>0.24599358974358973</v>
      </c>
      <c r="M44" s="9">
        <f t="shared" si="80"/>
        <v>0.4</v>
      </c>
      <c r="N44" s="9">
        <f t="shared" si="80"/>
        <v>0.4</v>
      </c>
      <c r="Z44" s="9">
        <f t="shared" ref="Z44:AZ44" si="81">Z33/Z32</f>
        <v>0.14231354642313546</v>
      </c>
      <c r="AA44" s="9">
        <f t="shared" si="81"/>
        <v>9.4262295081967207E-2</v>
      </c>
      <c r="AB44" s="9">
        <f t="shared" si="81"/>
        <v>0.28412874583795783</v>
      </c>
      <c r="AC44" s="9">
        <f t="shared" si="81"/>
        <v>0.22308354866494401</v>
      </c>
      <c r="AD44" s="9">
        <f t="shared" si="81"/>
        <v>0.23046092184368738</v>
      </c>
      <c r="AE44" s="9">
        <f t="shared" si="81"/>
        <v>0.32441113490364026</v>
      </c>
      <c r="AF44" s="9">
        <f t="shared" si="81"/>
        <v>1.0716911764705883</v>
      </c>
      <c r="AG44" s="9">
        <f t="shared" si="81"/>
        <v>0.45849802371541504</v>
      </c>
      <c r="AH44" s="9">
        <f t="shared" si="81"/>
        <v>-1.1711711711711712</v>
      </c>
      <c r="AI44" s="9">
        <f t="shared" si="81"/>
        <v>0.61989795918367352</v>
      </c>
      <c r="AJ44" s="9">
        <f t="shared" si="81"/>
        <v>0.40000000000000008</v>
      </c>
      <c r="AK44" s="9">
        <f t="shared" si="81"/>
        <v>0.4</v>
      </c>
      <c r="AL44" s="9">
        <f t="shared" si="81"/>
        <v>0.4</v>
      </c>
      <c r="AM44" s="9">
        <f t="shared" si="81"/>
        <v>0.4</v>
      </c>
      <c r="AN44" s="9">
        <f t="shared" si="81"/>
        <v>0.4</v>
      </c>
      <c r="AO44" s="9">
        <f t="shared" si="81"/>
        <v>0.4</v>
      </c>
      <c r="AP44" s="9">
        <f t="shared" si="81"/>
        <v>0.4</v>
      </c>
      <c r="AQ44" s="9">
        <f t="shared" si="81"/>
        <v>0.4</v>
      </c>
      <c r="AR44" s="9">
        <f t="shared" si="81"/>
        <v>0.4</v>
      </c>
      <c r="AS44" s="9">
        <f t="shared" si="81"/>
        <v>0.4</v>
      </c>
      <c r="AT44" s="9">
        <f t="shared" si="81"/>
        <v>0.4</v>
      </c>
      <c r="AU44" s="9">
        <f t="shared" si="81"/>
        <v>0.4</v>
      </c>
      <c r="AV44" s="9">
        <f t="shared" si="81"/>
        <v>0.4</v>
      </c>
      <c r="AW44" s="9">
        <f t="shared" si="81"/>
        <v>0.4</v>
      </c>
      <c r="AX44" s="9">
        <f t="shared" si="81"/>
        <v>0.4</v>
      </c>
      <c r="AY44" s="9">
        <f t="shared" si="81"/>
        <v>0.39999999999999997</v>
      </c>
      <c r="AZ44" s="9">
        <f t="shared" si="81"/>
        <v>0.4</v>
      </c>
      <c r="BB44" s="3"/>
      <c r="BC44" s="3"/>
      <c r="BD44" s="3"/>
    </row>
    <row r="45" spans="2:280" x14ac:dyDescent="0.2">
      <c r="BB45" s="3" t="s">
        <v>70</v>
      </c>
      <c r="BC45" s="1">
        <f>BC43/(Main!K3*10)</f>
        <v>866.2506782992167</v>
      </c>
    </row>
    <row r="46" spans="2:280" x14ac:dyDescent="0.2">
      <c r="B46" s="3" t="s">
        <v>59</v>
      </c>
      <c r="K46" s="4">
        <f>K47-K58</f>
        <v>7640</v>
      </c>
      <c r="L46" s="4">
        <f>L47-L58</f>
        <v>8328</v>
      </c>
      <c r="M46" s="4">
        <f>L46+M34</f>
        <v>8989.1121000000003</v>
      </c>
      <c r="N46" s="4">
        <f>M46+N34</f>
        <v>10806.031500000001</v>
      </c>
      <c r="AI46" s="3"/>
      <c r="AJ46" s="3">
        <f>N46</f>
        <v>10806.031500000001</v>
      </c>
      <c r="AK46" s="3">
        <f t="shared" ref="AK46:AZ46" si="82">AJ46+AK34</f>
        <v>16272.775391999998</v>
      </c>
      <c r="AL46" s="3">
        <f t="shared" si="82"/>
        <v>23847.820552805995</v>
      </c>
      <c r="AM46" s="3">
        <f t="shared" si="82"/>
        <v>34496.323219068996</v>
      </c>
      <c r="AN46" s="3">
        <f t="shared" si="82"/>
        <v>49619.927122571607</v>
      </c>
      <c r="AO46" s="3">
        <f t="shared" si="82"/>
        <v>71245.662490291172</v>
      </c>
      <c r="AP46" s="3">
        <f t="shared" si="82"/>
        <v>102293.92513828467</v>
      </c>
      <c r="AQ46" s="3">
        <f t="shared" si="82"/>
        <v>146957.9733585965</v>
      </c>
      <c r="AR46" s="3">
        <f t="shared" si="82"/>
        <v>211240.53200437501</v>
      </c>
      <c r="AS46" s="3">
        <f t="shared" si="82"/>
        <v>303711.54324204824</v>
      </c>
      <c r="AT46" s="3">
        <f t="shared" si="82"/>
        <v>436576.97909397737</v>
      </c>
      <c r="AU46" s="3">
        <f t="shared" si="82"/>
        <v>627184.91189854778</v>
      </c>
      <c r="AV46" s="3">
        <f t="shared" si="82"/>
        <v>900145.89879438886</v>
      </c>
      <c r="AW46" s="3">
        <f t="shared" si="82"/>
        <v>1290316.0207378073</v>
      </c>
      <c r="AX46" s="3">
        <f t="shared" si="82"/>
        <v>1846990.811865329</v>
      </c>
      <c r="AY46" s="3">
        <f t="shared" si="82"/>
        <v>2639798.2857208536</v>
      </c>
      <c r="AZ46" s="3">
        <f t="shared" si="82"/>
        <v>3766975.3654221161</v>
      </c>
      <c r="BB46" s="3" t="s">
        <v>71</v>
      </c>
      <c r="BC46" s="1">
        <v>829.53</v>
      </c>
    </row>
    <row r="47" spans="2:280" s="3" customFormat="1" x14ac:dyDescent="0.2">
      <c r="B47" s="3" t="s">
        <v>3</v>
      </c>
      <c r="C47" s="4"/>
      <c r="D47" s="4"/>
      <c r="E47" s="4"/>
      <c r="F47" s="4"/>
      <c r="G47" s="4"/>
      <c r="H47" s="4"/>
      <c r="I47" s="4"/>
      <c r="J47" s="4"/>
      <c r="K47" s="4">
        <f>12470+3389</f>
        <v>15859</v>
      </c>
      <c r="L47" s="4">
        <f>12521+4019</f>
        <v>16540</v>
      </c>
      <c r="M47" s="4"/>
      <c r="N47" s="4"/>
      <c r="BC47" s="21">
        <f>BC45/BC46-1</f>
        <v>4.4266847852659552E-2</v>
      </c>
    </row>
    <row r="48" spans="2:280" s="3" customFormat="1" x14ac:dyDescent="0.2">
      <c r="B48" s="3" t="s">
        <v>47</v>
      </c>
      <c r="C48" s="4"/>
      <c r="D48" s="4"/>
      <c r="E48" s="4"/>
      <c r="F48" s="4"/>
      <c r="G48" s="4"/>
      <c r="H48" s="4"/>
      <c r="I48" s="4"/>
      <c r="J48" s="4"/>
      <c r="K48" s="4">
        <v>9582</v>
      </c>
      <c r="L48" s="4">
        <v>9588</v>
      </c>
      <c r="M48" s="4"/>
      <c r="N48" s="4"/>
    </row>
    <row r="49" spans="2:14" s="3" customFormat="1" x14ac:dyDescent="0.2">
      <c r="B49" s="3" t="s">
        <v>48</v>
      </c>
      <c r="C49" s="4"/>
      <c r="D49" s="4"/>
      <c r="E49" s="4"/>
      <c r="F49" s="4"/>
      <c r="G49" s="4"/>
      <c r="H49" s="4"/>
      <c r="I49" s="4"/>
      <c r="J49" s="4"/>
      <c r="K49" s="4">
        <v>5072</v>
      </c>
      <c r="L49" s="4">
        <v>6092</v>
      </c>
      <c r="M49" s="4"/>
      <c r="N49" s="4"/>
    </row>
    <row r="50" spans="2:14" s="3" customFormat="1" x14ac:dyDescent="0.2">
      <c r="B50" s="3" t="s">
        <v>49</v>
      </c>
      <c r="C50" s="4"/>
      <c r="D50" s="4"/>
      <c r="E50" s="4"/>
      <c r="F50" s="4"/>
      <c r="G50" s="4"/>
      <c r="H50" s="4"/>
      <c r="I50" s="4"/>
      <c r="J50" s="4"/>
      <c r="K50" s="4">
        <v>23308</v>
      </c>
      <c r="L50" s="4">
        <v>25190</v>
      </c>
      <c r="M50" s="4"/>
      <c r="N50" s="4"/>
    </row>
    <row r="51" spans="2:14" s="3" customFormat="1" x14ac:dyDescent="0.2">
      <c r="B51" s="3" t="s">
        <v>50</v>
      </c>
      <c r="C51" s="4"/>
      <c r="D51" s="4"/>
      <c r="E51" s="4"/>
      <c r="F51" s="4"/>
      <c r="G51" s="4"/>
      <c r="H51" s="4"/>
      <c r="I51" s="4"/>
      <c r="J51" s="4"/>
      <c r="K51" s="4">
        <v>3785</v>
      </c>
      <c r="L51" s="4">
        <v>3774</v>
      </c>
      <c r="M51" s="4"/>
      <c r="N51" s="4"/>
    </row>
    <row r="52" spans="2:14" s="3" customFormat="1" x14ac:dyDescent="0.2">
      <c r="B52" s="3" t="s">
        <v>51</v>
      </c>
      <c r="C52" s="4"/>
      <c r="D52" s="4"/>
      <c r="E52" s="4"/>
      <c r="F52" s="4"/>
      <c r="G52" s="4"/>
      <c r="H52" s="4"/>
      <c r="I52" s="4"/>
      <c r="J52" s="4"/>
      <c r="K52" s="4">
        <v>3522</v>
      </c>
      <c r="L52" s="4">
        <v>3892</v>
      </c>
      <c r="M52" s="4"/>
      <c r="N52" s="4"/>
    </row>
    <row r="53" spans="2:14" s="3" customFormat="1" x14ac:dyDescent="0.2">
      <c r="B53" s="3" t="s">
        <v>52</v>
      </c>
      <c r="C53" s="4"/>
      <c r="D53" s="4"/>
      <c r="E53" s="4"/>
      <c r="F53" s="4"/>
      <c r="G53" s="4"/>
      <c r="H53" s="4"/>
      <c r="I53" s="4"/>
      <c r="J53" s="4"/>
      <c r="K53" s="4">
        <f>SUM(K47:K52)</f>
        <v>61128</v>
      </c>
      <c r="L53" s="4">
        <f>SUM(L47:L52)</f>
        <v>65076</v>
      </c>
      <c r="M53" s="4"/>
      <c r="N53" s="4"/>
    </row>
    <row r="54" spans="2:14" s="3" customForma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s="3" customFormat="1" x14ac:dyDescent="0.2">
      <c r="B55" s="3" t="s">
        <v>53</v>
      </c>
      <c r="C55" s="4"/>
      <c r="D55" s="4"/>
      <c r="E55" s="4"/>
      <c r="F55" s="4"/>
      <c r="G55" s="4"/>
      <c r="H55" s="4"/>
      <c r="I55" s="4"/>
      <c r="J55" s="4"/>
      <c r="K55" s="4">
        <v>14990</v>
      </c>
      <c r="L55" s="4">
        <v>16123</v>
      </c>
      <c r="M55" s="4"/>
      <c r="N55" s="4"/>
    </row>
    <row r="56" spans="2:14" s="3" customFormat="1" x14ac:dyDescent="0.2">
      <c r="B56" s="3" t="s">
        <v>54</v>
      </c>
      <c r="C56" s="4"/>
      <c r="D56" s="4"/>
      <c r="E56" s="4"/>
      <c r="F56" s="4"/>
      <c r="G56" s="4"/>
      <c r="H56" s="4"/>
      <c r="I56" s="4"/>
      <c r="J56" s="4"/>
      <c r="K56" s="4">
        <v>9431</v>
      </c>
      <c r="L56" s="4">
        <v>9613</v>
      </c>
      <c r="M56" s="4"/>
      <c r="N56" s="4"/>
    </row>
    <row r="57" spans="2:14" s="3" customFormat="1" x14ac:dyDescent="0.2">
      <c r="B57" s="3" t="s">
        <v>55</v>
      </c>
      <c r="C57" s="4"/>
      <c r="D57" s="4"/>
      <c r="E57" s="4"/>
      <c r="F57" s="4"/>
      <c r="G57" s="4"/>
      <c r="H57" s="4"/>
      <c r="I57" s="4"/>
      <c r="J57" s="4"/>
      <c r="K57" s="4">
        <v>3766</v>
      </c>
      <c r="L57" s="4">
        <v>3851</v>
      </c>
      <c r="M57" s="4"/>
      <c r="N57" s="4"/>
    </row>
    <row r="58" spans="2:14" s="3" customFormat="1" x14ac:dyDescent="0.2">
      <c r="B58" s="3" t="s">
        <v>4</v>
      </c>
      <c r="C58" s="4"/>
      <c r="D58" s="4"/>
      <c r="E58" s="4"/>
      <c r="F58" s="4"/>
      <c r="G58" s="4"/>
      <c r="H58" s="4"/>
      <c r="I58" s="4"/>
      <c r="J58" s="4"/>
      <c r="K58" s="4">
        <v>8219</v>
      </c>
      <c r="L58" s="4">
        <v>8212</v>
      </c>
      <c r="M58" s="4"/>
      <c r="N58" s="4"/>
    </row>
    <row r="59" spans="2:14" s="3" customFormat="1" x14ac:dyDescent="0.2">
      <c r="B59" s="3" t="s">
        <v>56</v>
      </c>
      <c r="C59" s="4"/>
      <c r="D59" s="4"/>
      <c r="E59" s="4"/>
      <c r="F59" s="4"/>
      <c r="G59" s="4"/>
      <c r="H59" s="4"/>
      <c r="I59" s="4"/>
      <c r="J59" s="4"/>
      <c r="K59" s="4">
        <v>9966</v>
      </c>
      <c r="L59" s="4">
        <v>10739</v>
      </c>
      <c r="M59" s="4"/>
      <c r="N59" s="4"/>
    </row>
    <row r="60" spans="2:14" s="3" customFormat="1" x14ac:dyDescent="0.2">
      <c r="B60" s="3" t="s">
        <v>57</v>
      </c>
      <c r="C60" s="4"/>
      <c r="D60" s="4"/>
      <c r="E60" s="4"/>
      <c r="F60" s="4"/>
      <c r="G60" s="4"/>
      <c r="H60" s="4"/>
      <c r="I60" s="4"/>
      <c r="J60" s="4"/>
      <c r="K60" s="4">
        <v>14756</v>
      </c>
      <c r="L60" s="4">
        <v>16538</v>
      </c>
      <c r="M60" s="4"/>
      <c r="N60" s="4"/>
    </row>
    <row r="61" spans="2:14" s="3" customFormat="1" x14ac:dyDescent="0.2">
      <c r="B61" s="3" t="s">
        <v>58</v>
      </c>
      <c r="C61" s="4"/>
      <c r="D61" s="4"/>
      <c r="E61" s="4"/>
      <c r="F61" s="4"/>
      <c r="G61" s="4"/>
      <c r="H61" s="4"/>
      <c r="I61" s="4"/>
      <c r="J61" s="4"/>
      <c r="K61" s="4">
        <f>SUM(K55:K60)</f>
        <v>61128</v>
      </c>
      <c r="L61" s="4">
        <f>SUM(L55:L60)</f>
        <v>65076</v>
      </c>
      <c r="M61" s="4"/>
      <c r="N61" s="4"/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cp:lastPrinted>2016-03-10T02:11:53Z</cp:lastPrinted>
  <dcterms:created xsi:type="dcterms:W3CDTF">2016-03-10T02:11:25Z</dcterms:created>
  <dcterms:modified xsi:type="dcterms:W3CDTF">2016-10-18T08:14:16Z</dcterms:modified>
</cp:coreProperties>
</file>