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autoCompressPictures="0"/>
  <bookViews>
    <workbookView xWindow="16725" yWindow="-15" windowWidth="16800" windowHeight="20535" activeTab="1"/>
  </bookViews>
  <sheets>
    <sheet name="Main" sheetId="1" r:id="rId1"/>
    <sheet name="Model" sheetId="2" r:id="rId2"/>
  </sheets>
  <calcPr calcId="144525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" i="1" l="1"/>
  <c r="AE11" i="2"/>
  <c r="AE15" i="2"/>
  <c r="AE16" i="2"/>
  <c r="AE18" i="2"/>
  <c r="AE20" i="2"/>
  <c r="AE21" i="2"/>
  <c r="AI14" i="2"/>
  <c r="AI13" i="2"/>
  <c r="AI12" i="2"/>
  <c r="AE75" i="2"/>
  <c r="AE67" i="2"/>
  <c r="AE70" i="2"/>
  <c r="AE63" i="2"/>
  <c r="AE52" i="2"/>
  <c r="AE41" i="2"/>
  <c r="AE37" i="2"/>
  <c r="AE34" i="2"/>
  <c r="AE31" i="2"/>
  <c r="AE30" i="2"/>
  <c r="AE7" i="2"/>
  <c r="AI7" i="2"/>
  <c r="AE43" i="2"/>
  <c r="AI15" i="2"/>
  <c r="AI29" i="2"/>
  <c r="AD49" i="2"/>
  <c r="AD52" i="2"/>
  <c r="AD41" i="2"/>
  <c r="AD37" i="2"/>
  <c r="AD43" i="2"/>
  <c r="AU34" i="2"/>
  <c r="AT19" i="2"/>
  <c r="AT15" i="2"/>
  <c r="AT11" i="2"/>
  <c r="AT24" i="2"/>
  <c r="AV34" i="2"/>
  <c r="AU19" i="2"/>
  <c r="AU17" i="2"/>
  <c r="AU15" i="2"/>
  <c r="AU11" i="2"/>
  <c r="AU24" i="2"/>
  <c r="AW34" i="2"/>
  <c r="AV19" i="2"/>
  <c r="AV15" i="2"/>
  <c r="AV11" i="2"/>
  <c r="AV24" i="2"/>
  <c r="AY34" i="2"/>
  <c r="AX34" i="2"/>
  <c r="AW19" i="2"/>
  <c r="AW15" i="2"/>
  <c r="AW11" i="2"/>
  <c r="AW24" i="2"/>
  <c r="AX19" i="2"/>
  <c r="AX15" i="2"/>
  <c r="AX11" i="2"/>
  <c r="AX24" i="2"/>
  <c r="AY19" i="2"/>
  <c r="AY15" i="2"/>
  <c r="AY11" i="2"/>
  <c r="AY24" i="2"/>
  <c r="AE78" i="2"/>
  <c r="AY16" i="2"/>
  <c r="AT16" i="2"/>
  <c r="AU16" i="2"/>
  <c r="AV16" i="2"/>
  <c r="AW16" i="2"/>
  <c r="AX16" i="2"/>
  <c r="AS4" i="2"/>
  <c r="AS5" i="2"/>
  <c r="E5" i="2"/>
  <c r="D5" i="2"/>
  <c r="C5" i="2"/>
  <c r="AY4" i="2"/>
  <c r="AY5" i="2"/>
  <c r="AX4" i="2"/>
  <c r="AW4" i="2"/>
  <c r="AW5" i="2"/>
  <c r="AV4" i="2"/>
  <c r="AV5" i="2"/>
  <c r="AU4" i="2"/>
  <c r="AU5" i="2"/>
  <c r="AT4" i="2"/>
  <c r="AT5" i="2"/>
  <c r="AX2" i="2"/>
  <c r="AW2" i="2"/>
  <c r="AV2" i="2"/>
  <c r="AU2" i="2"/>
  <c r="AT2" i="2"/>
  <c r="AS2" i="2"/>
  <c r="AR2" i="2"/>
  <c r="AQ2" i="2"/>
  <c r="AP2" i="2"/>
  <c r="AO2" i="2"/>
  <c r="AN2" i="2"/>
  <c r="I5" i="2"/>
  <c r="H5" i="2"/>
  <c r="G5" i="2"/>
  <c r="F5" i="2"/>
  <c r="AC5" i="2"/>
  <c r="AB5" i="2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AD5" i="2"/>
  <c r="O33" i="2"/>
  <c r="N33" i="2"/>
  <c r="M33" i="2"/>
  <c r="R32" i="2"/>
  <c r="Q32" i="2"/>
  <c r="P32" i="2"/>
  <c r="O31" i="2"/>
  <c r="N31" i="2"/>
  <c r="M31" i="2"/>
  <c r="R30" i="2"/>
  <c r="Q30" i="2"/>
  <c r="P30" i="2"/>
  <c r="R31" i="2"/>
  <c r="Q31" i="2"/>
  <c r="P31" i="2"/>
  <c r="R33" i="2"/>
  <c r="Q33" i="2"/>
  <c r="P33" i="2"/>
  <c r="U30" i="2"/>
  <c r="T30" i="2"/>
  <c r="S30" i="2"/>
  <c r="U32" i="2"/>
  <c r="T32" i="2"/>
  <c r="S32" i="2"/>
  <c r="AC33" i="2"/>
  <c r="AB33" i="2"/>
  <c r="AA33" i="2"/>
  <c r="Z33" i="2"/>
  <c r="Y33" i="2"/>
  <c r="X33" i="2"/>
  <c r="W33" i="2"/>
  <c r="V33" i="2"/>
  <c r="U33" i="2"/>
  <c r="T33" i="2"/>
  <c r="S33" i="2"/>
  <c r="AD33" i="2"/>
  <c r="V32" i="2"/>
  <c r="Y32" i="2"/>
  <c r="X32" i="2"/>
  <c r="W32" i="2"/>
  <c r="AC32" i="2"/>
  <c r="AB32" i="2"/>
  <c r="AA32" i="2"/>
  <c r="Z32" i="2"/>
  <c r="AD32" i="2"/>
  <c r="Y7" i="2"/>
  <c r="X7" i="2"/>
  <c r="W7" i="2"/>
  <c r="AC7" i="2"/>
  <c r="AG7" i="2"/>
  <c r="AB7" i="2"/>
  <c r="AF7" i="2"/>
  <c r="AA7" i="2"/>
  <c r="S31" i="2"/>
  <c r="AC31" i="2"/>
  <c r="AB31" i="2"/>
  <c r="Y31" i="2"/>
  <c r="X31" i="2"/>
  <c r="W31" i="2"/>
  <c r="V31" i="2"/>
  <c r="U31" i="2"/>
  <c r="T31" i="2"/>
  <c r="AD31" i="2"/>
  <c r="V30" i="2"/>
  <c r="AC30" i="2"/>
  <c r="AB30" i="2"/>
  <c r="AA30" i="2"/>
  <c r="Y30" i="2"/>
  <c r="X30" i="2"/>
  <c r="W30" i="2"/>
  <c r="AX32" i="2"/>
  <c r="AJ7" i="2"/>
  <c r="AF29" i="2"/>
  <c r="AK7" i="2"/>
  <c r="AG29" i="2"/>
  <c r="AX5" i="2"/>
  <c r="AX18" i="2"/>
  <c r="AX25" i="2"/>
  <c r="AV32" i="2"/>
  <c r="AA29" i="2"/>
  <c r="AE29" i="2"/>
  <c r="AW32" i="2"/>
  <c r="AY18" i="2"/>
  <c r="AY25" i="2"/>
  <c r="AY32" i="2"/>
  <c r="AB29" i="2"/>
  <c r="AC29" i="2"/>
  <c r="AT25" i="2"/>
  <c r="AT18" i="2"/>
  <c r="AU25" i="2"/>
  <c r="AU18" i="2"/>
  <c r="AV25" i="2"/>
  <c r="AV18" i="2"/>
  <c r="AW25" i="2"/>
  <c r="AW18" i="2"/>
  <c r="AT32" i="2"/>
  <c r="AU32" i="2"/>
  <c r="AD7" i="2"/>
  <c r="AJ29" i="2"/>
  <c r="AY7" i="2"/>
  <c r="AZ7" i="2"/>
  <c r="BA7" i="2"/>
  <c r="BB7" i="2"/>
  <c r="BC7" i="2"/>
  <c r="BD7" i="2"/>
  <c r="BE7" i="2"/>
  <c r="BF7" i="2"/>
  <c r="BG7" i="2"/>
  <c r="BH7" i="2"/>
  <c r="BI7" i="2"/>
  <c r="BJ7" i="2"/>
  <c r="BK7" i="2"/>
  <c r="BL7" i="2"/>
  <c r="BM7" i="2"/>
  <c r="BN7" i="2"/>
  <c r="AH7" i="2"/>
  <c r="AK29" i="2"/>
  <c r="AY26" i="2"/>
  <c r="AY20" i="2"/>
  <c r="AY21" i="2"/>
  <c r="AX20" i="2"/>
  <c r="AX21" i="2"/>
  <c r="AX26" i="2"/>
  <c r="AT20" i="2"/>
  <c r="AT21" i="2"/>
  <c r="AT26" i="2"/>
  <c r="AU20" i="2"/>
  <c r="AU21" i="2"/>
  <c r="AU26" i="2"/>
  <c r="AV20" i="2"/>
  <c r="AV21" i="2"/>
  <c r="AV26" i="2"/>
  <c r="AW20" i="2"/>
  <c r="AW21" i="2"/>
  <c r="AW26" i="2"/>
  <c r="AF6" i="2"/>
  <c r="Z6" i="2"/>
  <c r="BB17" i="2"/>
  <c r="BA17" i="2"/>
  <c r="AZ17" i="2"/>
  <c r="AD14" i="2"/>
  <c r="AH14" i="2"/>
  <c r="AL14" i="2"/>
  <c r="AD13" i="2"/>
  <c r="AH13" i="2"/>
  <c r="AL13" i="2"/>
  <c r="AD12" i="2"/>
  <c r="Z12" i="2"/>
  <c r="Z10" i="2"/>
  <c r="Z11" i="2"/>
  <c r="Z24" i="2"/>
  <c r="Z15" i="2"/>
  <c r="AD34" i="2"/>
  <c r="AD10" i="2"/>
  <c r="AD11" i="2"/>
  <c r="AD24" i="2"/>
  <c r="AZ2" i="2"/>
  <c r="BA2" i="2"/>
  <c r="BB2" i="2"/>
  <c r="BC2" i="2"/>
  <c r="BD2" i="2"/>
  <c r="BE2" i="2"/>
  <c r="BF2" i="2"/>
  <c r="BG2" i="2"/>
  <c r="BH2" i="2"/>
  <c r="BI2" i="2"/>
  <c r="BJ2" i="2"/>
  <c r="BK2" i="2"/>
  <c r="BL2" i="2"/>
  <c r="BM2" i="2"/>
  <c r="BN2" i="2"/>
  <c r="AC34" i="2"/>
  <c r="AB34" i="2"/>
  <c r="AA34" i="2"/>
  <c r="W15" i="2"/>
  <c r="W11" i="2"/>
  <c r="AA14" i="2"/>
  <c r="AA13" i="2"/>
  <c r="AA12" i="2"/>
  <c r="AA11" i="2"/>
  <c r="AA24" i="2"/>
  <c r="AC14" i="2"/>
  <c r="AG14" i="2"/>
  <c r="AK14" i="2"/>
  <c r="AC13" i="2"/>
  <c r="AG13" i="2"/>
  <c r="AK13" i="2"/>
  <c r="AC10" i="2"/>
  <c r="AC11" i="2"/>
  <c r="AC24" i="2"/>
  <c r="AC12" i="2"/>
  <c r="AC15" i="2"/>
  <c r="X10" i="2"/>
  <c r="X11" i="2"/>
  <c r="X14" i="2"/>
  <c r="X13" i="2"/>
  <c r="X12" i="2"/>
  <c r="AB10" i="2"/>
  <c r="AB11" i="2"/>
  <c r="AB24" i="2"/>
  <c r="AB14" i="2"/>
  <c r="AB13" i="2"/>
  <c r="AF13" i="2"/>
  <c r="AJ13" i="2"/>
  <c r="AB12" i="2"/>
  <c r="AF12" i="2"/>
  <c r="AJ12" i="2"/>
  <c r="Y15" i="2"/>
  <c r="Y11" i="2"/>
  <c r="Y24" i="2"/>
  <c r="AL7" i="2"/>
  <c r="AH29" i="2"/>
  <c r="AG6" i="2"/>
  <c r="AF30" i="2"/>
  <c r="AF9" i="2"/>
  <c r="AD15" i="2"/>
  <c r="AD16" i="2"/>
  <c r="AG12" i="2"/>
  <c r="AK12" i="2"/>
  <c r="AK15" i="2"/>
  <c r="AG15" i="2"/>
  <c r="AZ13" i="2"/>
  <c r="BA13" i="2"/>
  <c r="BB13" i="2"/>
  <c r="BC13" i="2"/>
  <c r="BD13" i="2"/>
  <c r="BE13" i="2"/>
  <c r="BF13" i="2"/>
  <c r="BG13" i="2"/>
  <c r="BH13" i="2"/>
  <c r="BI13" i="2"/>
  <c r="BJ13" i="2"/>
  <c r="BK13" i="2"/>
  <c r="BL13" i="2"/>
  <c r="BM13" i="2"/>
  <c r="BN13" i="2"/>
  <c r="AB15" i="2"/>
  <c r="AA15" i="2"/>
  <c r="AA16" i="2"/>
  <c r="AA31" i="2"/>
  <c r="Z30" i="2"/>
  <c r="AD30" i="2"/>
  <c r="Z31" i="2"/>
  <c r="Z7" i="2"/>
  <c r="AD29" i="2"/>
  <c r="AH12" i="2"/>
  <c r="X15" i="2"/>
  <c r="X16" i="2"/>
  <c r="Y16" i="2"/>
  <c r="AF14" i="2"/>
  <c r="AZ14" i="2"/>
  <c r="BA14" i="2"/>
  <c r="BB14" i="2"/>
  <c r="BC14" i="2"/>
  <c r="BD14" i="2"/>
  <c r="BE14" i="2"/>
  <c r="BF14" i="2"/>
  <c r="BG14" i="2"/>
  <c r="BH14" i="2"/>
  <c r="BI14" i="2"/>
  <c r="BJ14" i="2"/>
  <c r="BK14" i="2"/>
  <c r="BL14" i="2"/>
  <c r="BM14" i="2"/>
  <c r="BN14" i="2"/>
  <c r="Z16" i="2"/>
  <c r="W24" i="2"/>
  <c r="W16" i="2"/>
  <c r="AC16" i="2"/>
  <c r="X24" i="2"/>
  <c r="AB16" i="2"/>
  <c r="L4" i="1"/>
  <c r="L7" i="1"/>
  <c r="AF15" i="2"/>
  <c r="AJ14" i="2"/>
  <c r="AJ15" i="2"/>
  <c r="AH15" i="2"/>
  <c r="AL12" i="2"/>
  <c r="AL15" i="2"/>
  <c r="AH6" i="2"/>
  <c r="AG30" i="2"/>
  <c r="AG9" i="2"/>
  <c r="AL29" i="2"/>
  <c r="AA18" i="2"/>
  <c r="AA25" i="2"/>
  <c r="X18" i="2"/>
  <c r="X20" i="2"/>
  <c r="X25" i="2"/>
  <c r="Y18" i="2"/>
  <c r="Y25" i="2"/>
  <c r="AD18" i="2"/>
  <c r="AD26" i="2"/>
  <c r="AD25" i="2"/>
  <c r="Z18" i="2"/>
  <c r="Z25" i="2"/>
  <c r="AC18" i="2"/>
  <c r="AC25" i="2"/>
  <c r="AB18" i="2"/>
  <c r="AB25" i="2"/>
  <c r="AE24" i="2"/>
  <c r="AZ12" i="2"/>
  <c r="W18" i="2"/>
  <c r="W26" i="2"/>
  <c r="W25" i="2"/>
  <c r="AH30" i="2"/>
  <c r="AI6" i="2"/>
  <c r="AH9" i="2"/>
  <c r="AZ6" i="2"/>
  <c r="AG34" i="2"/>
  <c r="AG11" i="2"/>
  <c r="AB20" i="2"/>
  <c r="AB26" i="2"/>
  <c r="AD20" i="2"/>
  <c r="AE25" i="2"/>
  <c r="AC20" i="2"/>
  <c r="AC26" i="2"/>
  <c r="Y20" i="2"/>
  <c r="Y26" i="2"/>
  <c r="AA20" i="2"/>
  <c r="AA26" i="2"/>
  <c r="BA12" i="2"/>
  <c r="AZ15" i="2"/>
  <c r="Z20" i="2"/>
  <c r="Z26" i="2"/>
  <c r="X26" i="2"/>
  <c r="W20" i="2"/>
  <c r="AH34" i="2"/>
  <c r="AH11" i="2"/>
  <c r="AG10" i="2"/>
  <c r="AG16" i="2"/>
  <c r="AG24" i="2"/>
  <c r="AJ6" i="2"/>
  <c r="AI30" i="2"/>
  <c r="AI9" i="2"/>
  <c r="AZ30" i="2"/>
  <c r="BA6" i="2"/>
  <c r="AE55" i="2"/>
  <c r="AE56" i="2"/>
  <c r="AE64" i="2"/>
  <c r="BA15" i="2"/>
  <c r="BB12" i="2"/>
  <c r="AE26" i="2"/>
  <c r="AE79" i="2"/>
  <c r="AE80" i="2"/>
  <c r="AE77" i="2"/>
  <c r="BA9" i="2"/>
  <c r="BA11" i="2"/>
  <c r="BA10" i="2"/>
  <c r="BA30" i="2"/>
  <c r="BB6" i="2"/>
  <c r="AI11" i="2"/>
  <c r="AI34" i="2"/>
  <c r="AI10" i="2"/>
  <c r="AG25" i="2"/>
  <c r="AG18" i="2"/>
  <c r="AH10" i="2"/>
  <c r="AH24" i="2"/>
  <c r="AH16" i="2"/>
  <c r="AJ30" i="2"/>
  <c r="AK6" i="2"/>
  <c r="AJ9" i="2"/>
  <c r="BC12" i="2"/>
  <c r="BB15" i="2"/>
  <c r="BA24" i="2"/>
  <c r="AH18" i="2"/>
  <c r="AH25" i="2"/>
  <c r="AK30" i="2"/>
  <c r="AL6" i="2"/>
  <c r="AK9" i="2"/>
  <c r="AG19" i="2"/>
  <c r="AG26" i="2"/>
  <c r="BB9" i="2"/>
  <c r="BC6" i="2"/>
  <c r="BB30" i="2"/>
  <c r="AJ11" i="2"/>
  <c r="AJ10" i="2"/>
  <c r="AI24" i="2"/>
  <c r="AI16" i="2"/>
  <c r="BA16" i="2"/>
  <c r="BA18" i="2"/>
  <c r="BC15" i="2"/>
  <c r="BD12" i="2"/>
  <c r="AG20" i="2"/>
  <c r="AJ24" i="2"/>
  <c r="AJ16" i="2"/>
  <c r="BB34" i="2"/>
  <c r="BB11" i="2"/>
  <c r="BA25" i="2"/>
  <c r="AK34" i="2"/>
  <c r="AK11" i="2"/>
  <c r="AK10" i="2"/>
  <c r="AI25" i="2"/>
  <c r="AI18" i="2"/>
  <c r="BC30" i="2"/>
  <c r="BD6" i="2"/>
  <c r="BC9" i="2"/>
  <c r="AL30" i="2"/>
  <c r="AL9" i="2"/>
  <c r="AH19" i="2"/>
  <c r="AH26" i="2"/>
  <c r="BE12" i="2"/>
  <c r="BD15" i="2"/>
  <c r="BA19" i="2"/>
  <c r="BA26" i="2"/>
  <c r="AL11" i="2"/>
  <c r="AL34" i="2"/>
  <c r="AL10" i="2"/>
  <c r="BD30" i="2"/>
  <c r="BD9" i="2"/>
  <c r="BE6" i="2"/>
  <c r="BC11" i="2"/>
  <c r="BC34" i="2"/>
  <c r="AK16" i="2"/>
  <c r="AK24" i="2"/>
  <c r="BC10" i="2"/>
  <c r="AJ18" i="2"/>
  <c r="AJ25" i="2"/>
  <c r="AI19" i="2"/>
  <c r="AI26" i="2"/>
  <c r="AI20" i="2"/>
  <c r="BB10" i="2"/>
  <c r="BB16" i="2"/>
  <c r="BB24" i="2"/>
  <c r="AH20" i="2"/>
  <c r="BA20" i="2"/>
  <c r="BF12" i="2"/>
  <c r="BE15" i="2"/>
  <c r="AK25" i="2"/>
  <c r="AK18" i="2"/>
  <c r="BC16" i="2"/>
  <c r="BC25" i="2"/>
  <c r="BC24" i="2"/>
  <c r="AJ19" i="2"/>
  <c r="AJ26" i="2"/>
  <c r="AJ20" i="2"/>
  <c r="BF6" i="2"/>
  <c r="BE9" i="2"/>
  <c r="BE30" i="2"/>
  <c r="BD34" i="2"/>
  <c r="BD11" i="2"/>
  <c r="BB25" i="2"/>
  <c r="BB18" i="2"/>
  <c r="BB19" i="2"/>
  <c r="BB26" i="2"/>
  <c r="AL24" i="2"/>
  <c r="AL16" i="2"/>
  <c r="BG12" i="2"/>
  <c r="BF15" i="2"/>
  <c r="AL18" i="2"/>
  <c r="AL25" i="2"/>
  <c r="BE11" i="2"/>
  <c r="BE34" i="2"/>
  <c r="BD10" i="2"/>
  <c r="BD24" i="2"/>
  <c r="BD16" i="2"/>
  <c r="BD25" i="2"/>
  <c r="BE10" i="2"/>
  <c r="BF9" i="2"/>
  <c r="BG6" i="2"/>
  <c r="BF30" i="2"/>
  <c r="BB20" i="2"/>
  <c r="AK19" i="2"/>
  <c r="AK26" i="2"/>
  <c r="BH12" i="2"/>
  <c r="BG15" i="2"/>
  <c r="AK20" i="2"/>
  <c r="BF34" i="2"/>
  <c r="BF11" i="2"/>
  <c r="BH6" i="2"/>
  <c r="BG9" i="2"/>
  <c r="BG30" i="2"/>
  <c r="BE16" i="2"/>
  <c r="BE25" i="2"/>
  <c r="BE24" i="2"/>
  <c r="BF10" i="2"/>
  <c r="AL19" i="2"/>
  <c r="AL26" i="2"/>
  <c r="BI12" i="2"/>
  <c r="BH15" i="2"/>
  <c r="AL20" i="2"/>
  <c r="BG11" i="2"/>
  <c r="BG34" i="2"/>
  <c r="BH9" i="2"/>
  <c r="BI6" i="2"/>
  <c r="BH30" i="2"/>
  <c r="BF24" i="2"/>
  <c r="BF16" i="2"/>
  <c r="BF25" i="2"/>
  <c r="BJ12" i="2"/>
  <c r="BI15" i="2"/>
  <c r="BJ6" i="2"/>
  <c r="BI30" i="2"/>
  <c r="BI9" i="2"/>
  <c r="BH34" i="2"/>
  <c r="BH11" i="2"/>
  <c r="BG10" i="2"/>
  <c r="BG24" i="2"/>
  <c r="BG16" i="2"/>
  <c r="BG25" i="2"/>
  <c r="BK12" i="2"/>
  <c r="BJ15" i="2"/>
  <c r="BH10" i="2"/>
  <c r="BH24" i="2"/>
  <c r="BH16" i="2"/>
  <c r="BH25" i="2"/>
  <c r="BI11" i="2"/>
  <c r="BI34" i="2"/>
  <c r="BK6" i="2"/>
  <c r="BJ30" i="2"/>
  <c r="BJ9" i="2"/>
  <c r="BL12" i="2"/>
  <c r="BK15" i="2"/>
  <c r="BI10" i="2"/>
  <c r="BI24" i="2"/>
  <c r="BI16" i="2"/>
  <c r="BI25" i="2"/>
  <c r="BJ34" i="2"/>
  <c r="BJ11" i="2"/>
  <c r="BK30" i="2"/>
  <c r="BL6" i="2"/>
  <c r="BK9" i="2"/>
  <c r="BM12" i="2"/>
  <c r="BL15" i="2"/>
  <c r="BJ16" i="2"/>
  <c r="BJ24" i="2"/>
  <c r="BJ10" i="2"/>
  <c r="BM6" i="2"/>
  <c r="BL9" i="2"/>
  <c r="BL30" i="2"/>
  <c r="BK11" i="2"/>
  <c r="BK34" i="2"/>
  <c r="BN12" i="2"/>
  <c r="BN15" i="2"/>
  <c r="BM15" i="2"/>
  <c r="BK16" i="2"/>
  <c r="BK24" i="2"/>
  <c r="BK10" i="2"/>
  <c r="BL11" i="2"/>
  <c r="BL34" i="2"/>
  <c r="BM30" i="2"/>
  <c r="BM9" i="2"/>
  <c r="BN6" i="2"/>
  <c r="BN9" i="2"/>
  <c r="BN30" i="2"/>
  <c r="BM34" i="2"/>
  <c r="BM11" i="2"/>
  <c r="BL24" i="2"/>
  <c r="BL10" i="2"/>
  <c r="BL16" i="2"/>
  <c r="BM24" i="2"/>
  <c r="BM10" i="2"/>
  <c r="BM16" i="2"/>
  <c r="BN11" i="2"/>
  <c r="BN34" i="2"/>
  <c r="BN10" i="2"/>
  <c r="BN16" i="2"/>
  <c r="BN24" i="2"/>
  <c r="AZ9" i="2"/>
  <c r="AF34" i="2"/>
  <c r="AF11" i="2"/>
  <c r="AJ34" i="2"/>
  <c r="AF16" i="2"/>
  <c r="AF24" i="2"/>
  <c r="AZ34" i="2"/>
  <c r="BA34" i="2"/>
  <c r="AF10" i="2"/>
  <c r="AZ10" i="2"/>
  <c r="AZ11" i="2"/>
  <c r="AZ24" i="2"/>
  <c r="AZ16" i="2"/>
  <c r="AF18" i="2"/>
  <c r="AF25" i="2"/>
  <c r="AF19" i="2"/>
  <c r="AF26" i="2"/>
  <c r="AZ25" i="2"/>
  <c r="AZ18" i="2"/>
  <c r="AZ19" i="2"/>
  <c r="AZ26" i="2"/>
  <c r="AF20" i="2"/>
  <c r="AF37" i="2"/>
  <c r="AG37" i="2"/>
  <c r="AH37" i="2"/>
  <c r="AZ37" i="2"/>
  <c r="BA37" i="2"/>
  <c r="BB37" i="2"/>
  <c r="BC17" i="2"/>
  <c r="BC18" i="2"/>
  <c r="AZ20" i="2"/>
  <c r="BC19" i="2"/>
  <c r="BC26" i="2"/>
  <c r="BC20" i="2"/>
  <c r="BC37" i="2"/>
  <c r="BD17" i="2"/>
  <c r="BD18" i="2"/>
  <c r="BD19" i="2"/>
  <c r="BD26" i="2"/>
  <c r="BD20" i="2"/>
  <c r="BD37" i="2"/>
  <c r="BE17" i="2"/>
  <c r="BE18" i="2"/>
  <c r="BE19" i="2"/>
  <c r="BE26" i="2"/>
  <c r="BE20" i="2"/>
  <c r="BE37" i="2"/>
  <c r="BF17" i="2"/>
  <c r="BF18" i="2"/>
  <c r="BF19" i="2"/>
  <c r="BF26" i="2"/>
  <c r="BF20" i="2"/>
  <c r="BF37" i="2"/>
  <c r="BG17" i="2"/>
  <c r="BG18" i="2"/>
  <c r="BG19" i="2"/>
  <c r="BG26" i="2"/>
  <c r="BG20" i="2"/>
  <c r="BG37" i="2"/>
  <c r="BH17" i="2"/>
  <c r="BH18" i="2"/>
  <c r="BH19" i="2"/>
  <c r="BH26" i="2"/>
  <c r="BH20" i="2"/>
  <c r="BH37" i="2"/>
  <c r="BI17" i="2"/>
  <c r="BI18" i="2"/>
  <c r="BI19" i="2"/>
  <c r="BI26" i="2"/>
  <c r="BI20" i="2"/>
  <c r="BI37" i="2"/>
  <c r="BJ17" i="2"/>
  <c r="BJ18" i="2"/>
  <c r="BJ19" i="2"/>
  <c r="BJ26" i="2"/>
  <c r="BJ20" i="2"/>
  <c r="BJ37" i="2"/>
  <c r="BK17" i="2"/>
  <c r="BK18" i="2"/>
  <c r="BK19" i="2"/>
  <c r="BK26" i="2"/>
  <c r="BK20" i="2"/>
  <c r="BK37" i="2"/>
  <c r="BL17" i="2"/>
  <c r="BL18" i="2"/>
  <c r="BL19" i="2"/>
  <c r="BL26" i="2"/>
  <c r="BL20" i="2"/>
  <c r="BL37" i="2"/>
  <c r="BM17" i="2"/>
  <c r="BM18" i="2"/>
  <c r="BM19" i="2"/>
  <c r="BM26" i="2"/>
  <c r="BM20" i="2"/>
  <c r="BM37" i="2"/>
  <c r="BN17" i="2"/>
  <c r="BN18" i="2"/>
  <c r="BN19" i="2"/>
  <c r="BN26" i="2"/>
  <c r="BN20" i="2"/>
  <c r="BO20" i="2"/>
  <c r="BP20" i="2"/>
  <c r="BQ20" i="2"/>
  <c r="BR20" i="2"/>
  <c r="BS20" i="2"/>
  <c r="BT20" i="2"/>
  <c r="BU20" i="2"/>
  <c r="BV20" i="2"/>
  <c r="BW20" i="2"/>
  <c r="BX20" i="2"/>
  <c r="BY20" i="2"/>
  <c r="BZ20" i="2"/>
  <c r="CA20" i="2"/>
  <c r="CB20" i="2"/>
  <c r="CC20" i="2"/>
  <c r="CD20" i="2"/>
  <c r="CE20" i="2"/>
  <c r="CF20" i="2"/>
  <c r="CG20" i="2"/>
  <c r="CH20" i="2"/>
  <c r="CI20" i="2"/>
  <c r="CJ20" i="2"/>
  <c r="CK20" i="2"/>
  <c r="CL20" i="2"/>
  <c r="CM20" i="2"/>
  <c r="CN20" i="2"/>
  <c r="CO20" i="2"/>
  <c r="CP20" i="2"/>
  <c r="CQ20" i="2"/>
  <c r="CR20" i="2"/>
  <c r="CS20" i="2"/>
  <c r="CT20" i="2"/>
  <c r="CU20" i="2"/>
  <c r="CV20" i="2"/>
  <c r="CW20" i="2"/>
  <c r="CX20" i="2"/>
  <c r="CY20" i="2"/>
  <c r="CZ20" i="2"/>
  <c r="DA20" i="2"/>
  <c r="DB20" i="2"/>
  <c r="DC20" i="2"/>
  <c r="DD20" i="2"/>
  <c r="DE20" i="2"/>
  <c r="DF20" i="2"/>
  <c r="DG20" i="2"/>
  <c r="DH20" i="2"/>
  <c r="DI20" i="2"/>
  <c r="DJ20" i="2"/>
  <c r="DK20" i="2"/>
  <c r="DL20" i="2"/>
  <c r="DM20" i="2"/>
  <c r="DN20" i="2"/>
  <c r="DO20" i="2"/>
  <c r="DP20" i="2"/>
  <c r="DQ20" i="2"/>
  <c r="DR20" i="2"/>
  <c r="DS20" i="2"/>
  <c r="DT20" i="2"/>
  <c r="DU20" i="2"/>
  <c r="DV20" i="2"/>
  <c r="DW20" i="2"/>
  <c r="DX20" i="2"/>
  <c r="DY20" i="2"/>
  <c r="DZ20" i="2"/>
  <c r="BQ26" i="2"/>
  <c r="BQ27" i="2"/>
  <c r="BN37" i="2"/>
</calcChain>
</file>

<file path=xl/sharedStrings.xml><?xml version="1.0" encoding="utf-8"?>
<sst xmlns="http://schemas.openxmlformats.org/spreadsheetml/2006/main" count="118" uniqueCount="110">
  <si>
    <t>Price</t>
  </si>
  <si>
    <t>Shares</t>
  </si>
  <si>
    <t>MC</t>
  </si>
  <si>
    <t>Cash</t>
  </si>
  <si>
    <t>Debt</t>
  </si>
  <si>
    <t>EV</t>
  </si>
  <si>
    <t>Q415</t>
  </si>
  <si>
    <t>Revenue</t>
  </si>
  <si>
    <t>Q114</t>
  </si>
  <si>
    <t>Q214</t>
  </si>
  <si>
    <t>Q314</t>
  </si>
  <si>
    <t>Q414</t>
  </si>
  <si>
    <t>Q115</t>
  </si>
  <si>
    <t>Q215</t>
  </si>
  <si>
    <t>Q315</t>
  </si>
  <si>
    <t>Q116</t>
  </si>
  <si>
    <t>Q216</t>
  </si>
  <si>
    <t>Q316</t>
  </si>
  <si>
    <t>Q416</t>
  </si>
  <si>
    <t>Revenue y/y</t>
  </si>
  <si>
    <t>COGS</t>
  </si>
  <si>
    <t>Gross Profit</t>
  </si>
  <si>
    <t>R&amp;D</t>
  </si>
  <si>
    <t>M&amp;S</t>
  </si>
  <si>
    <t>G&amp;A</t>
  </si>
  <si>
    <t>Operating Profit</t>
  </si>
  <si>
    <t>Operating Income</t>
  </si>
  <si>
    <t>Interest Income</t>
  </si>
  <si>
    <t>Pretax Income</t>
  </si>
  <si>
    <t>Tax Rate</t>
  </si>
  <si>
    <t>Gross Margin</t>
  </si>
  <si>
    <t>Net Income</t>
  </si>
  <si>
    <t>Taxes</t>
  </si>
  <si>
    <t>ARPU</t>
  </si>
  <si>
    <t>ARPU Growth</t>
  </si>
  <si>
    <t>Maturity</t>
  </si>
  <si>
    <t>Discount</t>
  </si>
  <si>
    <t>NPV</t>
  </si>
  <si>
    <t>Share</t>
  </si>
  <si>
    <t>Operating Margin</t>
  </si>
  <si>
    <t>Q113</t>
  </si>
  <si>
    <t>Q213</t>
  </si>
  <si>
    <t>Q313</t>
  </si>
  <si>
    <t>Q413</t>
  </si>
  <si>
    <t>Q112</t>
  </si>
  <si>
    <t>Q212</t>
  </si>
  <si>
    <t>Q312</t>
  </si>
  <si>
    <t>Q412</t>
  </si>
  <si>
    <t>Q111</t>
  </si>
  <si>
    <t>Q211</t>
  </si>
  <si>
    <t>Q311</t>
  </si>
  <si>
    <t>Q411</t>
  </si>
  <si>
    <t>Q110</t>
  </si>
  <si>
    <t>Q210</t>
  </si>
  <si>
    <t>Q310</t>
  </si>
  <si>
    <t>Q410</t>
  </si>
  <si>
    <t>Q109</t>
  </si>
  <si>
    <t>Q209</t>
  </si>
  <si>
    <t>Q309</t>
  </si>
  <si>
    <t>Q409</t>
  </si>
  <si>
    <t>User Growth Y/Y</t>
  </si>
  <si>
    <t>User Growth Q/Q</t>
  </si>
  <si>
    <t>DAU WW</t>
  </si>
  <si>
    <t>DAU US+Canada</t>
  </si>
  <si>
    <t>DAU US Y/Y</t>
  </si>
  <si>
    <t>DAU US Q/Q</t>
  </si>
  <si>
    <t>Global MAU</t>
  </si>
  <si>
    <t>EPS</t>
  </si>
  <si>
    <t>A/R</t>
  </si>
  <si>
    <t>Prepaids</t>
  </si>
  <si>
    <t>PP&amp;E</t>
  </si>
  <si>
    <t>Goodwill</t>
  </si>
  <si>
    <t>OA</t>
  </si>
  <si>
    <t>Assets</t>
  </si>
  <si>
    <t>AP</t>
  </si>
  <si>
    <t>Partners Payable</t>
  </si>
  <si>
    <t>AE</t>
  </si>
  <si>
    <t>DR</t>
  </si>
  <si>
    <t>Lease</t>
  </si>
  <si>
    <t>OL</t>
  </si>
  <si>
    <t>S/E</t>
  </si>
  <si>
    <t>L+S/E</t>
  </si>
  <si>
    <t>ROIC</t>
  </si>
  <si>
    <t>Main</t>
  </si>
  <si>
    <t>Q117</t>
  </si>
  <si>
    <t>Q217</t>
  </si>
  <si>
    <t>Q317</t>
  </si>
  <si>
    <t>Q417</t>
  </si>
  <si>
    <t>Model NI</t>
  </si>
  <si>
    <t>Reported NI</t>
  </si>
  <si>
    <t>CapEx</t>
  </si>
  <si>
    <t>D&amp;A</t>
  </si>
  <si>
    <t>SBC</t>
  </si>
  <si>
    <t>D/T</t>
  </si>
  <si>
    <t>ETB</t>
  </si>
  <si>
    <t>Other</t>
  </si>
  <si>
    <t>A/L</t>
  </si>
  <si>
    <t>CFFO</t>
  </si>
  <si>
    <t>Marketable</t>
  </si>
  <si>
    <t>Acquisitions</t>
  </si>
  <si>
    <t>Restricted</t>
  </si>
  <si>
    <t>CFFI</t>
  </si>
  <si>
    <t>CFFF</t>
  </si>
  <si>
    <t>Capital Lease</t>
  </si>
  <si>
    <t>CINC</t>
  </si>
  <si>
    <t>Change in Cash</t>
  </si>
  <si>
    <t>FCF</t>
  </si>
  <si>
    <t>FCF-SBC</t>
  </si>
  <si>
    <t>China?</t>
  </si>
  <si>
    <t>Livestreaming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</si>
</sst>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u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1">
    <xf numFmtId="0" fontId="0" fillId="0" borderId="0" xfId="0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9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0" fontId="1" fillId="0" borderId="0" xfId="0" applyFont="1"/>
    <xf numFmtId="0" fontId="1" fillId="0" borderId="0" xfId="0" applyFont="1" applyAlignment="1">
      <alignment horizontal="right"/>
    </xf>
    <xf numFmtId="9" fontId="1" fillId="0" borderId="0" xfId="0" applyNumberFormat="1" applyFont="1" applyAlignment="1">
      <alignment horizontal="right"/>
    </xf>
    <xf numFmtId="3" fontId="0" fillId="0" borderId="0" xfId="0" applyNumberFormat="1" applyFont="1" applyAlignment="1">
      <alignment horizontal="right"/>
    </xf>
    <xf numFmtId="9" fontId="1" fillId="0" borderId="0" xfId="0" applyNumberFormat="1" applyFont="1"/>
    <xf numFmtId="4" fontId="1" fillId="0" borderId="0" xfId="0" applyNumberFormat="1" applyFont="1" applyAlignment="1">
      <alignment horizontal="right"/>
    </xf>
    <xf numFmtId="3" fontId="0" fillId="0" borderId="0" xfId="0" applyNumberFormat="1" applyFont="1"/>
    <xf numFmtId="9" fontId="0" fillId="0" borderId="0" xfId="0" applyNumberFormat="1"/>
    <xf numFmtId="4" fontId="1" fillId="0" borderId="0" xfId="0" applyNumberFormat="1" applyFont="1"/>
    <xf numFmtId="3" fontId="2" fillId="0" borderId="0" xfId="0" applyNumberFormat="1" applyFont="1" applyAlignment="1">
      <alignment horizontal="right"/>
    </xf>
    <xf numFmtId="0" fontId="3" fillId="0" borderId="0" xfId="1"/>
    <xf numFmtId="4" fontId="0" fillId="0" borderId="0" xfId="0" applyNumberFormat="1" applyAlignment="1">
      <alignment horizontal="right"/>
    </xf>
    <xf numFmtId="16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19050</xdr:colOff>
      <xdr:row>0</xdr:row>
      <xdr:rowOff>95250</xdr:rowOff>
    </xdr:from>
    <xdr:to>
      <xdr:col>31</xdr:col>
      <xdr:colOff>19050</xdr:colOff>
      <xdr:row>82</xdr:row>
      <xdr:rowOff>47625</xdr:rowOff>
    </xdr:to>
    <xdr:cxnSp macro="">
      <xdr:nvCxnSpPr>
        <xdr:cNvPr id="3" name="Straight Connector 2"/>
        <xdr:cNvCxnSpPr/>
      </xdr:nvCxnSpPr>
      <xdr:spPr>
        <a:xfrm>
          <a:off x="19078575" y="95250"/>
          <a:ext cx="0" cy="138779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38100</xdr:colOff>
      <xdr:row>0</xdr:row>
      <xdr:rowOff>0</xdr:rowOff>
    </xdr:from>
    <xdr:to>
      <xdr:col>51</xdr:col>
      <xdr:colOff>38100</xdr:colOff>
      <xdr:row>53</xdr:row>
      <xdr:rowOff>0</xdr:rowOff>
    </xdr:to>
    <xdr:cxnSp macro="">
      <xdr:nvCxnSpPr>
        <xdr:cNvPr id="4" name="Straight Connector 3"/>
        <xdr:cNvCxnSpPr/>
      </xdr:nvCxnSpPr>
      <xdr:spPr>
        <a:xfrm>
          <a:off x="10839450" y="0"/>
          <a:ext cx="0" cy="77724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7"/>
  <sheetViews>
    <sheetView zoomScale="130" zoomScaleNormal="130" zoomScalePageLayoutView="150" workbookViewId="0">
      <selection activeCell="O10" sqref="O10"/>
    </sheetView>
  </sheetViews>
  <sheetFormatPr defaultColWidth="8.85546875" defaultRowHeight="12.75" x14ac:dyDescent="0.2"/>
  <sheetData>
    <row r="2" spans="2:14" x14ac:dyDescent="0.2">
      <c r="K2" t="s">
        <v>0</v>
      </c>
      <c r="L2" s="1">
        <v>128.69</v>
      </c>
      <c r="N2" s="20">
        <v>42640</v>
      </c>
    </row>
    <row r="3" spans="2:14" x14ac:dyDescent="0.2">
      <c r="B3" t="s">
        <v>108</v>
      </c>
      <c r="K3" t="s">
        <v>1</v>
      </c>
      <c r="L3" s="2">
        <v>2856</v>
      </c>
      <c r="M3" s="3" t="s">
        <v>15</v>
      </c>
    </row>
    <row r="4" spans="2:14" x14ac:dyDescent="0.2">
      <c r="B4" t="s">
        <v>109</v>
      </c>
      <c r="K4" t="s">
        <v>2</v>
      </c>
      <c r="L4" s="2">
        <f>+L3*L2</f>
        <v>367538.64</v>
      </c>
      <c r="M4" s="3"/>
    </row>
    <row r="5" spans="2:14" x14ac:dyDescent="0.2">
      <c r="K5" t="s">
        <v>3</v>
      </c>
      <c r="L5" s="2">
        <f>5108+18185</f>
        <v>23293</v>
      </c>
      <c r="M5" s="3" t="s">
        <v>15</v>
      </c>
    </row>
    <row r="6" spans="2:14" x14ac:dyDescent="0.2">
      <c r="K6" t="s">
        <v>4</v>
      </c>
      <c r="L6" s="2">
        <v>0</v>
      </c>
      <c r="M6" s="3" t="s">
        <v>15</v>
      </c>
    </row>
    <row r="7" spans="2:14" x14ac:dyDescent="0.2">
      <c r="K7" t="s">
        <v>5</v>
      </c>
      <c r="L7" s="2">
        <f>+L4-L5+L6</f>
        <v>344245.64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Z80"/>
  <sheetViews>
    <sheetView tabSelected="1" zoomScale="125" zoomScaleNormal="125" zoomScalePageLayoutView="125" workbookViewId="0">
      <pane xSplit="2" ySplit="2" topLeftCell="AL3" activePane="bottomRight" state="frozen"/>
      <selection pane="topRight" activeCell="C1" sqref="C1"/>
      <selection pane="bottomLeft" activeCell="A3" sqref="A3"/>
      <selection pane="bottomRight" activeCell="AT9" sqref="AT9"/>
    </sheetView>
  </sheetViews>
  <sheetFormatPr defaultColWidth="8.85546875" defaultRowHeight="12.75" x14ac:dyDescent="0.2"/>
  <cols>
    <col min="1" max="1" width="5" bestFit="1" customWidth="1"/>
    <col min="2" max="2" width="15.7109375" bestFit="1" customWidth="1"/>
    <col min="3" max="38" width="8.85546875" style="3"/>
    <col min="69" max="69" width="9.42578125" customWidth="1"/>
  </cols>
  <sheetData>
    <row r="1" spans="1:66" x14ac:dyDescent="0.2">
      <c r="A1" s="18" t="s">
        <v>83</v>
      </c>
    </row>
    <row r="2" spans="1:66" x14ac:dyDescent="0.2">
      <c r="C2" s="3" t="s">
        <v>56</v>
      </c>
      <c r="D2" s="3" t="s">
        <v>57</v>
      </c>
      <c r="E2" s="3" t="s">
        <v>58</v>
      </c>
      <c r="F2" s="3" t="s">
        <v>59</v>
      </c>
      <c r="G2" s="3" t="s">
        <v>52</v>
      </c>
      <c r="H2" s="3" t="s">
        <v>53</v>
      </c>
      <c r="I2" s="3" t="s">
        <v>54</v>
      </c>
      <c r="J2" s="3" t="s">
        <v>55</v>
      </c>
      <c r="K2" s="3" t="s">
        <v>48</v>
      </c>
      <c r="L2" s="3" t="s">
        <v>49</v>
      </c>
      <c r="M2" s="3" t="s">
        <v>50</v>
      </c>
      <c r="N2" s="3" t="s">
        <v>51</v>
      </c>
      <c r="O2" s="3" t="s">
        <v>44</v>
      </c>
      <c r="P2" s="3" t="s">
        <v>45</v>
      </c>
      <c r="Q2" s="3" t="s">
        <v>46</v>
      </c>
      <c r="R2" s="3" t="s">
        <v>47</v>
      </c>
      <c r="S2" s="3" t="s">
        <v>40</v>
      </c>
      <c r="T2" s="3" t="s">
        <v>41</v>
      </c>
      <c r="U2" s="3" t="s">
        <v>42</v>
      </c>
      <c r="V2" s="3" t="s">
        <v>43</v>
      </c>
      <c r="W2" s="3" t="s">
        <v>8</v>
      </c>
      <c r="X2" s="3" t="s">
        <v>9</v>
      </c>
      <c r="Y2" s="3" t="s">
        <v>10</v>
      </c>
      <c r="Z2" s="3" t="s">
        <v>11</v>
      </c>
      <c r="AA2" s="3" t="s">
        <v>12</v>
      </c>
      <c r="AB2" s="3" t="s">
        <v>13</v>
      </c>
      <c r="AC2" s="3" t="s">
        <v>14</v>
      </c>
      <c r="AD2" s="3" t="s">
        <v>6</v>
      </c>
      <c r="AE2" s="3" t="s">
        <v>15</v>
      </c>
      <c r="AF2" s="3" t="s">
        <v>16</v>
      </c>
      <c r="AG2" s="3" t="s">
        <v>17</v>
      </c>
      <c r="AH2" s="3" t="s">
        <v>18</v>
      </c>
      <c r="AI2" s="3" t="s">
        <v>84</v>
      </c>
      <c r="AJ2" s="3" t="s">
        <v>85</v>
      </c>
      <c r="AK2" s="3" t="s">
        <v>86</v>
      </c>
      <c r="AL2" s="3" t="s">
        <v>87</v>
      </c>
      <c r="AN2">
        <f t="shared" ref="AN2:AW2" si="0">+AO2-1</f>
        <v>2004</v>
      </c>
      <c r="AO2">
        <f t="shared" si="0"/>
        <v>2005</v>
      </c>
      <c r="AP2">
        <f t="shared" si="0"/>
        <v>2006</v>
      </c>
      <c r="AQ2">
        <f t="shared" si="0"/>
        <v>2007</v>
      </c>
      <c r="AR2">
        <f t="shared" si="0"/>
        <v>2008</v>
      </c>
      <c r="AS2">
        <f t="shared" si="0"/>
        <v>2009</v>
      </c>
      <c r="AT2">
        <f t="shared" si="0"/>
        <v>2010</v>
      </c>
      <c r="AU2">
        <f t="shared" si="0"/>
        <v>2011</v>
      </c>
      <c r="AV2">
        <f t="shared" si="0"/>
        <v>2012</v>
      </c>
      <c r="AW2">
        <f t="shared" si="0"/>
        <v>2013</v>
      </c>
      <c r="AX2">
        <f>+AY2-1</f>
        <v>2014</v>
      </c>
      <c r="AY2">
        <v>2015</v>
      </c>
      <c r="AZ2">
        <f>+AY2+1</f>
        <v>2016</v>
      </c>
      <c r="BA2">
        <f t="shared" ref="BA2:BN2" si="1">+AZ2+1</f>
        <v>2017</v>
      </c>
      <c r="BB2">
        <f t="shared" si="1"/>
        <v>2018</v>
      </c>
      <c r="BC2">
        <f t="shared" si="1"/>
        <v>2019</v>
      </c>
      <c r="BD2">
        <f t="shared" si="1"/>
        <v>2020</v>
      </c>
      <c r="BE2">
        <f t="shared" si="1"/>
        <v>2021</v>
      </c>
      <c r="BF2">
        <f t="shared" si="1"/>
        <v>2022</v>
      </c>
      <c r="BG2">
        <f t="shared" si="1"/>
        <v>2023</v>
      </c>
      <c r="BH2">
        <f t="shared" si="1"/>
        <v>2024</v>
      </c>
      <c r="BI2">
        <f t="shared" si="1"/>
        <v>2025</v>
      </c>
      <c r="BJ2">
        <f t="shared" si="1"/>
        <v>2026</v>
      </c>
      <c r="BK2">
        <f t="shared" si="1"/>
        <v>2027</v>
      </c>
      <c r="BL2">
        <f t="shared" si="1"/>
        <v>2028</v>
      </c>
      <c r="BM2">
        <f t="shared" si="1"/>
        <v>2029</v>
      </c>
      <c r="BN2">
        <f t="shared" si="1"/>
        <v>2030</v>
      </c>
    </row>
    <row r="3" spans="1:66" x14ac:dyDescent="0.2">
      <c r="B3" t="s">
        <v>66</v>
      </c>
      <c r="AN3">
        <v>1</v>
      </c>
      <c r="AO3">
        <v>6</v>
      </c>
      <c r="AP3">
        <v>12</v>
      </c>
      <c r="AQ3">
        <v>58</v>
      </c>
      <c r="AR3">
        <v>145</v>
      </c>
      <c r="AS3">
        <v>360</v>
      </c>
      <c r="AT3">
        <v>608</v>
      </c>
      <c r="AU3">
        <v>845</v>
      </c>
    </row>
    <row r="4" spans="1:66" x14ac:dyDescent="0.2">
      <c r="B4" t="s">
        <v>63</v>
      </c>
      <c r="C4" s="3">
        <v>35</v>
      </c>
      <c r="D4" s="3">
        <v>40</v>
      </c>
      <c r="E4" s="3">
        <v>53</v>
      </c>
      <c r="F4" s="3">
        <v>64</v>
      </c>
      <c r="G4" s="3">
        <v>82</v>
      </c>
      <c r="H4" s="3">
        <v>85</v>
      </c>
      <c r="I4" s="3">
        <v>92</v>
      </c>
      <c r="J4" s="3">
        <v>99</v>
      </c>
      <c r="K4" s="3">
        <v>105</v>
      </c>
      <c r="L4" s="3">
        <v>117</v>
      </c>
      <c r="M4" s="3">
        <v>124</v>
      </c>
      <c r="N4" s="3">
        <v>126</v>
      </c>
      <c r="O4" s="3">
        <v>129</v>
      </c>
      <c r="P4" s="3">
        <v>130</v>
      </c>
      <c r="Q4" s="3">
        <v>132</v>
      </c>
      <c r="R4" s="3">
        <v>135</v>
      </c>
      <c r="S4" s="3">
        <v>139</v>
      </c>
      <c r="T4" s="3">
        <v>142</v>
      </c>
      <c r="U4" s="3">
        <v>144</v>
      </c>
      <c r="V4" s="3">
        <v>147</v>
      </c>
      <c r="W4" s="3">
        <v>150</v>
      </c>
      <c r="X4" s="3">
        <v>152</v>
      </c>
      <c r="Y4" s="3">
        <v>155</v>
      </c>
      <c r="Z4" s="3">
        <v>157</v>
      </c>
      <c r="AA4" s="3">
        <v>161</v>
      </c>
      <c r="AB4" s="3">
        <v>164</v>
      </c>
      <c r="AC4" s="3">
        <v>167</v>
      </c>
      <c r="AD4" s="3">
        <v>169</v>
      </c>
      <c r="AS4">
        <f>AVERAGE(C4:F4)</f>
        <v>48</v>
      </c>
      <c r="AT4" s="2">
        <f>AVERAGE(G4:J4)</f>
        <v>89.5</v>
      </c>
      <c r="AU4" s="2">
        <f>AVERAGE(K4:N4)</f>
        <v>118</v>
      </c>
      <c r="AV4" s="2">
        <f>AVERAGE(O4:R4)</f>
        <v>131.5</v>
      </c>
      <c r="AW4" s="2">
        <f>AVERAGE(S4:V4)</f>
        <v>143</v>
      </c>
      <c r="AX4" s="2">
        <f>AVERAGE(W4:Z4)</f>
        <v>153.5</v>
      </c>
      <c r="AY4" s="2">
        <f>AVERAGE(AA4:AD4)</f>
        <v>165.25</v>
      </c>
    </row>
    <row r="5" spans="1:66" x14ac:dyDescent="0.2">
      <c r="C5" s="4">
        <f t="shared" ref="C5" si="2">C4/(318.9+35.16)</f>
        <v>9.8853301700276799E-2</v>
      </c>
      <c r="D5" s="4">
        <f t="shared" ref="D5" si="3">D4/(318.9+35.16)</f>
        <v>0.11297520194317349</v>
      </c>
      <c r="E5" s="4">
        <f t="shared" ref="E5" si="4">E4/(318.9+35.16)</f>
        <v>0.14969214257470487</v>
      </c>
      <c r="F5" s="4">
        <f t="shared" ref="F5" si="5">F4/(318.9+35.16)</f>
        <v>0.18076032310907758</v>
      </c>
      <c r="G5" s="4">
        <f t="shared" ref="G5" si="6">G4/(318.9+35.16)</f>
        <v>0.23159916398350566</v>
      </c>
      <c r="H5" s="4">
        <f t="shared" ref="H5" si="7">H4/(318.9+35.16)</f>
        <v>0.24007230412924366</v>
      </c>
      <c r="I5" s="4">
        <f t="shared" ref="I5" si="8">I4/(318.9+35.16)</f>
        <v>0.25984296446929905</v>
      </c>
      <c r="J5" s="4">
        <f t="shared" ref="J5:AC5" si="9">J4/(318.9+35.16)</f>
        <v>0.27961362480935437</v>
      </c>
      <c r="K5" s="4">
        <f t="shared" si="9"/>
        <v>0.29655990510083041</v>
      </c>
      <c r="L5" s="4">
        <f t="shared" si="9"/>
        <v>0.33045246568378245</v>
      </c>
      <c r="M5" s="4">
        <f t="shared" si="9"/>
        <v>0.35022312602383782</v>
      </c>
      <c r="N5" s="4">
        <f t="shared" si="9"/>
        <v>0.35587188612099652</v>
      </c>
      <c r="O5" s="4">
        <f t="shared" si="9"/>
        <v>0.36434502626673448</v>
      </c>
      <c r="P5" s="4">
        <f t="shared" si="9"/>
        <v>0.36716940631531386</v>
      </c>
      <c r="Q5" s="4">
        <f t="shared" si="9"/>
        <v>0.37281816641247251</v>
      </c>
      <c r="R5" s="4">
        <f t="shared" si="9"/>
        <v>0.38129130655821053</v>
      </c>
      <c r="S5" s="4">
        <f t="shared" si="9"/>
        <v>0.39258882675252788</v>
      </c>
      <c r="T5" s="4">
        <f t="shared" si="9"/>
        <v>0.4010619668982659</v>
      </c>
      <c r="U5" s="4">
        <f t="shared" si="9"/>
        <v>0.40671072699542454</v>
      </c>
      <c r="V5" s="4">
        <f t="shared" si="9"/>
        <v>0.41518386714116257</v>
      </c>
      <c r="W5" s="4">
        <f t="shared" si="9"/>
        <v>0.42365700728690059</v>
      </c>
      <c r="X5" s="4">
        <f t="shared" si="9"/>
        <v>0.42930576738405929</v>
      </c>
      <c r="Y5" s="4">
        <f t="shared" si="9"/>
        <v>0.43777890752979726</v>
      </c>
      <c r="Z5" s="4">
        <f t="shared" si="9"/>
        <v>0.44342766762695596</v>
      </c>
      <c r="AA5" s="4">
        <f t="shared" si="9"/>
        <v>0.4547251878212733</v>
      </c>
      <c r="AB5" s="4">
        <f t="shared" si="9"/>
        <v>0.46319832796701133</v>
      </c>
      <c r="AC5" s="4">
        <f t="shared" si="9"/>
        <v>0.47167146811274935</v>
      </c>
      <c r="AD5" s="4">
        <f>AD4/(318.9+35.16)</f>
        <v>0.47732022820990799</v>
      </c>
      <c r="AS5" s="4">
        <f t="shared" ref="AS5:AY5" si="10">AS4/(318.9+35.16)</f>
        <v>0.1355702423318082</v>
      </c>
      <c r="AT5" s="4">
        <f t="shared" si="10"/>
        <v>0.25278201434785069</v>
      </c>
      <c r="AU5" s="4">
        <f t="shared" si="10"/>
        <v>0.33327684573236177</v>
      </c>
      <c r="AV5" s="4">
        <f t="shared" si="10"/>
        <v>0.37140597638818285</v>
      </c>
      <c r="AW5" s="4">
        <f t="shared" si="10"/>
        <v>0.40388634694684522</v>
      </c>
      <c r="AX5" s="4">
        <f t="shared" si="10"/>
        <v>0.43354233745692827</v>
      </c>
      <c r="AY5" s="4">
        <f t="shared" si="10"/>
        <v>0.46672880302773551</v>
      </c>
    </row>
    <row r="6" spans="1:66" s="14" customFormat="1" x14ac:dyDescent="0.2">
      <c r="B6" s="14" t="s">
        <v>62</v>
      </c>
      <c r="C6" s="11">
        <v>92</v>
      </c>
      <c r="D6" s="11">
        <v>108</v>
      </c>
      <c r="E6" s="11">
        <v>144</v>
      </c>
      <c r="F6" s="11">
        <v>185</v>
      </c>
      <c r="G6" s="11">
        <v>234</v>
      </c>
      <c r="H6" s="11">
        <v>257</v>
      </c>
      <c r="I6" s="11">
        <v>293</v>
      </c>
      <c r="J6" s="11">
        <v>327</v>
      </c>
      <c r="K6" s="11">
        <v>372</v>
      </c>
      <c r="L6" s="11">
        <v>417</v>
      </c>
      <c r="M6" s="11">
        <v>457</v>
      </c>
      <c r="N6" s="11">
        <v>483</v>
      </c>
      <c r="O6" s="11">
        <v>526</v>
      </c>
      <c r="P6" s="11">
        <v>552</v>
      </c>
      <c r="Q6" s="11">
        <v>584</v>
      </c>
      <c r="R6" s="11">
        <v>618</v>
      </c>
      <c r="S6" s="11">
        <v>665</v>
      </c>
      <c r="T6" s="11">
        <v>699</v>
      </c>
      <c r="U6" s="11">
        <v>728</v>
      </c>
      <c r="V6" s="11">
        <v>757</v>
      </c>
      <c r="W6" s="11">
        <v>802</v>
      </c>
      <c r="X6" s="11">
        <v>829</v>
      </c>
      <c r="Y6" s="11">
        <v>864</v>
      </c>
      <c r="Z6" s="11">
        <f>+AD6/1.17</f>
        <v>888.88888888888891</v>
      </c>
      <c r="AA6" s="11">
        <v>936</v>
      </c>
      <c r="AB6" s="11">
        <v>968</v>
      </c>
      <c r="AC6" s="11">
        <v>1007</v>
      </c>
      <c r="AD6" s="11">
        <v>1040</v>
      </c>
      <c r="AE6" s="11">
        <v>1090</v>
      </c>
      <c r="AF6" s="11">
        <f t="shared" ref="AF6:AH6" si="11">+AE6*1.01</f>
        <v>1100.9000000000001</v>
      </c>
      <c r="AG6" s="11">
        <f t="shared" si="11"/>
        <v>1111.9090000000001</v>
      </c>
      <c r="AH6" s="11">
        <f t="shared" si="11"/>
        <v>1123.02809</v>
      </c>
      <c r="AI6" s="11">
        <f t="shared" ref="AI6" si="12">+AH6*1.01</f>
        <v>1134.2583709</v>
      </c>
      <c r="AJ6" s="11">
        <f t="shared" ref="AJ6" si="13">+AI6*1.01</f>
        <v>1145.6009546090002</v>
      </c>
      <c r="AK6" s="11">
        <f t="shared" ref="AK6" si="14">+AJ6*1.01</f>
        <v>1157.0569641550901</v>
      </c>
      <c r="AL6" s="11">
        <f t="shared" ref="AL6" si="15">+AK6*1.01</f>
        <v>1168.627533796641</v>
      </c>
      <c r="AY6" s="14">
        <v>1040</v>
      </c>
      <c r="AZ6" s="14">
        <f>AVERAGE(AE6:AH6)</f>
        <v>1106.4592725</v>
      </c>
      <c r="BA6" s="14">
        <f>+AZ6*1.02</f>
        <v>1128.58845795</v>
      </c>
      <c r="BB6" s="14">
        <f t="shared" ref="BB6:BC6" si="16">+BA6*1.02</f>
        <v>1151.1602271090001</v>
      </c>
      <c r="BC6" s="14">
        <f t="shared" si="16"/>
        <v>1174.1834316511802</v>
      </c>
      <c r="BD6" s="14">
        <f>+BC6</f>
        <v>1174.1834316511802</v>
      </c>
      <c r="BE6" s="14">
        <f t="shared" ref="BE6:BN6" si="17">+BD6</f>
        <v>1174.1834316511802</v>
      </c>
      <c r="BF6" s="14">
        <f t="shared" si="17"/>
        <v>1174.1834316511802</v>
      </c>
      <c r="BG6" s="14">
        <f t="shared" si="17"/>
        <v>1174.1834316511802</v>
      </c>
      <c r="BH6" s="14">
        <f t="shared" si="17"/>
        <v>1174.1834316511802</v>
      </c>
      <c r="BI6" s="14">
        <f t="shared" si="17"/>
        <v>1174.1834316511802</v>
      </c>
      <c r="BJ6" s="14">
        <f t="shared" si="17"/>
        <v>1174.1834316511802</v>
      </c>
      <c r="BK6" s="14">
        <f t="shared" si="17"/>
        <v>1174.1834316511802</v>
      </c>
      <c r="BL6" s="14">
        <f t="shared" si="17"/>
        <v>1174.1834316511802</v>
      </c>
      <c r="BM6" s="14">
        <f t="shared" si="17"/>
        <v>1174.1834316511802</v>
      </c>
      <c r="BN6" s="14">
        <f t="shared" si="17"/>
        <v>1174.1834316511802</v>
      </c>
    </row>
    <row r="7" spans="1:66" s="8" customFormat="1" x14ac:dyDescent="0.2">
      <c r="B7" s="8" t="s">
        <v>33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13">
        <f t="shared" ref="W7:AE7" si="18">W9/W6*4</f>
        <v>12.478802992518704</v>
      </c>
      <c r="X7" s="13">
        <f t="shared" si="18"/>
        <v>14.041013268998794</v>
      </c>
      <c r="Y7" s="13">
        <f t="shared" si="18"/>
        <v>14.828703703703704</v>
      </c>
      <c r="Z7" s="13">
        <f t="shared" si="18"/>
        <v>17.329499999999999</v>
      </c>
      <c r="AA7" s="13">
        <f t="shared" si="18"/>
        <v>15.141025641025641</v>
      </c>
      <c r="AB7" s="13">
        <f t="shared" si="18"/>
        <v>16.702479338842974</v>
      </c>
      <c r="AC7" s="13">
        <f t="shared" si="18"/>
        <v>17.878848063555115</v>
      </c>
      <c r="AD7" s="13">
        <f t="shared" si="18"/>
        <v>22.465384615384615</v>
      </c>
      <c r="AE7" s="13">
        <f t="shared" si="18"/>
        <v>19.750458715596331</v>
      </c>
      <c r="AF7" s="13">
        <f>+AB7*1.3</f>
        <v>21.713223140495867</v>
      </c>
      <c r="AG7" s="13">
        <f t="shared" ref="AG7:AL7" si="19">+AC7*1.3</f>
        <v>23.242502482621649</v>
      </c>
      <c r="AH7" s="13">
        <f t="shared" si="19"/>
        <v>29.204999999999998</v>
      </c>
      <c r="AI7" s="13">
        <f t="shared" si="19"/>
        <v>25.67559633027523</v>
      </c>
      <c r="AJ7" s="13">
        <f t="shared" si="19"/>
        <v>28.227190082644629</v>
      </c>
      <c r="AK7" s="13">
        <f t="shared" si="19"/>
        <v>30.215253227408144</v>
      </c>
      <c r="AL7" s="13">
        <f t="shared" si="19"/>
        <v>37.966499999999996</v>
      </c>
      <c r="AY7" s="16">
        <f>+AD7</f>
        <v>22.465384615384615</v>
      </c>
      <c r="AZ7" s="16">
        <f>+AY7*1.3</f>
        <v>29.204999999999998</v>
      </c>
      <c r="BA7" s="16">
        <f>+AZ7*1.1</f>
        <v>32.125500000000002</v>
      </c>
      <c r="BB7" s="16">
        <f>+BA7*1.3</f>
        <v>41.763150000000003</v>
      </c>
      <c r="BC7" s="16">
        <f>+BB7*1.3</f>
        <v>54.292095000000003</v>
      </c>
      <c r="BD7" s="16">
        <f>+BC7*1.03</f>
        <v>55.920857850000004</v>
      </c>
      <c r="BE7" s="16">
        <f t="shared" ref="BE7:BN7" si="20">+BD7*1.03</f>
        <v>57.598483585500006</v>
      </c>
      <c r="BF7" s="16">
        <f t="shared" si="20"/>
        <v>59.326438093065008</v>
      </c>
      <c r="BG7" s="16">
        <f t="shared" si="20"/>
        <v>61.10623123585696</v>
      </c>
      <c r="BH7" s="16">
        <f t="shared" si="20"/>
        <v>62.939418172932669</v>
      </c>
      <c r="BI7" s="16">
        <f t="shared" si="20"/>
        <v>64.82760071812065</v>
      </c>
      <c r="BJ7" s="16">
        <f t="shared" si="20"/>
        <v>66.772428739664264</v>
      </c>
      <c r="BK7" s="16">
        <f t="shared" si="20"/>
        <v>68.775601601854191</v>
      </c>
      <c r="BL7" s="16">
        <f t="shared" si="20"/>
        <v>70.838869649909824</v>
      </c>
      <c r="BM7" s="16">
        <f t="shared" si="20"/>
        <v>72.964035739407123</v>
      </c>
      <c r="BN7" s="16">
        <f t="shared" si="20"/>
        <v>75.152956811589334</v>
      </c>
    </row>
    <row r="9" spans="1:66" s="6" customFormat="1" x14ac:dyDescent="0.2">
      <c r="B9" s="6" t="s">
        <v>7</v>
      </c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>
        <v>2502</v>
      </c>
      <c r="X9" s="7">
        <v>2910</v>
      </c>
      <c r="Y9" s="7">
        <v>3203</v>
      </c>
      <c r="Z9" s="7">
        <v>3851</v>
      </c>
      <c r="AA9" s="7">
        <v>3543</v>
      </c>
      <c r="AB9" s="7">
        <v>4042</v>
      </c>
      <c r="AC9" s="7">
        <v>4501</v>
      </c>
      <c r="AD9" s="7">
        <v>5841</v>
      </c>
      <c r="AE9" s="7">
        <v>5382</v>
      </c>
      <c r="AF9" s="7">
        <f t="shared" ref="AF9:AL9" si="21">+AF7*AF6/4</f>
        <v>5976.0218388429757</v>
      </c>
      <c r="AG9" s="7">
        <f t="shared" si="21"/>
        <v>6460.886923237339</v>
      </c>
      <c r="AH9" s="7">
        <f t="shared" si="21"/>
        <v>8199.5088421125001</v>
      </c>
      <c r="AI9" s="7">
        <f t="shared" si="21"/>
        <v>7280.6900163660002</v>
      </c>
      <c r="AJ9" s="7">
        <f t="shared" si="21"/>
        <v>8084.2739761518469</v>
      </c>
      <c r="AK9" s="7">
        <f t="shared" si="21"/>
        <v>8740.1922926205389</v>
      </c>
      <c r="AL9" s="7">
        <f t="shared" si="21"/>
        <v>11092.174315472543</v>
      </c>
      <c r="AT9" s="6">
        <v>1974</v>
      </c>
      <c r="AU9" s="6">
        <v>3711</v>
      </c>
      <c r="AV9" s="6">
        <v>5089</v>
      </c>
      <c r="AW9" s="6">
        <v>7872</v>
      </c>
      <c r="AX9" s="6">
        <v>12466</v>
      </c>
      <c r="AY9" s="6">
        <v>17928</v>
      </c>
      <c r="AZ9" s="6">
        <f>SUM(AE9:AH9)</f>
        <v>26018.417604192815</v>
      </c>
      <c r="BA9" s="6">
        <f t="shared" ref="BA9:BN9" si="22">+BA7*BA6</f>
        <v>36256.468505872726</v>
      </c>
      <c r="BB9" s="6">
        <f t="shared" si="22"/>
        <v>48076.077238787242</v>
      </c>
      <c r="BC9" s="6">
        <f t="shared" si="22"/>
        <v>63748.878418631888</v>
      </c>
      <c r="BD9" s="6">
        <f t="shared" si="22"/>
        <v>65661.344771190837</v>
      </c>
      <c r="BE9" s="6">
        <f t="shared" si="22"/>
        <v>67631.185114326567</v>
      </c>
      <c r="BF9" s="6">
        <f t="shared" si="22"/>
        <v>69660.120667756375</v>
      </c>
      <c r="BG9" s="6">
        <f t="shared" si="22"/>
        <v>71749.924287789065</v>
      </c>
      <c r="BH9" s="6">
        <f t="shared" si="22"/>
        <v>73902.42201642273</v>
      </c>
      <c r="BI9" s="6">
        <f t="shared" si="22"/>
        <v>76119.494676915419</v>
      </c>
      <c r="BJ9" s="6">
        <f t="shared" si="22"/>
        <v>78403.079517222868</v>
      </c>
      <c r="BK9" s="6">
        <f t="shared" si="22"/>
        <v>80755.171902739559</v>
      </c>
      <c r="BL9" s="6">
        <f t="shared" si="22"/>
        <v>83177.82705982175</v>
      </c>
      <c r="BM9" s="6">
        <f t="shared" si="22"/>
        <v>85673.161871616408</v>
      </c>
      <c r="BN9" s="6">
        <f t="shared" si="22"/>
        <v>88243.356727764898</v>
      </c>
    </row>
    <row r="10" spans="1:66" s="2" customFormat="1" x14ac:dyDescent="0.2">
      <c r="B10" s="2" t="s">
        <v>20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>
        <v>462</v>
      </c>
      <c r="X10" s="5">
        <f>473-16</f>
        <v>457</v>
      </c>
      <c r="Y10" s="5">
        <v>565</v>
      </c>
      <c r="Z10" s="5">
        <f>653-18</f>
        <v>635</v>
      </c>
      <c r="AA10" s="5">
        <v>654</v>
      </c>
      <c r="AB10" s="5">
        <f>668-21</f>
        <v>647</v>
      </c>
      <c r="AC10" s="5">
        <f>720-21</f>
        <v>699</v>
      </c>
      <c r="AD10" s="5">
        <f>824-22</f>
        <v>802</v>
      </c>
      <c r="AE10" s="5">
        <v>838</v>
      </c>
      <c r="AF10" s="5">
        <f t="shared" ref="AF10" si="23">+AF9-AF11</f>
        <v>836.64305743801651</v>
      </c>
      <c r="AG10" s="5">
        <f t="shared" ref="AG10:AL10" si="24">+AG9-AG11</f>
        <v>904.52416925322723</v>
      </c>
      <c r="AH10" s="5">
        <f t="shared" si="24"/>
        <v>1147.9312378957502</v>
      </c>
      <c r="AI10" s="5">
        <f t="shared" si="24"/>
        <v>1019.2966022912406</v>
      </c>
      <c r="AJ10" s="5">
        <f t="shared" si="24"/>
        <v>1131.7983566612584</v>
      </c>
      <c r="AK10" s="5">
        <f t="shared" si="24"/>
        <v>1223.6269209668753</v>
      </c>
      <c r="AL10" s="5">
        <f t="shared" si="24"/>
        <v>1552.9044041661564</v>
      </c>
      <c r="AT10" s="2">
        <v>493</v>
      </c>
      <c r="AU10" s="2">
        <v>860</v>
      </c>
      <c r="AV10" s="2">
        <v>1364</v>
      </c>
      <c r="AW10" s="2">
        <v>1875</v>
      </c>
      <c r="AX10" s="2">
        <v>2153</v>
      </c>
      <c r="AY10" s="2">
        <v>2867</v>
      </c>
      <c r="AZ10" s="2">
        <f>SUM(AE10:AH10)</f>
        <v>3727.0984645869939</v>
      </c>
      <c r="BA10" s="2">
        <f>BA9-BA11</f>
        <v>5438.4702758809108</v>
      </c>
      <c r="BB10" s="2">
        <f t="shared" ref="BB10:BC10" si="25">BB9-BB11</f>
        <v>7211.4115858180885</v>
      </c>
      <c r="BC10" s="2">
        <f t="shared" si="25"/>
        <v>9562.3317627947836</v>
      </c>
      <c r="BD10" s="2">
        <f t="shared" ref="BD10" si="26">BD9-BD11</f>
        <v>9849.2017156786242</v>
      </c>
      <c r="BE10" s="2">
        <f t="shared" ref="BE10" si="27">BE9-BE11</f>
        <v>10144.677767148984</v>
      </c>
      <c r="BF10" s="2">
        <f t="shared" ref="BF10" si="28">BF9-BF11</f>
        <v>10449.018100163456</v>
      </c>
      <c r="BG10" s="2">
        <f t="shared" ref="BG10" si="29">BG9-BG11</f>
        <v>10762.488643168363</v>
      </c>
      <c r="BH10" s="2">
        <f t="shared" ref="BH10" si="30">BH9-BH11</f>
        <v>11085.363302463411</v>
      </c>
      <c r="BI10" s="2">
        <f t="shared" ref="BI10" si="31">BI9-BI11</f>
        <v>11417.924201537317</v>
      </c>
      <c r="BJ10" s="2">
        <f t="shared" ref="BJ10" si="32">BJ9-BJ11</f>
        <v>11760.461927583427</v>
      </c>
      <c r="BK10" s="2">
        <f t="shared" ref="BK10" si="33">BK9-BK11</f>
        <v>12113.275785410937</v>
      </c>
      <c r="BL10" s="2">
        <f t="shared" ref="BL10" si="34">BL9-BL11</f>
        <v>12476.674058973265</v>
      </c>
      <c r="BM10" s="2">
        <f t="shared" ref="BM10" si="35">BM9-BM11</f>
        <v>12850.974280742463</v>
      </c>
      <c r="BN10" s="2">
        <f t="shared" ref="BN10" si="36">BN9-BN11</f>
        <v>13236.50350916473</v>
      </c>
    </row>
    <row r="11" spans="1:66" s="2" customFormat="1" x14ac:dyDescent="0.2">
      <c r="B11" s="2" t="s">
        <v>21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>
        <f t="shared" ref="W11:AD11" si="37">+W9-W10</f>
        <v>2040</v>
      </c>
      <c r="X11" s="5">
        <f t="shared" si="37"/>
        <v>2453</v>
      </c>
      <c r="Y11" s="5">
        <f t="shared" si="37"/>
        <v>2638</v>
      </c>
      <c r="Z11" s="5">
        <f t="shared" si="37"/>
        <v>3216</v>
      </c>
      <c r="AA11" s="5">
        <f t="shared" si="37"/>
        <v>2889</v>
      </c>
      <c r="AB11" s="5">
        <f t="shared" si="37"/>
        <v>3395</v>
      </c>
      <c r="AC11" s="5">
        <f t="shared" si="37"/>
        <v>3802</v>
      </c>
      <c r="AD11" s="5">
        <f t="shared" si="37"/>
        <v>5039</v>
      </c>
      <c r="AE11" s="5">
        <f>+AE9-AE10</f>
        <v>4544</v>
      </c>
      <c r="AF11" s="5">
        <f t="shared" ref="AF11" si="38">+AF9*0.86</f>
        <v>5139.3787814049592</v>
      </c>
      <c r="AG11" s="5">
        <f t="shared" ref="AG11:AL11" si="39">+AG9*0.86</f>
        <v>5556.3627539841118</v>
      </c>
      <c r="AH11" s="5">
        <f t="shared" si="39"/>
        <v>7051.5776042167499</v>
      </c>
      <c r="AI11" s="5">
        <f t="shared" si="39"/>
        <v>6261.3934140747597</v>
      </c>
      <c r="AJ11" s="5">
        <f t="shared" si="39"/>
        <v>6952.4756194905885</v>
      </c>
      <c r="AK11" s="5">
        <f t="shared" si="39"/>
        <v>7516.5653716536635</v>
      </c>
      <c r="AL11" s="5">
        <f t="shared" si="39"/>
        <v>9539.2699113063863</v>
      </c>
      <c r="AT11" s="2">
        <f t="shared" ref="AT11:AY11" si="40">+AT9-AT10</f>
        <v>1481</v>
      </c>
      <c r="AU11" s="2">
        <f t="shared" si="40"/>
        <v>2851</v>
      </c>
      <c r="AV11" s="2">
        <f t="shared" si="40"/>
        <v>3725</v>
      </c>
      <c r="AW11" s="2">
        <f t="shared" si="40"/>
        <v>5997</v>
      </c>
      <c r="AX11" s="2">
        <f t="shared" si="40"/>
        <v>10313</v>
      </c>
      <c r="AY11" s="2">
        <f t="shared" si="40"/>
        <v>15061</v>
      </c>
      <c r="AZ11" s="2">
        <f>AZ9-AZ10</f>
        <v>22291.319139605821</v>
      </c>
      <c r="BA11" s="2">
        <f>BA9*0.85</f>
        <v>30817.998229991816</v>
      </c>
      <c r="BB11" s="2">
        <f t="shared" ref="BB11:BC11" si="41">BB9*0.85</f>
        <v>40864.665652969154</v>
      </c>
      <c r="BC11" s="2">
        <f t="shared" si="41"/>
        <v>54186.546655837104</v>
      </c>
      <c r="BD11" s="2">
        <f t="shared" ref="BD11:BN11" si="42">BD9*0.85</f>
        <v>55812.143055512213</v>
      </c>
      <c r="BE11" s="2">
        <f t="shared" si="42"/>
        <v>57486.507347177583</v>
      </c>
      <c r="BF11" s="2">
        <f t="shared" si="42"/>
        <v>59211.10256759292</v>
      </c>
      <c r="BG11" s="2">
        <f t="shared" si="42"/>
        <v>60987.435644620702</v>
      </c>
      <c r="BH11" s="2">
        <f t="shared" si="42"/>
        <v>62817.058713959319</v>
      </c>
      <c r="BI11" s="2">
        <f t="shared" si="42"/>
        <v>64701.570475378103</v>
      </c>
      <c r="BJ11" s="2">
        <f t="shared" si="42"/>
        <v>66642.617589639442</v>
      </c>
      <c r="BK11" s="2">
        <f t="shared" si="42"/>
        <v>68641.896117328622</v>
      </c>
      <c r="BL11" s="2">
        <f t="shared" si="42"/>
        <v>70701.153000848484</v>
      </c>
      <c r="BM11" s="2">
        <f t="shared" si="42"/>
        <v>72822.187590873946</v>
      </c>
      <c r="BN11" s="2">
        <f t="shared" si="42"/>
        <v>75006.853218600168</v>
      </c>
    </row>
    <row r="12" spans="1:66" s="2" customFormat="1" x14ac:dyDescent="0.2">
      <c r="B12" s="2" t="s">
        <v>22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>
        <v>455</v>
      </c>
      <c r="X12" s="5">
        <f>492-219</f>
        <v>273</v>
      </c>
      <c r="Y12" s="5">
        <v>608</v>
      </c>
      <c r="Z12" s="5">
        <f>1111-685</f>
        <v>426</v>
      </c>
      <c r="AA12" s="5">
        <f>1062-566</f>
        <v>496</v>
      </c>
      <c r="AB12" s="5">
        <f>1170-603</f>
        <v>567</v>
      </c>
      <c r="AC12" s="5">
        <f>1271-598</f>
        <v>673</v>
      </c>
      <c r="AD12" s="5">
        <f>1314-583</f>
        <v>731</v>
      </c>
      <c r="AE12" s="5">
        <v>1343</v>
      </c>
      <c r="AF12" s="5">
        <f t="shared" ref="AF12:AF14" si="43">+AB12*1.35</f>
        <v>765.45</v>
      </c>
      <c r="AG12" s="5">
        <f t="shared" ref="AG12:AG14" si="44">+AC12*1.35</f>
        <v>908.55000000000007</v>
      </c>
      <c r="AH12" s="5">
        <f t="shared" ref="AH12:AH14" si="45">+AD12*1.35</f>
        <v>986.85</v>
      </c>
      <c r="AI12" s="5">
        <f t="shared" ref="AI12:AI14" si="46">+AE12*1.35</f>
        <v>1813.0500000000002</v>
      </c>
      <c r="AJ12" s="5">
        <f t="shared" ref="AJ12:AJ14" si="47">+AF12*1.35</f>
        <v>1033.3575000000001</v>
      </c>
      <c r="AK12" s="5">
        <f t="shared" ref="AK12:AK14" si="48">+AG12*1.35</f>
        <v>1226.5425000000002</v>
      </c>
      <c r="AL12" s="5">
        <f t="shared" ref="AL12:AL14" si="49">+AH12*1.35</f>
        <v>1332.2475000000002</v>
      </c>
      <c r="AT12" s="2">
        <v>144</v>
      </c>
      <c r="AU12" s="2">
        <v>388</v>
      </c>
      <c r="AV12" s="2">
        <v>1399</v>
      </c>
      <c r="AW12" s="2">
        <v>1415</v>
      </c>
      <c r="AX12" s="2">
        <v>2666</v>
      </c>
      <c r="AY12" s="2">
        <v>4816</v>
      </c>
      <c r="AZ12" s="2">
        <f>SUM(AE12:AH12)</f>
        <v>4003.85</v>
      </c>
      <c r="BA12" s="2">
        <f>+AZ12*1.25</f>
        <v>5004.8125</v>
      </c>
      <c r="BB12" s="2">
        <f t="shared" ref="BB12:BC12" si="50">+BA12*1.25</f>
        <v>6256.015625</v>
      </c>
      <c r="BC12" s="2">
        <f t="shared" si="50"/>
        <v>7820.01953125</v>
      </c>
      <c r="BD12" s="2">
        <f>BC12*0.95</f>
        <v>7429.0185546875</v>
      </c>
      <c r="BE12" s="2">
        <f t="shared" ref="BE12:BN12" si="51">BD12*0.95</f>
        <v>7057.567626953125</v>
      </c>
      <c r="BF12" s="2">
        <f t="shared" si="51"/>
        <v>6704.6892456054684</v>
      </c>
      <c r="BG12" s="2">
        <f t="shared" si="51"/>
        <v>6369.4547833251945</v>
      </c>
      <c r="BH12" s="2">
        <f t="shared" si="51"/>
        <v>6050.9820441589345</v>
      </c>
      <c r="BI12" s="2">
        <f t="shared" si="51"/>
        <v>5748.4329419509877</v>
      </c>
      <c r="BJ12" s="2">
        <f t="shared" si="51"/>
        <v>5461.0112948534379</v>
      </c>
      <c r="BK12" s="2">
        <f t="shared" si="51"/>
        <v>5187.9607301107653</v>
      </c>
      <c r="BL12" s="2">
        <f t="shared" si="51"/>
        <v>4928.5626936052267</v>
      </c>
      <c r="BM12" s="2">
        <f t="shared" si="51"/>
        <v>4682.1345589249649</v>
      </c>
      <c r="BN12" s="2">
        <f t="shared" si="51"/>
        <v>4448.0278309787163</v>
      </c>
    </row>
    <row r="13" spans="1:66" s="2" customFormat="1" x14ac:dyDescent="0.2">
      <c r="B13" s="2" t="s">
        <v>23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>
        <v>323</v>
      </c>
      <c r="X13" s="5">
        <f>358-50</f>
        <v>308</v>
      </c>
      <c r="Y13" s="5">
        <v>374</v>
      </c>
      <c r="Z13" s="5">
        <v>624</v>
      </c>
      <c r="AA13" s="5">
        <f>620-72</f>
        <v>548</v>
      </c>
      <c r="AB13" s="5">
        <f>626-82</f>
        <v>544</v>
      </c>
      <c r="AC13" s="5">
        <f>706-82</f>
        <v>624</v>
      </c>
      <c r="AD13" s="5">
        <f>772-84</f>
        <v>688</v>
      </c>
      <c r="AE13" s="5">
        <v>826</v>
      </c>
      <c r="AF13" s="5">
        <f t="shared" si="43"/>
        <v>734.40000000000009</v>
      </c>
      <c r="AG13" s="5">
        <f t="shared" si="44"/>
        <v>842.40000000000009</v>
      </c>
      <c r="AH13" s="5">
        <f t="shared" si="45"/>
        <v>928.80000000000007</v>
      </c>
      <c r="AI13" s="5">
        <f t="shared" si="46"/>
        <v>1115.1000000000001</v>
      </c>
      <c r="AJ13" s="5">
        <f t="shared" si="47"/>
        <v>991.44000000000017</v>
      </c>
      <c r="AK13" s="5">
        <f t="shared" si="48"/>
        <v>1137.2400000000002</v>
      </c>
      <c r="AL13" s="5">
        <f t="shared" si="49"/>
        <v>1253.8800000000001</v>
      </c>
      <c r="AT13" s="2">
        <v>167</v>
      </c>
      <c r="AU13" s="2">
        <v>393</v>
      </c>
      <c r="AV13" s="2">
        <v>896</v>
      </c>
      <c r="AW13" s="2">
        <v>997</v>
      </c>
      <c r="AX13" s="2">
        <v>1680</v>
      </c>
      <c r="AY13" s="2">
        <v>2725</v>
      </c>
      <c r="AZ13" s="2">
        <f>SUM(AE13:AH13)</f>
        <v>3331.6000000000004</v>
      </c>
      <c r="BA13" s="2">
        <f t="shared" ref="BA13:BB13" si="52">+AZ13*1.25</f>
        <v>4164.5</v>
      </c>
      <c r="BB13" s="2">
        <f t="shared" si="52"/>
        <v>5205.625</v>
      </c>
      <c r="BC13" s="2">
        <f>+BB13*1.25</f>
        <v>6507.03125</v>
      </c>
      <c r="BD13" s="2">
        <f>BC13*0.95</f>
        <v>6181.6796875</v>
      </c>
      <c r="BE13" s="2">
        <f t="shared" ref="BE13:BN13" si="53">BD13*0.95</f>
        <v>5872.595703125</v>
      </c>
      <c r="BF13" s="2">
        <f t="shared" si="53"/>
        <v>5578.9659179687496</v>
      </c>
      <c r="BG13" s="2">
        <f t="shared" si="53"/>
        <v>5300.0176220703115</v>
      </c>
      <c r="BH13" s="2">
        <f t="shared" si="53"/>
        <v>5035.0167409667956</v>
      </c>
      <c r="BI13" s="2">
        <f t="shared" si="53"/>
        <v>4783.2659039184555</v>
      </c>
      <c r="BJ13" s="2">
        <f t="shared" si="53"/>
        <v>4544.1026087225328</v>
      </c>
      <c r="BK13" s="2">
        <f t="shared" si="53"/>
        <v>4316.8974782864061</v>
      </c>
      <c r="BL13" s="2">
        <f t="shared" si="53"/>
        <v>4101.0526043720856</v>
      </c>
      <c r="BM13" s="2">
        <f t="shared" si="53"/>
        <v>3895.9999741534812</v>
      </c>
      <c r="BN13" s="2">
        <f t="shared" si="53"/>
        <v>3701.199975445807</v>
      </c>
    </row>
    <row r="14" spans="1:66" s="2" customFormat="1" x14ac:dyDescent="0.2">
      <c r="B14" s="2" t="s">
        <v>24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>
        <v>187</v>
      </c>
      <c r="X14" s="5">
        <f>197-29</f>
        <v>168</v>
      </c>
      <c r="Y14" s="5">
        <v>259</v>
      </c>
      <c r="Z14" s="5">
        <v>330</v>
      </c>
      <c r="AA14" s="5">
        <f>274-48</f>
        <v>226</v>
      </c>
      <c r="AB14" s="5">
        <f>305-57</f>
        <v>248</v>
      </c>
      <c r="AC14" s="5">
        <f>345-56</f>
        <v>289</v>
      </c>
      <c r="AD14" s="5">
        <f>371-57</f>
        <v>314</v>
      </c>
      <c r="AE14" s="5">
        <v>366</v>
      </c>
      <c r="AF14" s="5">
        <f t="shared" si="43"/>
        <v>334.8</v>
      </c>
      <c r="AG14" s="5">
        <f t="shared" si="44"/>
        <v>390.15000000000003</v>
      </c>
      <c r="AH14" s="5">
        <f t="shared" si="45"/>
        <v>423.90000000000003</v>
      </c>
      <c r="AI14" s="5">
        <f t="shared" si="46"/>
        <v>494.1</v>
      </c>
      <c r="AJ14" s="5">
        <f t="shared" si="47"/>
        <v>451.98</v>
      </c>
      <c r="AK14" s="5">
        <f t="shared" si="48"/>
        <v>526.7025000000001</v>
      </c>
      <c r="AL14" s="5">
        <f t="shared" si="49"/>
        <v>572.2650000000001</v>
      </c>
      <c r="AT14" s="2">
        <v>138</v>
      </c>
      <c r="AU14" s="2">
        <v>314</v>
      </c>
      <c r="AV14" s="2">
        <v>892</v>
      </c>
      <c r="AW14" s="2">
        <v>781</v>
      </c>
      <c r="AX14" s="2">
        <v>973</v>
      </c>
      <c r="AY14" s="2">
        <v>1295</v>
      </c>
      <c r="AZ14" s="2">
        <f>SUM(AE14:AH14)</f>
        <v>1514.8500000000001</v>
      </c>
      <c r="BA14" s="2">
        <f t="shared" ref="BA14:BC14" si="54">+AZ14*1.25</f>
        <v>1893.5625000000002</v>
      </c>
      <c r="BB14" s="2">
        <f t="shared" si="54"/>
        <v>2366.9531250000005</v>
      </c>
      <c r="BC14" s="2">
        <f t="shared" si="54"/>
        <v>2958.6914062500005</v>
      </c>
      <c r="BD14" s="2">
        <f>BC14*0.95</f>
        <v>2810.7568359375005</v>
      </c>
      <c r="BE14" s="2">
        <f t="shared" ref="BE14:BN14" si="55">BD14*0.95</f>
        <v>2670.2189941406255</v>
      </c>
      <c r="BF14" s="2">
        <f t="shared" si="55"/>
        <v>2536.7080444335938</v>
      </c>
      <c r="BG14" s="2">
        <f t="shared" si="55"/>
        <v>2409.8726422119139</v>
      </c>
      <c r="BH14" s="2">
        <f t="shared" si="55"/>
        <v>2289.3790101013183</v>
      </c>
      <c r="BI14" s="2">
        <f t="shared" si="55"/>
        <v>2174.9100595962523</v>
      </c>
      <c r="BJ14" s="2">
        <f t="shared" si="55"/>
        <v>2066.1645566164398</v>
      </c>
      <c r="BK14" s="2">
        <f t="shared" si="55"/>
        <v>1962.8563287856177</v>
      </c>
      <c r="BL14" s="2">
        <f t="shared" si="55"/>
        <v>1864.7135123463368</v>
      </c>
      <c r="BM14" s="2">
        <f t="shared" si="55"/>
        <v>1771.4778367290198</v>
      </c>
      <c r="BN14" s="2">
        <f t="shared" si="55"/>
        <v>1682.9039448925687</v>
      </c>
    </row>
    <row r="15" spans="1:66" s="2" customFormat="1" x14ac:dyDescent="0.2">
      <c r="B15" s="2" t="s">
        <v>25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>
        <f t="shared" ref="W15:AD15" si="56">SUM(W12:W14)</f>
        <v>965</v>
      </c>
      <c r="X15" s="5">
        <f t="shared" si="56"/>
        <v>749</v>
      </c>
      <c r="Y15" s="5">
        <f t="shared" si="56"/>
        <v>1241</v>
      </c>
      <c r="Z15" s="5">
        <f t="shared" si="56"/>
        <v>1380</v>
      </c>
      <c r="AA15" s="5">
        <f t="shared" si="56"/>
        <v>1270</v>
      </c>
      <c r="AB15" s="5">
        <f t="shared" si="56"/>
        <v>1359</v>
      </c>
      <c r="AC15" s="5">
        <f t="shared" si="56"/>
        <v>1586</v>
      </c>
      <c r="AD15" s="5">
        <f t="shared" si="56"/>
        <v>1733</v>
      </c>
      <c r="AE15" s="5">
        <f>SUM(AE12:AE14)</f>
        <v>2535</v>
      </c>
      <c r="AF15" s="5">
        <f t="shared" ref="AF15:AH15" si="57">SUM(AF12:AF14)</f>
        <v>1834.65</v>
      </c>
      <c r="AG15" s="5">
        <f t="shared" si="57"/>
        <v>2141.1000000000004</v>
      </c>
      <c r="AH15" s="5">
        <f t="shared" si="57"/>
        <v>2339.5500000000002</v>
      </c>
      <c r="AI15" s="5">
        <f t="shared" ref="AI15:AL15" si="58">SUM(AI12:AI14)</f>
        <v>3422.2500000000005</v>
      </c>
      <c r="AJ15" s="5">
        <f t="shared" si="58"/>
        <v>2476.7775000000001</v>
      </c>
      <c r="AK15" s="5">
        <f t="shared" si="58"/>
        <v>2890.4850000000006</v>
      </c>
      <c r="AL15" s="5">
        <f t="shared" si="58"/>
        <v>3158.3925000000008</v>
      </c>
      <c r="AT15" s="5">
        <f t="shared" ref="AT15" si="59">SUM(AT12:AT14)</f>
        <v>449</v>
      </c>
      <c r="AU15" s="5">
        <f t="shared" ref="AU15:AV15" si="60">SUM(AU12:AU14)</f>
        <v>1095</v>
      </c>
      <c r="AV15" s="5">
        <f t="shared" si="60"/>
        <v>3187</v>
      </c>
      <c r="AW15" s="5">
        <f t="shared" ref="AW15:AX15" si="61">SUM(AW12:AW14)</f>
        <v>3193</v>
      </c>
      <c r="AX15" s="5">
        <f t="shared" si="61"/>
        <v>5319</v>
      </c>
      <c r="AY15" s="5">
        <f t="shared" ref="AY15:AZ15" si="62">SUM(AY12:AY14)</f>
        <v>8836</v>
      </c>
      <c r="AZ15" s="5">
        <f t="shared" si="62"/>
        <v>8850.3000000000011</v>
      </c>
      <c r="BA15" s="5">
        <f t="shared" ref="BA15" si="63">SUM(BA12:BA14)</f>
        <v>11062.875</v>
      </c>
      <c r="BB15" s="5">
        <f t="shared" ref="BB15" si="64">SUM(BB12:BB14)</f>
        <v>13828.59375</v>
      </c>
      <c r="BC15" s="5">
        <f t="shared" ref="BC15" si="65">SUM(BC12:BC14)</f>
        <v>17285.7421875</v>
      </c>
      <c r="BD15" s="5">
        <f t="shared" ref="BD15" si="66">SUM(BD12:BD14)</f>
        <v>16421.455078125</v>
      </c>
      <c r="BE15" s="5">
        <f t="shared" ref="BE15" si="67">SUM(BE12:BE14)</f>
        <v>15600.38232421875</v>
      </c>
      <c r="BF15" s="5">
        <f t="shared" ref="BF15" si="68">SUM(BF12:BF14)</f>
        <v>14820.363208007811</v>
      </c>
      <c r="BG15" s="5">
        <f t="shared" ref="BG15" si="69">SUM(BG12:BG14)</f>
        <v>14079.345047607421</v>
      </c>
      <c r="BH15" s="5">
        <f t="shared" ref="BH15" si="70">SUM(BH12:BH14)</f>
        <v>13375.377795227048</v>
      </c>
      <c r="BI15" s="5">
        <f t="shared" ref="BI15" si="71">SUM(BI12:BI14)</f>
        <v>12706.608905465695</v>
      </c>
      <c r="BJ15" s="5">
        <f t="shared" ref="BJ15" si="72">SUM(BJ12:BJ14)</f>
        <v>12071.27846019241</v>
      </c>
      <c r="BK15" s="5">
        <f t="shared" ref="BK15" si="73">SUM(BK12:BK14)</f>
        <v>11467.714537182788</v>
      </c>
      <c r="BL15" s="5">
        <f t="shared" ref="BL15" si="74">SUM(BL12:BL14)</f>
        <v>10894.328810323648</v>
      </c>
      <c r="BM15" s="5">
        <f t="shared" ref="BM15" si="75">SUM(BM12:BM14)</f>
        <v>10349.612369807466</v>
      </c>
      <c r="BN15" s="5">
        <f t="shared" ref="BN15" si="76">SUM(BN12:BN14)</f>
        <v>9832.1317513170925</v>
      </c>
    </row>
    <row r="16" spans="1:66" s="2" customFormat="1" x14ac:dyDescent="0.2">
      <c r="B16" s="2" t="s">
        <v>26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>
        <f t="shared" ref="W16:AD16" si="77">W11-W15</f>
        <v>1075</v>
      </c>
      <c r="X16" s="5">
        <f t="shared" si="77"/>
        <v>1704</v>
      </c>
      <c r="Y16" s="5">
        <f t="shared" si="77"/>
        <v>1397</v>
      </c>
      <c r="Z16" s="5">
        <f t="shared" si="77"/>
        <v>1836</v>
      </c>
      <c r="AA16" s="5">
        <f t="shared" si="77"/>
        <v>1619</v>
      </c>
      <c r="AB16" s="5">
        <f t="shared" si="77"/>
        <v>2036</v>
      </c>
      <c r="AC16" s="5">
        <f t="shared" si="77"/>
        <v>2216</v>
      </c>
      <c r="AD16" s="5">
        <f t="shared" si="77"/>
        <v>3306</v>
      </c>
      <c r="AE16" s="5">
        <f>AE11-AE15</f>
        <v>2009</v>
      </c>
      <c r="AF16" s="5">
        <f t="shared" ref="AF16:AH16" si="78">AF11-AF15</f>
        <v>3304.7287814049591</v>
      </c>
      <c r="AG16" s="5">
        <f t="shared" si="78"/>
        <v>3415.2627539841114</v>
      </c>
      <c r="AH16" s="5">
        <f t="shared" si="78"/>
        <v>4712.0276042167498</v>
      </c>
      <c r="AI16" s="5">
        <f t="shared" ref="AI16:AL16" si="79">AI11-AI15</f>
        <v>2839.1434140747592</v>
      </c>
      <c r="AJ16" s="5">
        <f t="shared" si="79"/>
        <v>4475.6981194905884</v>
      </c>
      <c r="AK16" s="5">
        <f t="shared" si="79"/>
        <v>4626.080371653663</v>
      </c>
      <c r="AL16" s="5">
        <f t="shared" si="79"/>
        <v>6380.8774113063855</v>
      </c>
      <c r="AT16" s="5">
        <f t="shared" ref="AT16" si="80">AT11-AT15</f>
        <v>1032</v>
      </c>
      <c r="AU16" s="5">
        <f t="shared" ref="AU16:AV16" si="81">AU11-AU15</f>
        <v>1756</v>
      </c>
      <c r="AV16" s="5">
        <f t="shared" si="81"/>
        <v>538</v>
      </c>
      <c r="AW16" s="5">
        <f t="shared" ref="AW16:AX16" si="82">AW11-AW15</f>
        <v>2804</v>
      </c>
      <c r="AX16" s="5">
        <f t="shared" si="82"/>
        <v>4994</v>
      </c>
      <c r="AY16" s="5">
        <f t="shared" ref="AY16:AZ16" si="83">AY11-AY15</f>
        <v>6225</v>
      </c>
      <c r="AZ16" s="5">
        <f t="shared" si="83"/>
        <v>13441.01913960582</v>
      </c>
      <c r="BA16" s="5">
        <f t="shared" ref="BA16" si="84">BA11-BA15</f>
        <v>19755.123229991816</v>
      </c>
      <c r="BB16" s="5">
        <f t="shared" ref="BB16" si="85">BB11-BB15</f>
        <v>27036.071902969154</v>
      </c>
      <c r="BC16" s="5">
        <f t="shared" ref="BC16" si="86">BC11-BC15</f>
        <v>36900.804468337104</v>
      </c>
      <c r="BD16" s="5">
        <f t="shared" ref="BD16" si="87">BD11-BD15</f>
        <v>39390.687977387213</v>
      </c>
      <c r="BE16" s="5">
        <f t="shared" ref="BE16" si="88">BE11-BE15</f>
        <v>41886.125022958833</v>
      </c>
      <c r="BF16" s="5">
        <f t="shared" ref="BF16" si="89">BF11-BF15</f>
        <v>44390.73935958511</v>
      </c>
      <c r="BG16" s="5">
        <f t="shared" ref="BG16" si="90">BG11-BG15</f>
        <v>46908.090597013281</v>
      </c>
      <c r="BH16" s="5">
        <f t="shared" ref="BH16" si="91">BH11-BH15</f>
        <v>49441.680918732272</v>
      </c>
      <c r="BI16" s="5">
        <f t="shared" ref="BI16" si="92">BI11-BI15</f>
        <v>51994.961569912412</v>
      </c>
      <c r="BJ16" s="5">
        <f t="shared" ref="BJ16" si="93">BJ11-BJ15</f>
        <v>54571.339129447035</v>
      </c>
      <c r="BK16" s="5">
        <f t="shared" ref="BK16" si="94">BK11-BK15</f>
        <v>57174.181580145836</v>
      </c>
      <c r="BL16" s="5">
        <f t="shared" ref="BL16" si="95">BL11-BL15</f>
        <v>59806.824190524836</v>
      </c>
      <c r="BM16" s="5">
        <f t="shared" ref="BM16" si="96">BM11-BM15</f>
        <v>62472.57522106648</v>
      </c>
      <c r="BN16" s="5">
        <f t="shared" ref="BN16" si="97">BN11-BN15</f>
        <v>65174.721467283074</v>
      </c>
    </row>
    <row r="17" spans="2:130" s="2" customFormat="1" x14ac:dyDescent="0.2">
      <c r="B17" s="2" t="s">
        <v>27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>
        <v>0</v>
      </c>
      <c r="X17" s="5">
        <v>-4</v>
      </c>
      <c r="Y17" s="5">
        <v>-61</v>
      </c>
      <c r="Z17" s="5">
        <v>-19</v>
      </c>
      <c r="AA17" s="5">
        <v>-1</v>
      </c>
      <c r="AB17" s="5">
        <v>0</v>
      </c>
      <c r="AC17" s="5">
        <v>-27</v>
      </c>
      <c r="AD17" s="5">
        <v>-3</v>
      </c>
      <c r="AE17" s="5">
        <v>56</v>
      </c>
      <c r="AF17" s="5">
        <v>0</v>
      </c>
      <c r="AG17" s="5">
        <v>0</v>
      </c>
      <c r="AH17" s="5">
        <v>0</v>
      </c>
      <c r="AI17" s="5">
        <v>0</v>
      </c>
      <c r="AJ17" s="5">
        <v>0</v>
      </c>
      <c r="AK17" s="5">
        <v>0</v>
      </c>
      <c r="AL17" s="5">
        <v>0</v>
      </c>
      <c r="AT17" s="2">
        <v>-24</v>
      </c>
      <c r="AU17" s="2">
        <f>-42-19</f>
        <v>-61</v>
      </c>
      <c r="AV17" s="2">
        <v>-44</v>
      </c>
      <c r="AW17" s="2">
        <v>-50</v>
      </c>
      <c r="AX17" s="2">
        <v>-84</v>
      </c>
      <c r="AY17" s="2">
        <v>-31</v>
      </c>
      <c r="AZ17" s="2">
        <f>SUM(AE17:AH17)</f>
        <v>56</v>
      </c>
      <c r="BA17" s="2">
        <f>SUM(AF17:AM17)</f>
        <v>0</v>
      </c>
      <c r="BB17" s="2">
        <f>SUM(AG17:AQ17)</f>
        <v>0</v>
      </c>
      <c r="BC17" s="2">
        <f>+BB37*$BQ$25</f>
        <v>1285.7682140885017</v>
      </c>
      <c r="BD17" s="2">
        <f t="shared" ref="BD17:BN17" si="98">+BC37*$BQ$25</f>
        <v>1858.5668043248857</v>
      </c>
      <c r="BE17" s="2">
        <f t="shared" si="98"/>
        <v>2477.3056260505673</v>
      </c>
      <c r="BF17" s="2">
        <f t="shared" si="98"/>
        <v>3142.7570857857081</v>
      </c>
      <c r="BG17" s="2">
        <f t="shared" si="98"/>
        <v>3855.7595324662702</v>
      </c>
      <c r="BH17" s="2">
        <f t="shared" si="98"/>
        <v>4617.2172844084635</v>
      </c>
      <c r="BI17" s="2">
        <f t="shared" si="98"/>
        <v>5428.1007574555742</v>
      </c>
      <c r="BJ17" s="2">
        <f t="shared" si="98"/>
        <v>6289.4466923660948</v>
      </c>
      <c r="BK17" s="2">
        <f t="shared" si="98"/>
        <v>7202.3584796932919</v>
      </c>
      <c r="BL17" s="2">
        <f t="shared" si="98"/>
        <v>8168.0065805908798</v>
      </c>
      <c r="BM17" s="2">
        <f t="shared" si="98"/>
        <v>9187.6290421576141</v>
      </c>
      <c r="BN17" s="2">
        <f t="shared" si="98"/>
        <v>10262.532106105977</v>
      </c>
    </row>
    <row r="18" spans="2:130" s="2" customFormat="1" x14ac:dyDescent="0.2">
      <c r="B18" s="2" t="s">
        <v>28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>
        <f t="shared" ref="W18:AD18" si="99">W16+W17</f>
        <v>1075</v>
      </c>
      <c r="X18" s="5">
        <f t="shared" si="99"/>
        <v>1700</v>
      </c>
      <c r="Y18" s="5">
        <f t="shared" si="99"/>
        <v>1336</v>
      </c>
      <c r="Z18" s="5">
        <f t="shared" si="99"/>
        <v>1817</v>
      </c>
      <c r="AA18" s="5">
        <f t="shared" si="99"/>
        <v>1618</v>
      </c>
      <c r="AB18" s="5">
        <f t="shared" si="99"/>
        <v>2036</v>
      </c>
      <c r="AC18" s="5">
        <f t="shared" si="99"/>
        <v>2189</v>
      </c>
      <c r="AD18" s="5">
        <f t="shared" si="99"/>
        <v>3303</v>
      </c>
      <c r="AE18" s="5">
        <f t="shared" ref="AE18:AH18" si="100">AE16+AE17</f>
        <v>2065</v>
      </c>
      <c r="AF18" s="5">
        <f t="shared" si="100"/>
        <v>3304.7287814049591</v>
      </c>
      <c r="AG18" s="5">
        <f t="shared" si="100"/>
        <v>3415.2627539841114</v>
      </c>
      <c r="AH18" s="5">
        <f t="shared" si="100"/>
        <v>4712.0276042167498</v>
      </c>
      <c r="AI18" s="5">
        <f t="shared" ref="AI18:AL18" si="101">AI16+AI17</f>
        <v>2839.1434140747592</v>
      </c>
      <c r="AJ18" s="5">
        <f t="shared" si="101"/>
        <v>4475.6981194905884</v>
      </c>
      <c r="AK18" s="5">
        <f t="shared" si="101"/>
        <v>4626.080371653663</v>
      </c>
      <c r="AL18" s="5">
        <f t="shared" si="101"/>
        <v>6380.8774113063855</v>
      </c>
      <c r="AT18" s="5">
        <f t="shared" ref="AT18" si="102">AT16+AT17</f>
        <v>1008</v>
      </c>
      <c r="AU18" s="5">
        <f t="shared" ref="AU18:AV18" si="103">AU16+AU17</f>
        <v>1695</v>
      </c>
      <c r="AV18" s="5">
        <f t="shared" si="103"/>
        <v>494</v>
      </c>
      <c r="AW18" s="5">
        <f t="shared" ref="AW18:AX18" si="104">AW16+AW17</f>
        <v>2754</v>
      </c>
      <c r="AX18" s="5">
        <f t="shared" si="104"/>
        <v>4910</v>
      </c>
      <c r="AY18" s="5">
        <f t="shared" ref="AY18:AZ18" si="105">AY16+AY17</f>
        <v>6194</v>
      </c>
      <c r="AZ18" s="5">
        <f t="shared" si="105"/>
        <v>13497.01913960582</v>
      </c>
      <c r="BA18" s="5">
        <f t="shared" ref="BA18" si="106">BA16+BA17</f>
        <v>19755.123229991816</v>
      </c>
      <c r="BB18" s="5">
        <f t="shared" ref="BB18" si="107">BB16+BB17</f>
        <v>27036.071902969154</v>
      </c>
      <c r="BC18" s="5">
        <f t="shared" ref="BC18" si="108">BC16+BC17</f>
        <v>38186.572682425605</v>
      </c>
      <c r="BD18" s="5">
        <f t="shared" ref="BD18" si="109">BD16+BD17</f>
        <v>41249.254781712101</v>
      </c>
      <c r="BE18" s="5">
        <f t="shared" ref="BE18" si="110">BE16+BE17</f>
        <v>44363.430649009402</v>
      </c>
      <c r="BF18" s="5">
        <f t="shared" ref="BF18" si="111">BF16+BF17</f>
        <v>47533.496445370816</v>
      </c>
      <c r="BG18" s="5">
        <f t="shared" ref="BG18" si="112">BG16+BG17</f>
        <v>50763.85012947955</v>
      </c>
      <c r="BH18" s="5">
        <f t="shared" ref="BH18" si="113">BH16+BH17</f>
        <v>54058.898203140736</v>
      </c>
      <c r="BI18" s="5">
        <f t="shared" ref="BI18" si="114">BI16+BI17</f>
        <v>57423.062327367988</v>
      </c>
      <c r="BJ18" s="5">
        <f t="shared" ref="BJ18" si="115">BJ16+BJ17</f>
        <v>60860.78582181313</v>
      </c>
      <c r="BK18" s="5">
        <f t="shared" ref="BK18" si="116">BK16+BK17</f>
        <v>64376.540059839128</v>
      </c>
      <c r="BL18" s="5">
        <f t="shared" ref="BL18" si="117">BL16+BL17</f>
        <v>67974.83077111571</v>
      </c>
      <c r="BM18" s="5">
        <f t="shared" ref="BM18" si="118">BM16+BM17</f>
        <v>71660.204263224092</v>
      </c>
      <c r="BN18" s="5">
        <f t="shared" ref="BN18" si="119">BN16+BN17</f>
        <v>75437.253573389055</v>
      </c>
    </row>
    <row r="19" spans="2:130" s="2" customFormat="1" x14ac:dyDescent="0.2">
      <c r="B19" s="2" t="s">
        <v>32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>
        <v>433</v>
      </c>
      <c r="X19" s="5">
        <v>595</v>
      </c>
      <c r="Y19" s="5">
        <v>530</v>
      </c>
      <c r="Z19" s="5">
        <v>413</v>
      </c>
      <c r="AA19" s="5">
        <v>420</v>
      </c>
      <c r="AB19" s="5">
        <v>554</v>
      </c>
      <c r="AC19" s="5">
        <v>536</v>
      </c>
      <c r="AD19" s="5">
        <v>995</v>
      </c>
      <c r="AE19" s="5">
        <v>555</v>
      </c>
      <c r="AF19" s="5">
        <f t="shared" ref="AF19:AH19" si="120">+AF18*0.25</f>
        <v>826.18219535123978</v>
      </c>
      <c r="AG19" s="5">
        <f t="shared" si="120"/>
        <v>853.81568849602786</v>
      </c>
      <c r="AH19" s="5">
        <f t="shared" si="120"/>
        <v>1178.0069010541874</v>
      </c>
      <c r="AI19" s="5">
        <f t="shared" ref="AI19:AL19" si="121">+AI18*0.25</f>
        <v>709.78585351868981</v>
      </c>
      <c r="AJ19" s="5">
        <f t="shared" si="121"/>
        <v>1118.9245298726471</v>
      </c>
      <c r="AK19" s="5">
        <f t="shared" si="121"/>
        <v>1156.5200929134157</v>
      </c>
      <c r="AL19" s="5">
        <f t="shared" si="121"/>
        <v>1595.2193528265964</v>
      </c>
      <c r="AT19" s="2">
        <f>402+234</f>
        <v>636</v>
      </c>
      <c r="AU19" s="2">
        <f>695+332</f>
        <v>1027</v>
      </c>
      <c r="AV19" s="2">
        <f>441+21</f>
        <v>462</v>
      </c>
      <c r="AW19" s="2">
        <f>1254+9</f>
        <v>1263</v>
      </c>
      <c r="AX19" s="2">
        <f>1970+15</f>
        <v>1985</v>
      </c>
      <c r="AY19" s="2">
        <f>2506+19</f>
        <v>2525</v>
      </c>
      <c r="AZ19" s="5">
        <f>AZ18*0.25</f>
        <v>3374.254784901455</v>
      </c>
      <c r="BA19" s="5">
        <f t="shared" ref="BA19:BC19" si="122">BA18*0.25</f>
        <v>4938.7808074979539</v>
      </c>
      <c r="BB19" s="5">
        <f t="shared" si="122"/>
        <v>6759.0179757422884</v>
      </c>
      <c r="BC19" s="5">
        <f t="shared" si="122"/>
        <v>9546.6431706064013</v>
      </c>
      <c r="BD19" s="5">
        <f t="shared" ref="BD19" si="123">BD18*0.25</f>
        <v>10312.313695428025</v>
      </c>
      <c r="BE19" s="5">
        <f t="shared" ref="BE19" si="124">BE18*0.25</f>
        <v>11090.857662252351</v>
      </c>
      <c r="BF19" s="5">
        <f t="shared" ref="BF19" si="125">BF18*0.25</f>
        <v>11883.374111342704</v>
      </c>
      <c r="BG19" s="5">
        <f t="shared" ref="BG19" si="126">BG18*0.25</f>
        <v>12690.962532369887</v>
      </c>
      <c r="BH19" s="5">
        <f t="shared" ref="BH19" si="127">BH18*0.25</f>
        <v>13514.724550785184</v>
      </c>
      <c r="BI19" s="5">
        <f t="shared" ref="BI19" si="128">BI18*0.25</f>
        <v>14355.765581841997</v>
      </c>
      <c r="BJ19" s="5">
        <f t="shared" ref="BJ19" si="129">BJ18*0.25</f>
        <v>15215.196455453282</v>
      </c>
      <c r="BK19" s="5">
        <f t="shared" ref="BK19" si="130">BK18*0.25</f>
        <v>16094.135014959782</v>
      </c>
      <c r="BL19" s="5">
        <f t="shared" ref="BL19" si="131">BL18*0.25</f>
        <v>16993.707692778928</v>
      </c>
      <c r="BM19" s="5">
        <f t="shared" ref="BM19" si="132">BM18*0.25</f>
        <v>17915.051065806023</v>
      </c>
      <c r="BN19" s="5">
        <f t="shared" ref="BN19" si="133">BN18*0.25</f>
        <v>18859.313393347264</v>
      </c>
    </row>
    <row r="20" spans="2:130" s="6" customFormat="1" x14ac:dyDescent="0.2">
      <c r="B20" s="6" t="s">
        <v>31</v>
      </c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>
        <f t="shared" ref="W20:AD20" si="134">+W18-W19</f>
        <v>642</v>
      </c>
      <c r="X20" s="7">
        <f t="shared" si="134"/>
        <v>1105</v>
      </c>
      <c r="Y20" s="7">
        <f t="shared" si="134"/>
        <v>806</v>
      </c>
      <c r="Z20" s="7">
        <f t="shared" si="134"/>
        <v>1404</v>
      </c>
      <c r="AA20" s="7">
        <f t="shared" si="134"/>
        <v>1198</v>
      </c>
      <c r="AB20" s="7">
        <f t="shared" si="134"/>
        <v>1482</v>
      </c>
      <c r="AC20" s="7">
        <f t="shared" si="134"/>
        <v>1653</v>
      </c>
      <c r="AD20" s="7">
        <f t="shared" si="134"/>
        <v>2308</v>
      </c>
      <c r="AE20" s="7">
        <f>+AE18-AE19</f>
        <v>1510</v>
      </c>
      <c r="AF20" s="7">
        <f t="shared" ref="AF20:AG20" si="135">+AF18-AF19</f>
        <v>2478.5465860537192</v>
      </c>
      <c r="AG20" s="7">
        <f t="shared" si="135"/>
        <v>2561.4470654880834</v>
      </c>
      <c r="AH20" s="7">
        <f t="shared" ref="AH20:AL20" si="136">+AH18-AH19</f>
        <v>3534.0207031625623</v>
      </c>
      <c r="AI20" s="7">
        <f t="shared" si="136"/>
        <v>2129.3575605560695</v>
      </c>
      <c r="AJ20" s="7">
        <f t="shared" si="136"/>
        <v>3356.7735896179411</v>
      </c>
      <c r="AK20" s="7">
        <f t="shared" si="136"/>
        <v>3469.5602787402472</v>
      </c>
      <c r="AL20" s="7">
        <f t="shared" si="136"/>
        <v>4785.6580584797894</v>
      </c>
      <c r="AM20" s="7"/>
      <c r="AN20" s="7"/>
      <c r="AO20" s="7"/>
      <c r="AP20" s="7"/>
      <c r="AT20" s="6">
        <f t="shared" ref="AT20:AY20" si="137">+AT18-AT19</f>
        <v>372</v>
      </c>
      <c r="AU20" s="6">
        <f t="shared" si="137"/>
        <v>668</v>
      </c>
      <c r="AV20" s="6">
        <f t="shared" si="137"/>
        <v>32</v>
      </c>
      <c r="AW20" s="6">
        <f t="shared" si="137"/>
        <v>1491</v>
      </c>
      <c r="AX20" s="6">
        <f t="shared" si="137"/>
        <v>2925</v>
      </c>
      <c r="AY20" s="6">
        <f t="shared" si="137"/>
        <v>3669</v>
      </c>
      <c r="AZ20" s="7">
        <f t="shared" ref="AZ20" si="138">+AZ18-AZ19</f>
        <v>10122.764354704364</v>
      </c>
      <c r="BA20" s="7">
        <f t="shared" ref="BA20" si="139">+BA18-BA19</f>
        <v>14816.342422493861</v>
      </c>
      <c r="BB20" s="7">
        <f t="shared" ref="BB20" si="140">+BB18-BB19</f>
        <v>20277.053927226865</v>
      </c>
      <c r="BC20" s="7">
        <f>+BC18-BC19</f>
        <v>28639.929511819202</v>
      </c>
      <c r="BD20" s="7">
        <f t="shared" ref="BD20:BN20" si="141">+BD18-BD19</f>
        <v>30936.941086284074</v>
      </c>
      <c r="BE20" s="7">
        <f t="shared" si="141"/>
        <v>33272.572986757048</v>
      </c>
      <c r="BF20" s="7">
        <f t="shared" si="141"/>
        <v>35650.122334028114</v>
      </c>
      <c r="BG20" s="7">
        <f t="shared" si="141"/>
        <v>38072.887597109664</v>
      </c>
      <c r="BH20" s="7">
        <f t="shared" si="141"/>
        <v>40544.173652355552</v>
      </c>
      <c r="BI20" s="7">
        <f t="shared" si="141"/>
        <v>43067.296745525993</v>
      </c>
      <c r="BJ20" s="7">
        <f t="shared" si="141"/>
        <v>45645.589366359847</v>
      </c>
      <c r="BK20" s="7">
        <f t="shared" si="141"/>
        <v>48282.405044879342</v>
      </c>
      <c r="BL20" s="7">
        <f t="shared" si="141"/>
        <v>50981.123078336779</v>
      </c>
      <c r="BM20" s="7">
        <f t="shared" si="141"/>
        <v>53745.153197418069</v>
      </c>
      <c r="BN20" s="7">
        <f t="shared" si="141"/>
        <v>56577.940180041791</v>
      </c>
      <c r="BO20" s="6">
        <f>+BN20*(1+$BQ$23)</f>
        <v>56012.16077824137</v>
      </c>
      <c r="BP20" s="6">
        <f t="shared" ref="BP20:DZ20" si="142">+BO20*(1+$BQ$23)</f>
        <v>55452.039170458957</v>
      </c>
      <c r="BQ20" s="6">
        <f t="shared" si="142"/>
        <v>54897.518778754369</v>
      </c>
      <c r="BR20" s="6">
        <f t="shared" si="142"/>
        <v>54348.543590966823</v>
      </c>
      <c r="BS20" s="6">
        <f t="shared" si="142"/>
        <v>53805.058155057151</v>
      </c>
      <c r="BT20" s="6">
        <f t="shared" si="142"/>
        <v>53267.007573506577</v>
      </c>
      <c r="BU20" s="6">
        <f t="shared" si="142"/>
        <v>52734.337497771514</v>
      </c>
      <c r="BV20" s="6">
        <f t="shared" si="142"/>
        <v>52206.994122793796</v>
      </c>
      <c r="BW20" s="6">
        <f t="shared" si="142"/>
        <v>51684.924181565861</v>
      </c>
      <c r="BX20" s="6">
        <f t="shared" si="142"/>
        <v>51168.0749397502</v>
      </c>
      <c r="BY20" s="6">
        <f t="shared" si="142"/>
        <v>50656.394190352701</v>
      </c>
      <c r="BZ20" s="6">
        <f t="shared" si="142"/>
        <v>50149.830248449172</v>
      </c>
      <c r="CA20" s="6">
        <f t="shared" si="142"/>
        <v>49648.331945964681</v>
      </c>
      <c r="CB20" s="6">
        <f t="shared" si="142"/>
        <v>49151.848626505031</v>
      </c>
      <c r="CC20" s="6">
        <f t="shared" si="142"/>
        <v>48660.330140239981</v>
      </c>
      <c r="CD20" s="6">
        <f t="shared" si="142"/>
        <v>48173.726838837581</v>
      </c>
      <c r="CE20" s="6">
        <f t="shared" si="142"/>
        <v>47691.989570449208</v>
      </c>
      <c r="CF20" s="6">
        <f t="shared" si="142"/>
        <v>47215.069674744715</v>
      </c>
      <c r="CG20" s="6">
        <f t="shared" si="142"/>
        <v>46742.918977997266</v>
      </c>
      <c r="CH20" s="6">
        <f t="shared" si="142"/>
        <v>46275.489788217295</v>
      </c>
      <c r="CI20" s="6">
        <f t="shared" si="142"/>
        <v>45812.734890335123</v>
      </c>
      <c r="CJ20" s="6">
        <f t="shared" si="142"/>
        <v>45354.607541431775</v>
      </c>
      <c r="CK20" s="6">
        <f t="shared" si="142"/>
        <v>44901.061466017454</v>
      </c>
      <c r="CL20" s="6">
        <f t="shared" si="142"/>
        <v>44452.050851357279</v>
      </c>
      <c r="CM20" s="6">
        <f t="shared" si="142"/>
        <v>44007.530342843704</v>
      </c>
      <c r="CN20" s="6">
        <f t="shared" si="142"/>
        <v>43567.455039415268</v>
      </c>
      <c r="CO20" s="6">
        <f t="shared" si="142"/>
        <v>43131.780489021112</v>
      </c>
      <c r="CP20" s="6">
        <f t="shared" si="142"/>
        <v>42700.4626841309</v>
      </c>
      <c r="CQ20" s="6">
        <f t="shared" si="142"/>
        <v>42273.458057289594</v>
      </c>
      <c r="CR20" s="6">
        <f t="shared" si="142"/>
        <v>41850.723476716696</v>
      </c>
      <c r="CS20" s="6">
        <f t="shared" si="142"/>
        <v>41432.216241949529</v>
      </c>
      <c r="CT20" s="6">
        <f t="shared" si="142"/>
        <v>41017.894079530037</v>
      </c>
      <c r="CU20" s="6">
        <f t="shared" si="142"/>
        <v>40607.715138734733</v>
      </c>
      <c r="CV20" s="6">
        <f t="shared" si="142"/>
        <v>40201.637987347385</v>
      </c>
      <c r="CW20" s="6">
        <f t="shared" si="142"/>
        <v>39799.621607473913</v>
      </c>
      <c r="CX20" s="6">
        <f t="shared" si="142"/>
        <v>39401.625391399175</v>
      </c>
      <c r="CY20" s="6">
        <f t="shared" si="142"/>
        <v>39007.609137485182</v>
      </c>
      <c r="CZ20" s="6">
        <f t="shared" si="142"/>
        <v>38617.533046110329</v>
      </c>
      <c r="DA20" s="6">
        <f t="shared" si="142"/>
        <v>38231.357715649225</v>
      </c>
      <c r="DB20" s="6">
        <f t="shared" si="142"/>
        <v>37849.044138492733</v>
      </c>
      <c r="DC20" s="6">
        <f t="shared" si="142"/>
        <v>37470.553697107804</v>
      </c>
      <c r="DD20" s="6">
        <f t="shared" si="142"/>
        <v>37095.848160136724</v>
      </c>
      <c r="DE20" s="6">
        <f t="shared" si="142"/>
        <v>36724.889678535357</v>
      </c>
      <c r="DF20" s="6">
        <f t="shared" si="142"/>
        <v>36357.64078175</v>
      </c>
      <c r="DG20" s="6">
        <f t="shared" si="142"/>
        <v>35994.064373932502</v>
      </c>
      <c r="DH20" s="6">
        <f t="shared" si="142"/>
        <v>35634.123730193176</v>
      </c>
      <c r="DI20" s="6">
        <f t="shared" si="142"/>
        <v>35277.782492891245</v>
      </c>
      <c r="DJ20" s="6">
        <f t="shared" si="142"/>
        <v>34925.004667962334</v>
      </c>
      <c r="DK20" s="6">
        <f t="shared" si="142"/>
        <v>34575.754621282707</v>
      </c>
      <c r="DL20" s="6">
        <f t="shared" si="142"/>
        <v>34229.997075069878</v>
      </c>
      <c r="DM20" s="6">
        <f t="shared" si="142"/>
        <v>33887.697104319181</v>
      </c>
      <c r="DN20" s="6">
        <f t="shared" si="142"/>
        <v>33548.820133275985</v>
      </c>
      <c r="DO20" s="6">
        <f t="shared" si="142"/>
        <v>33213.331931943227</v>
      </c>
      <c r="DP20" s="6">
        <f t="shared" si="142"/>
        <v>32881.198612623797</v>
      </c>
      <c r="DQ20" s="6">
        <f t="shared" si="142"/>
        <v>32552.386626497559</v>
      </c>
      <c r="DR20" s="6">
        <f t="shared" si="142"/>
        <v>32226.862760232583</v>
      </c>
      <c r="DS20" s="6">
        <f t="shared" si="142"/>
        <v>31904.594132630256</v>
      </c>
      <c r="DT20" s="6">
        <f t="shared" si="142"/>
        <v>31585.548191303955</v>
      </c>
      <c r="DU20" s="6">
        <f t="shared" si="142"/>
        <v>31269.692709390914</v>
      </c>
      <c r="DV20" s="6">
        <f t="shared" si="142"/>
        <v>30956.995782297006</v>
      </c>
      <c r="DW20" s="6">
        <f t="shared" si="142"/>
        <v>30647.425824474038</v>
      </c>
      <c r="DX20" s="6">
        <f t="shared" si="142"/>
        <v>30340.951566229298</v>
      </c>
      <c r="DY20" s="6">
        <f t="shared" si="142"/>
        <v>30037.542050567004</v>
      </c>
      <c r="DZ20" s="6">
        <f t="shared" si="142"/>
        <v>29737.166630061332</v>
      </c>
    </row>
    <row r="21" spans="2:130" s="2" customFormat="1" x14ac:dyDescent="0.2">
      <c r="B21" s="2" t="s">
        <v>1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19">
        <f>AE20/AE22</f>
        <v>0.52285318559556782</v>
      </c>
      <c r="AF21" s="5"/>
      <c r="AG21" s="5"/>
      <c r="AH21" s="5"/>
      <c r="AI21" s="5"/>
      <c r="AJ21" s="5"/>
      <c r="AK21" s="5"/>
      <c r="AL21" s="5"/>
      <c r="AT21" s="1">
        <f t="shared" ref="AT21:AY21" si="143">AT20/AT22</f>
        <v>0.26308345120226306</v>
      </c>
      <c r="AU21" s="1">
        <f t="shared" si="143"/>
        <v>0.44297082228116713</v>
      </c>
      <c r="AV21" s="1">
        <f t="shared" si="143"/>
        <v>1.4773776546629732E-2</v>
      </c>
      <c r="AW21" s="1">
        <f t="shared" si="143"/>
        <v>0.59237187127532775</v>
      </c>
      <c r="AX21" s="1">
        <f t="shared" si="143"/>
        <v>1.097972972972973</v>
      </c>
      <c r="AY21" s="1">
        <f t="shared" si="143"/>
        <v>1.2860147213459516</v>
      </c>
    </row>
    <row r="22" spans="2:130" s="2" customFormat="1" x14ac:dyDescent="0.2">
      <c r="B22" s="2" t="s">
        <v>67</v>
      </c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>
        <v>2888</v>
      </c>
      <c r="AF22" s="5"/>
      <c r="AG22" s="5"/>
      <c r="AH22" s="5"/>
      <c r="AI22" s="5"/>
      <c r="AJ22" s="5"/>
      <c r="AK22" s="5"/>
      <c r="AL22" s="5"/>
      <c r="AT22" s="2">
        <v>1414</v>
      </c>
      <c r="AU22" s="2">
        <v>1508</v>
      </c>
      <c r="AV22" s="2">
        <v>2166</v>
      </c>
      <c r="AW22" s="2">
        <v>2517</v>
      </c>
      <c r="AX22" s="2">
        <v>2664</v>
      </c>
      <c r="AY22" s="2">
        <v>2853</v>
      </c>
    </row>
    <row r="23" spans="2:130" s="2" customFormat="1" x14ac:dyDescent="0.2"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BP23" s="2" t="s">
        <v>35</v>
      </c>
      <c r="BQ23" s="15">
        <v>-0.01</v>
      </c>
    </row>
    <row r="24" spans="2:130" s="2" customFormat="1" x14ac:dyDescent="0.2">
      <c r="B24" s="2" t="s">
        <v>30</v>
      </c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>
        <f t="shared" ref="W24:AD24" si="144">W11/W9</f>
        <v>0.815347721822542</v>
      </c>
      <c r="X24" s="4">
        <f t="shared" si="144"/>
        <v>0.8429553264604811</v>
      </c>
      <c r="Y24" s="4">
        <f t="shared" si="144"/>
        <v>0.82360287230721196</v>
      </c>
      <c r="Z24" s="4">
        <f t="shared" si="144"/>
        <v>0.83510776421708643</v>
      </c>
      <c r="AA24" s="4">
        <f t="shared" si="144"/>
        <v>0.81541066892464009</v>
      </c>
      <c r="AB24" s="4">
        <f t="shared" si="144"/>
        <v>0.8399307273626917</v>
      </c>
      <c r="AC24" s="4">
        <f t="shared" si="144"/>
        <v>0.84470117751610752</v>
      </c>
      <c r="AD24" s="4">
        <f t="shared" si="144"/>
        <v>0.86269474405067625</v>
      </c>
      <c r="AE24" s="4">
        <f t="shared" ref="AE24:AH24" si="145">AE11/AE9</f>
        <v>0.84429580081753997</v>
      </c>
      <c r="AF24" s="4">
        <f t="shared" si="145"/>
        <v>0.86</v>
      </c>
      <c r="AG24" s="4">
        <f t="shared" si="145"/>
        <v>0.86</v>
      </c>
      <c r="AH24" s="4">
        <f t="shared" si="145"/>
        <v>0.86</v>
      </c>
      <c r="AI24" s="4">
        <f t="shared" ref="AI24:AL24" si="146">AI11/AI9</f>
        <v>0.85999999999999988</v>
      </c>
      <c r="AJ24" s="4">
        <f t="shared" si="146"/>
        <v>0.86</v>
      </c>
      <c r="AK24" s="4">
        <f t="shared" si="146"/>
        <v>0.86</v>
      </c>
      <c r="AL24" s="4">
        <f t="shared" si="146"/>
        <v>0.86</v>
      </c>
      <c r="AT24" s="4">
        <f t="shared" ref="AT24:AU24" si="147">AT11/AT9</f>
        <v>0.75025329280648434</v>
      </c>
      <c r="AU24" s="4">
        <f t="shared" si="147"/>
        <v>0.76825653462678523</v>
      </c>
      <c r="AV24" s="4">
        <f t="shared" ref="AV24:AW24" si="148">AV11/AV9</f>
        <v>0.73197091766555311</v>
      </c>
      <c r="AW24" s="4">
        <f t="shared" si="148"/>
        <v>0.76181402439024393</v>
      </c>
      <c r="AX24" s="4">
        <f t="shared" ref="AX24:AY24" si="149">AX11/AX9</f>
        <v>0.82729022942403341</v>
      </c>
      <c r="AY24" s="4">
        <f t="shared" si="149"/>
        <v>0.84008255243195007</v>
      </c>
      <c r="AZ24" s="4">
        <f t="shared" ref="AZ24:BC24" si="150">AZ11/AZ9</f>
        <v>0.85675153188461473</v>
      </c>
      <c r="BA24" s="4">
        <f t="shared" si="150"/>
        <v>0.85</v>
      </c>
      <c r="BB24" s="4">
        <f t="shared" si="150"/>
        <v>0.85</v>
      </c>
      <c r="BC24" s="4">
        <f t="shared" si="150"/>
        <v>0.85</v>
      </c>
      <c r="BD24" s="4">
        <f t="shared" ref="BD24:BN24" si="151">BD11/BD9</f>
        <v>0.85</v>
      </c>
      <c r="BE24" s="4">
        <f t="shared" si="151"/>
        <v>0.85</v>
      </c>
      <c r="BF24" s="4">
        <f t="shared" si="151"/>
        <v>0.85</v>
      </c>
      <c r="BG24" s="4">
        <f t="shared" si="151"/>
        <v>0.85</v>
      </c>
      <c r="BH24" s="4">
        <f t="shared" si="151"/>
        <v>0.85</v>
      </c>
      <c r="BI24" s="4">
        <f t="shared" si="151"/>
        <v>0.85</v>
      </c>
      <c r="BJ24" s="4">
        <f t="shared" si="151"/>
        <v>0.85000000000000009</v>
      </c>
      <c r="BK24" s="4">
        <f t="shared" si="151"/>
        <v>0.85</v>
      </c>
      <c r="BL24" s="4">
        <f t="shared" si="151"/>
        <v>0.85</v>
      </c>
      <c r="BM24" s="4">
        <f t="shared" si="151"/>
        <v>0.85</v>
      </c>
      <c r="BN24" s="4">
        <f t="shared" si="151"/>
        <v>0.85000000000000009</v>
      </c>
      <c r="BP24" s="2" t="s">
        <v>36</v>
      </c>
      <c r="BQ24" s="15">
        <v>0.08</v>
      </c>
    </row>
    <row r="25" spans="2:130" s="2" customFormat="1" x14ac:dyDescent="0.2">
      <c r="B25" s="2" t="s">
        <v>39</v>
      </c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>
        <f>W16/W9</f>
        <v>0.42965627498001596</v>
      </c>
      <c r="X25" s="4">
        <f t="shared" ref="X25:AH25" si="152">X16/X9</f>
        <v>0.58556701030927838</v>
      </c>
      <c r="Y25" s="4">
        <f t="shared" si="152"/>
        <v>0.43615360599438024</v>
      </c>
      <c r="Z25" s="4">
        <f t="shared" si="152"/>
        <v>0.47675928330303818</v>
      </c>
      <c r="AA25" s="4">
        <f t="shared" si="152"/>
        <v>0.45695738075077619</v>
      </c>
      <c r="AB25" s="4">
        <f t="shared" si="152"/>
        <v>0.50371103414151408</v>
      </c>
      <c r="AC25" s="4">
        <f t="shared" si="152"/>
        <v>0.49233503665852035</v>
      </c>
      <c r="AD25" s="4">
        <f t="shared" si="152"/>
        <v>0.56599897277863376</v>
      </c>
      <c r="AE25" s="4">
        <f t="shared" si="152"/>
        <v>0.37328130806391674</v>
      </c>
      <c r="AF25" s="4">
        <f t="shared" si="152"/>
        <v>0.55299810986714726</v>
      </c>
      <c r="AG25" s="4">
        <f t="shared" si="152"/>
        <v>0.52860587014775284</v>
      </c>
      <c r="AH25" s="4">
        <f t="shared" si="152"/>
        <v>0.5746719340085199</v>
      </c>
      <c r="AI25" s="4">
        <f t="shared" ref="AI25:AL25" si="153">AI16/AI9</f>
        <v>0.38995526628557886</v>
      </c>
      <c r="AJ25" s="4">
        <f t="shared" si="153"/>
        <v>0.55363018778107298</v>
      </c>
      <c r="AK25" s="4">
        <f t="shared" si="153"/>
        <v>0.52928816858635075</v>
      </c>
      <c r="AL25" s="4">
        <f t="shared" si="153"/>
        <v>0.57525938827031053</v>
      </c>
      <c r="AT25" s="4">
        <f t="shared" ref="AT25:AU25" si="154">AT16/AT9</f>
        <v>0.52279635258358659</v>
      </c>
      <c r="AU25" s="4">
        <f t="shared" si="154"/>
        <v>0.47318781999461063</v>
      </c>
      <c r="AV25" s="4">
        <f t="shared" ref="AV25:AW25" si="155">AV16/AV9</f>
        <v>0.10571821575948123</v>
      </c>
      <c r="AW25" s="4">
        <f t="shared" si="155"/>
        <v>0.35619918699186992</v>
      </c>
      <c r="AX25" s="4">
        <f t="shared" ref="AX25:AY25" si="156">AX16/AX9</f>
        <v>0.40060965827049577</v>
      </c>
      <c r="AY25" s="4">
        <f t="shared" si="156"/>
        <v>0.34722222222222221</v>
      </c>
      <c r="AZ25" s="4">
        <f t="shared" ref="AZ25:BI25" si="157">AZ16/AZ9</f>
        <v>0.51659633356948764</v>
      </c>
      <c r="BA25" s="4">
        <f t="shared" si="157"/>
        <v>0.54487168894543425</v>
      </c>
      <c r="BB25" s="4">
        <f t="shared" si="157"/>
        <v>0.56236018942819965</v>
      </c>
      <c r="BC25" s="4">
        <f t="shared" si="157"/>
        <v>0.57884633241723205</v>
      </c>
      <c r="BD25" s="4">
        <f t="shared" si="157"/>
        <v>0.5999068114527869</v>
      </c>
      <c r="BE25" s="4">
        <f t="shared" si="157"/>
        <v>0.61933152512635681</v>
      </c>
      <c r="BF25" s="4">
        <f t="shared" si="157"/>
        <v>0.63724752317479516</v>
      </c>
      <c r="BG25" s="4">
        <f t="shared" si="157"/>
        <v>0.65377198739422848</v>
      </c>
      <c r="BH25" s="4">
        <f t="shared" si="157"/>
        <v>0.6690129980820555</v>
      </c>
      <c r="BI25" s="4">
        <f t="shared" si="157"/>
        <v>0.68307024094946867</v>
      </c>
      <c r="BJ25" s="4"/>
      <c r="BK25" s="4"/>
      <c r="BL25" s="4"/>
      <c r="BM25" s="4"/>
      <c r="BN25" s="4"/>
      <c r="BP25" s="2" t="s">
        <v>82</v>
      </c>
      <c r="BQ25" s="15">
        <v>0.02</v>
      </c>
    </row>
    <row r="26" spans="2:130" x14ac:dyDescent="0.2">
      <c r="B26" t="s">
        <v>29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>
        <f t="shared" ref="W26:AD26" si="158">W19/W18</f>
        <v>0.40279069767441861</v>
      </c>
      <c r="X26" s="4">
        <f t="shared" si="158"/>
        <v>0.35</v>
      </c>
      <c r="Y26" s="4">
        <f t="shared" si="158"/>
        <v>0.3967065868263473</v>
      </c>
      <c r="Z26" s="4">
        <f t="shared" si="158"/>
        <v>0.22729774353329665</v>
      </c>
      <c r="AA26" s="4">
        <f t="shared" si="158"/>
        <v>0.25957972805933249</v>
      </c>
      <c r="AB26" s="4">
        <f t="shared" si="158"/>
        <v>0.27210216110019647</v>
      </c>
      <c r="AC26" s="4">
        <f t="shared" si="158"/>
        <v>0.24486066697121975</v>
      </c>
      <c r="AD26" s="4">
        <f t="shared" si="158"/>
        <v>0.3012412957917045</v>
      </c>
      <c r="AE26" s="4">
        <f t="shared" ref="AE26:AH26" si="159">AE19/AE18</f>
        <v>0.26876513317191281</v>
      </c>
      <c r="AF26" s="4">
        <f t="shared" si="159"/>
        <v>0.25</v>
      </c>
      <c r="AG26" s="4">
        <f t="shared" si="159"/>
        <v>0.25</v>
      </c>
      <c r="AH26" s="4">
        <f t="shared" si="159"/>
        <v>0.25</v>
      </c>
      <c r="AI26" s="4">
        <f t="shared" ref="AI26:AL26" si="160">AI19/AI18</f>
        <v>0.25</v>
      </c>
      <c r="AJ26" s="4">
        <f t="shared" si="160"/>
        <v>0.25</v>
      </c>
      <c r="AK26" s="4">
        <f t="shared" si="160"/>
        <v>0.25</v>
      </c>
      <c r="AL26" s="4">
        <f t="shared" si="160"/>
        <v>0.25</v>
      </c>
      <c r="AT26" s="4">
        <f t="shared" ref="AT26:AU26" si="161">AT19/AT18</f>
        <v>0.63095238095238093</v>
      </c>
      <c r="AU26" s="4">
        <f t="shared" si="161"/>
        <v>0.60589970501474921</v>
      </c>
      <c r="AV26" s="4">
        <f t="shared" ref="AV26:AW26" si="162">AV19/AV18</f>
        <v>0.93522267206477738</v>
      </c>
      <c r="AW26" s="4">
        <f t="shared" si="162"/>
        <v>0.45860566448801743</v>
      </c>
      <c r="AX26" s="4">
        <f t="shared" ref="AX26:AY26" si="163">AX19/AX18</f>
        <v>0.40427698574338083</v>
      </c>
      <c r="AY26" s="4">
        <f t="shared" si="163"/>
        <v>0.40765256700032287</v>
      </c>
      <c r="AZ26" s="4">
        <f t="shared" ref="AZ26:BC26" si="164">AZ19/AZ18</f>
        <v>0.25</v>
      </c>
      <c r="BA26" s="4">
        <f t="shared" si="164"/>
        <v>0.25</v>
      </c>
      <c r="BB26" s="4">
        <f t="shared" si="164"/>
        <v>0.25</v>
      </c>
      <c r="BC26" s="4">
        <f t="shared" si="164"/>
        <v>0.25</v>
      </c>
      <c r="BD26" s="4">
        <f t="shared" ref="BD26:BN26" si="165">BD19/BD18</f>
        <v>0.25</v>
      </c>
      <c r="BE26" s="4">
        <f t="shared" si="165"/>
        <v>0.25</v>
      </c>
      <c r="BF26" s="4">
        <f t="shared" si="165"/>
        <v>0.25</v>
      </c>
      <c r="BG26" s="4">
        <f t="shared" si="165"/>
        <v>0.25</v>
      </c>
      <c r="BH26" s="4">
        <f t="shared" si="165"/>
        <v>0.25</v>
      </c>
      <c r="BI26" s="4">
        <f t="shared" si="165"/>
        <v>0.25</v>
      </c>
      <c r="BJ26" s="4">
        <f t="shared" si="165"/>
        <v>0.25</v>
      </c>
      <c r="BK26" s="4">
        <f t="shared" si="165"/>
        <v>0.25</v>
      </c>
      <c r="BL26" s="4">
        <f t="shared" si="165"/>
        <v>0.25</v>
      </c>
      <c r="BM26" s="4">
        <f t="shared" si="165"/>
        <v>0.25</v>
      </c>
      <c r="BN26" s="4">
        <f t="shared" si="165"/>
        <v>0.25</v>
      </c>
      <c r="BP26" t="s">
        <v>37</v>
      </c>
      <c r="BQ26" s="2">
        <f>NPV(BQ24,BA20:FC20)</f>
        <v>499552.79584967485</v>
      </c>
    </row>
    <row r="27" spans="2:130" x14ac:dyDescent="0.2">
      <c r="BP27" s="2" t="s">
        <v>38</v>
      </c>
      <c r="BQ27" s="1">
        <f>BQ26/Main!L3</f>
        <v>174.91344392495617</v>
      </c>
    </row>
    <row r="29" spans="2:130" x14ac:dyDescent="0.2">
      <c r="B29" t="s">
        <v>34</v>
      </c>
      <c r="Y29" s="4"/>
      <c r="Z29" s="4"/>
      <c r="AA29" s="4">
        <f t="shared" ref="AA29:AL29" si="166">AA7/W7-1</f>
        <v>0.2133395847424624</v>
      </c>
      <c r="AB29" s="4">
        <f t="shared" si="166"/>
        <v>0.1895494305756722</v>
      </c>
      <c r="AC29" s="4">
        <f t="shared" si="166"/>
        <v>0.20569190812610194</v>
      </c>
      <c r="AD29" s="4">
        <f t="shared" si="166"/>
        <v>0.2963665781115794</v>
      </c>
      <c r="AE29" s="4">
        <f t="shared" si="166"/>
        <v>0.30443334446783554</v>
      </c>
      <c r="AF29" s="4">
        <f t="shared" si="166"/>
        <v>0.30000000000000004</v>
      </c>
      <c r="AG29" s="4">
        <f t="shared" si="166"/>
        <v>0.30000000000000004</v>
      </c>
      <c r="AH29" s="4">
        <f t="shared" si="166"/>
        <v>0.30000000000000004</v>
      </c>
      <c r="AI29" s="4">
        <f t="shared" si="166"/>
        <v>0.30000000000000004</v>
      </c>
      <c r="AJ29" s="4">
        <f t="shared" si="166"/>
        <v>0.30000000000000004</v>
      </c>
      <c r="AK29" s="4">
        <f t="shared" si="166"/>
        <v>0.30000000000000004</v>
      </c>
      <c r="AL29" s="4">
        <f t="shared" si="166"/>
        <v>0.30000000000000004</v>
      </c>
    </row>
    <row r="30" spans="2:130" s="8" customFormat="1" x14ac:dyDescent="0.2">
      <c r="B30" s="8" t="s">
        <v>60</v>
      </c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10">
        <f t="shared" ref="P30:AL30" si="167">P6/L6-1</f>
        <v>0.32374100719424459</v>
      </c>
      <c r="Q30" s="10">
        <f t="shared" si="167"/>
        <v>0.27789934354485779</v>
      </c>
      <c r="R30" s="10">
        <f t="shared" si="167"/>
        <v>0.27950310559006208</v>
      </c>
      <c r="S30" s="10">
        <f t="shared" si="167"/>
        <v>0.26425855513307983</v>
      </c>
      <c r="T30" s="10">
        <f t="shared" si="167"/>
        <v>0.26630434782608692</v>
      </c>
      <c r="U30" s="10">
        <f t="shared" si="167"/>
        <v>0.24657534246575352</v>
      </c>
      <c r="V30" s="10">
        <f t="shared" si="167"/>
        <v>0.22491909385113273</v>
      </c>
      <c r="W30" s="10">
        <f t="shared" si="167"/>
        <v>0.20601503759398487</v>
      </c>
      <c r="X30" s="10">
        <f t="shared" si="167"/>
        <v>0.18597997138769662</v>
      </c>
      <c r="Y30" s="10">
        <f t="shared" si="167"/>
        <v>0.18681318681318682</v>
      </c>
      <c r="Z30" s="10">
        <f t="shared" si="167"/>
        <v>0.17422574489945686</v>
      </c>
      <c r="AA30" s="10">
        <f t="shared" si="167"/>
        <v>0.16708229426433907</v>
      </c>
      <c r="AB30" s="10">
        <f t="shared" si="167"/>
        <v>0.16767189384800973</v>
      </c>
      <c r="AC30" s="10">
        <f t="shared" si="167"/>
        <v>0.1655092592592593</v>
      </c>
      <c r="AD30" s="10">
        <f t="shared" si="167"/>
        <v>0.16999999999999993</v>
      </c>
      <c r="AE30" s="10">
        <f t="shared" si="167"/>
        <v>0.16452991452991461</v>
      </c>
      <c r="AF30" s="10">
        <f t="shared" si="167"/>
        <v>0.13729338842975225</v>
      </c>
      <c r="AG30" s="10">
        <f t="shared" si="167"/>
        <v>0.10417974180734868</v>
      </c>
      <c r="AH30" s="10">
        <f t="shared" si="167"/>
        <v>7.9834701923076956E-2</v>
      </c>
      <c r="AI30" s="10">
        <f t="shared" si="167"/>
        <v>4.0604010000000024E-2</v>
      </c>
      <c r="AJ30" s="10">
        <f t="shared" si="167"/>
        <v>4.0604010000000024E-2</v>
      </c>
      <c r="AK30" s="10">
        <f t="shared" si="167"/>
        <v>4.0604010000000024E-2</v>
      </c>
      <c r="AL30" s="10">
        <f t="shared" si="167"/>
        <v>4.0604010000000024E-2</v>
      </c>
      <c r="AZ30" s="12">
        <f t="shared" ref="AZ30:BN30" si="168">AZ6/AY6-1</f>
        <v>6.3903146634615382E-2</v>
      </c>
      <c r="BA30" s="12">
        <f t="shared" si="168"/>
        <v>2.0000000000000018E-2</v>
      </c>
      <c r="BB30" s="12">
        <f t="shared" si="168"/>
        <v>2.0000000000000018E-2</v>
      </c>
      <c r="BC30" s="12">
        <f t="shared" si="168"/>
        <v>2.0000000000000018E-2</v>
      </c>
      <c r="BD30" s="12">
        <f t="shared" si="168"/>
        <v>0</v>
      </c>
      <c r="BE30" s="12">
        <f t="shared" si="168"/>
        <v>0</v>
      </c>
      <c r="BF30" s="12">
        <f t="shared" si="168"/>
        <v>0</v>
      </c>
      <c r="BG30" s="12">
        <f t="shared" si="168"/>
        <v>0</v>
      </c>
      <c r="BH30" s="12">
        <f t="shared" si="168"/>
        <v>0</v>
      </c>
      <c r="BI30" s="12">
        <f t="shared" si="168"/>
        <v>0</v>
      </c>
      <c r="BJ30" s="12">
        <f t="shared" si="168"/>
        <v>0</v>
      </c>
      <c r="BK30" s="12">
        <f t="shared" si="168"/>
        <v>0</v>
      </c>
      <c r="BL30" s="12">
        <f t="shared" si="168"/>
        <v>0</v>
      </c>
      <c r="BM30" s="12">
        <f t="shared" si="168"/>
        <v>0</v>
      </c>
      <c r="BN30" s="12">
        <f t="shared" si="168"/>
        <v>0</v>
      </c>
    </row>
    <row r="31" spans="2:130" x14ac:dyDescent="0.2">
      <c r="B31" t="s">
        <v>61</v>
      </c>
      <c r="M31" s="4">
        <f t="shared" ref="M31:AE31" si="169">M6/L6-1</f>
        <v>9.592326139088736E-2</v>
      </c>
      <c r="N31" s="4">
        <f t="shared" si="169"/>
        <v>5.6892778993435478E-2</v>
      </c>
      <c r="O31" s="4">
        <f t="shared" si="169"/>
        <v>8.9026915113871619E-2</v>
      </c>
      <c r="P31" s="4">
        <f t="shared" si="169"/>
        <v>4.9429657794676896E-2</v>
      </c>
      <c r="Q31" s="4">
        <f t="shared" si="169"/>
        <v>5.7971014492753659E-2</v>
      </c>
      <c r="R31" s="4">
        <f t="shared" si="169"/>
        <v>5.821917808219168E-2</v>
      </c>
      <c r="S31" s="4">
        <f t="shared" si="169"/>
        <v>7.6051779935275121E-2</v>
      </c>
      <c r="T31" s="4">
        <f t="shared" si="169"/>
        <v>5.1127819548872244E-2</v>
      </c>
      <c r="U31" s="4">
        <f t="shared" si="169"/>
        <v>4.1487839771101598E-2</v>
      </c>
      <c r="V31" s="4">
        <f t="shared" si="169"/>
        <v>3.9835164835164916E-2</v>
      </c>
      <c r="W31" s="4">
        <f t="shared" si="169"/>
        <v>5.9445178335534976E-2</v>
      </c>
      <c r="X31" s="4">
        <f t="shared" si="169"/>
        <v>3.366583541147139E-2</v>
      </c>
      <c r="Y31" s="4">
        <f t="shared" si="169"/>
        <v>4.2219541616405287E-2</v>
      </c>
      <c r="Z31" s="4">
        <f t="shared" si="169"/>
        <v>2.8806584362139898E-2</v>
      </c>
      <c r="AA31" s="4">
        <f t="shared" si="169"/>
        <v>5.2999999999999936E-2</v>
      </c>
      <c r="AB31" s="4">
        <f t="shared" si="169"/>
        <v>3.4188034188034289E-2</v>
      </c>
      <c r="AC31" s="4">
        <f t="shared" si="169"/>
        <v>4.0289256198347001E-2</v>
      </c>
      <c r="AD31" s="4">
        <f t="shared" si="169"/>
        <v>3.2770605759682159E-2</v>
      </c>
      <c r="AE31" s="4">
        <f t="shared" si="169"/>
        <v>4.8076923076923128E-2</v>
      </c>
      <c r="AZ31" s="15"/>
      <c r="BA31" s="15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5"/>
    </row>
    <row r="32" spans="2:130" s="8" customFormat="1" x14ac:dyDescent="0.2">
      <c r="B32" s="8" t="s">
        <v>64</v>
      </c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10">
        <f t="shared" ref="P32:AD32" si="170">P4/L4-1</f>
        <v>0.11111111111111116</v>
      </c>
      <c r="Q32" s="10">
        <f t="shared" si="170"/>
        <v>6.4516129032258007E-2</v>
      </c>
      <c r="R32" s="10">
        <f t="shared" si="170"/>
        <v>7.1428571428571397E-2</v>
      </c>
      <c r="S32" s="10">
        <f t="shared" si="170"/>
        <v>7.7519379844961156E-2</v>
      </c>
      <c r="T32" s="10">
        <f t="shared" si="170"/>
        <v>9.2307692307692202E-2</v>
      </c>
      <c r="U32" s="10">
        <f t="shared" si="170"/>
        <v>9.0909090909090828E-2</v>
      </c>
      <c r="V32" s="10">
        <f t="shared" si="170"/>
        <v>8.8888888888888795E-2</v>
      </c>
      <c r="W32" s="10">
        <f t="shared" si="170"/>
        <v>7.9136690647481966E-2</v>
      </c>
      <c r="X32" s="10">
        <f t="shared" si="170"/>
        <v>7.0422535211267512E-2</v>
      </c>
      <c r="Y32" s="10">
        <f t="shared" si="170"/>
        <v>7.638888888888884E-2</v>
      </c>
      <c r="Z32" s="10">
        <f t="shared" si="170"/>
        <v>6.8027210884353817E-2</v>
      </c>
      <c r="AA32" s="10">
        <f t="shared" si="170"/>
        <v>7.333333333333325E-2</v>
      </c>
      <c r="AB32" s="10">
        <f t="shared" si="170"/>
        <v>7.8947368421052655E-2</v>
      </c>
      <c r="AC32" s="10">
        <f t="shared" si="170"/>
        <v>7.7419354838709653E-2</v>
      </c>
      <c r="AD32" s="10">
        <f t="shared" si="170"/>
        <v>7.6433121019108263E-2</v>
      </c>
      <c r="AE32" s="9"/>
      <c r="AF32" s="9"/>
      <c r="AG32" s="9"/>
      <c r="AH32" s="9"/>
      <c r="AI32" s="9"/>
      <c r="AJ32" s="9"/>
      <c r="AK32" s="9"/>
      <c r="AL32" s="9"/>
      <c r="AT32" s="12">
        <f t="shared" ref="AT32:AY32" si="171">AT4/AS4-1</f>
        <v>0.86458333333333326</v>
      </c>
      <c r="AU32" s="12">
        <f t="shared" si="171"/>
        <v>0.31843575418994408</v>
      </c>
      <c r="AV32" s="12">
        <f t="shared" si="171"/>
        <v>0.11440677966101687</v>
      </c>
      <c r="AW32" s="12">
        <f t="shared" si="171"/>
        <v>8.7452471482889704E-2</v>
      </c>
      <c r="AX32" s="12">
        <f t="shared" si="171"/>
        <v>7.3426573426573327E-2</v>
      </c>
      <c r="AY32" s="12">
        <f t="shared" si="171"/>
        <v>7.654723127035834E-2</v>
      </c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</row>
    <row r="33" spans="2:66" x14ac:dyDescent="0.2">
      <c r="B33" t="s">
        <v>65</v>
      </c>
      <c r="M33" s="4">
        <f t="shared" ref="M33:AD33" si="172">M4/L4-1</f>
        <v>5.9829059829059839E-2</v>
      </c>
      <c r="N33" s="4">
        <f t="shared" si="172"/>
        <v>1.6129032258064502E-2</v>
      </c>
      <c r="O33" s="4">
        <f t="shared" si="172"/>
        <v>2.3809523809523725E-2</v>
      </c>
      <c r="P33" s="4">
        <f t="shared" si="172"/>
        <v>7.7519379844961378E-3</v>
      </c>
      <c r="Q33" s="4">
        <f t="shared" si="172"/>
        <v>1.538461538461533E-2</v>
      </c>
      <c r="R33" s="4">
        <f t="shared" si="172"/>
        <v>2.2727272727272707E-2</v>
      </c>
      <c r="S33" s="4">
        <f t="shared" si="172"/>
        <v>2.9629629629629672E-2</v>
      </c>
      <c r="T33" s="4">
        <f t="shared" si="172"/>
        <v>2.1582733812949728E-2</v>
      </c>
      <c r="U33" s="4">
        <f t="shared" si="172"/>
        <v>1.4084507042253502E-2</v>
      </c>
      <c r="V33" s="4">
        <f t="shared" si="172"/>
        <v>2.0833333333333259E-2</v>
      </c>
      <c r="W33" s="4">
        <f t="shared" si="172"/>
        <v>2.0408163265306145E-2</v>
      </c>
      <c r="X33" s="4">
        <f t="shared" si="172"/>
        <v>1.3333333333333419E-2</v>
      </c>
      <c r="Y33" s="4">
        <f t="shared" si="172"/>
        <v>1.9736842105263053E-2</v>
      </c>
      <c r="Z33" s="4">
        <f t="shared" si="172"/>
        <v>1.2903225806451646E-2</v>
      </c>
      <c r="AA33" s="4">
        <f t="shared" si="172"/>
        <v>2.5477707006369421E-2</v>
      </c>
      <c r="AB33" s="4">
        <f t="shared" si="172"/>
        <v>1.8633540372670732E-2</v>
      </c>
      <c r="AC33" s="4">
        <f t="shared" si="172"/>
        <v>1.8292682926829285E-2</v>
      </c>
      <c r="AD33" s="4">
        <f t="shared" si="172"/>
        <v>1.1976047904191711E-2</v>
      </c>
      <c r="AZ33" s="15"/>
      <c r="BA33" s="15"/>
      <c r="BB33" s="15"/>
      <c r="BC33" s="15"/>
      <c r="BD33" s="15"/>
      <c r="BE33" s="15"/>
      <c r="BF33" s="15"/>
      <c r="BG33" s="15"/>
      <c r="BH33" s="15"/>
      <c r="BI33" s="15"/>
      <c r="BJ33" s="15"/>
      <c r="BK33" s="15"/>
      <c r="BL33" s="15"/>
      <c r="BM33" s="15"/>
      <c r="BN33" s="15"/>
    </row>
    <row r="34" spans="2:66" s="8" customFormat="1" x14ac:dyDescent="0.2">
      <c r="B34" s="8" t="s">
        <v>19</v>
      </c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10">
        <f>AA9/W9-1</f>
        <v>0.4160671462829737</v>
      </c>
      <c r="AB34" s="10">
        <f>AB9/X9-1</f>
        <v>0.38900343642611679</v>
      </c>
      <c r="AC34" s="10">
        <f>AC9/Y9-1</f>
        <v>0.40524508273493609</v>
      </c>
      <c r="AD34" s="10">
        <f>AD9/Z9-1</f>
        <v>0.516748896390548</v>
      </c>
      <c r="AE34" s="10">
        <f>AE9/AA9-1</f>
        <v>0.51905165114309915</v>
      </c>
      <c r="AF34" s="10">
        <f t="shared" ref="AF34:AL34" si="173">AF9/AB9-1</f>
        <v>0.47848140495867786</v>
      </c>
      <c r="AG34" s="10">
        <f t="shared" si="173"/>
        <v>0.43543366434955333</v>
      </c>
      <c r="AH34" s="10">
        <f t="shared" si="173"/>
        <v>0.40378511250000004</v>
      </c>
      <c r="AI34" s="10">
        <f t="shared" si="173"/>
        <v>0.35278521299999999</v>
      </c>
      <c r="AJ34" s="10">
        <f t="shared" si="173"/>
        <v>0.35278521299999999</v>
      </c>
      <c r="AK34" s="10">
        <f t="shared" si="173"/>
        <v>0.35278521299999999</v>
      </c>
      <c r="AL34" s="10">
        <f t="shared" si="173"/>
        <v>0.35278521300000021</v>
      </c>
      <c r="AU34" s="12">
        <f t="shared" ref="AU34:BB34" si="174">AU9/AT9-1</f>
        <v>0.87993920972644379</v>
      </c>
      <c r="AV34" s="12">
        <f t="shared" si="174"/>
        <v>0.37132848288870934</v>
      </c>
      <c r="AW34" s="12">
        <f t="shared" si="174"/>
        <v>0.5468657889565729</v>
      </c>
      <c r="AX34" s="12">
        <f t="shared" si="174"/>
        <v>0.58358739837398366</v>
      </c>
      <c r="AY34" s="12">
        <f t="shared" si="174"/>
        <v>0.43815177282207607</v>
      </c>
      <c r="AZ34" s="12">
        <f t="shared" si="174"/>
        <v>0.45127273561985803</v>
      </c>
      <c r="BA34" s="12">
        <f t="shared" si="174"/>
        <v>0.39349245051820803</v>
      </c>
      <c r="BB34" s="12">
        <f t="shared" si="174"/>
        <v>0.32600000000000029</v>
      </c>
      <c r="BC34" s="12">
        <f t="shared" ref="BC34" si="175">BC9/BB9-1</f>
        <v>0.32600000000000007</v>
      </c>
      <c r="BD34" s="12">
        <f t="shared" ref="BD34:BN34" si="176">BD9/BC9-1</f>
        <v>2.9999999999999805E-2</v>
      </c>
      <c r="BE34" s="12">
        <f t="shared" si="176"/>
        <v>3.0000000000000027E-2</v>
      </c>
      <c r="BF34" s="12">
        <f t="shared" si="176"/>
        <v>3.0000000000000249E-2</v>
      </c>
      <c r="BG34" s="12">
        <f t="shared" si="176"/>
        <v>3.0000000000000027E-2</v>
      </c>
      <c r="BH34" s="12">
        <f t="shared" si="176"/>
        <v>2.9999999999999805E-2</v>
      </c>
      <c r="BI34" s="12">
        <f t="shared" si="176"/>
        <v>3.0000000000000027E-2</v>
      </c>
      <c r="BJ34" s="12">
        <f t="shared" si="176"/>
        <v>2.9999999999999805E-2</v>
      </c>
      <c r="BK34" s="12">
        <f t="shared" si="176"/>
        <v>3.0000000000000027E-2</v>
      </c>
      <c r="BL34" s="12">
        <f t="shared" si="176"/>
        <v>3.0000000000000027E-2</v>
      </c>
      <c r="BM34" s="12">
        <f t="shared" si="176"/>
        <v>3.0000000000000027E-2</v>
      </c>
      <c r="BN34" s="12">
        <f t="shared" si="176"/>
        <v>3.0000000000000027E-2</v>
      </c>
    </row>
    <row r="37" spans="2:66" s="2" customFormat="1" x14ac:dyDescent="0.2">
      <c r="B37" s="2" t="s">
        <v>3</v>
      </c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>
        <f>4907+13527</f>
        <v>18434</v>
      </c>
      <c r="AE37" s="5">
        <f>6456+14165</f>
        <v>20621</v>
      </c>
      <c r="AF37" s="5">
        <f>+AE37+AF20</f>
        <v>23099.546586053719</v>
      </c>
      <c r="AG37" s="5">
        <f t="shared" ref="AG37:AH37" si="177">+AF37+AG20</f>
        <v>25660.993651541801</v>
      </c>
      <c r="AH37" s="5">
        <f t="shared" si="177"/>
        <v>29195.014354704363</v>
      </c>
      <c r="AI37" s="5"/>
      <c r="AJ37" s="5"/>
      <c r="AK37" s="5"/>
      <c r="AL37" s="5"/>
      <c r="AZ37" s="2">
        <f>+AH37</f>
        <v>29195.014354704363</v>
      </c>
      <c r="BA37" s="2">
        <f>+AZ37+BA20</f>
        <v>44011.35677719822</v>
      </c>
      <c r="BB37" s="2">
        <f t="shared" ref="BB37:BN37" si="178">+BA37+BB20</f>
        <v>64288.410704425085</v>
      </c>
      <c r="BC37" s="2">
        <f t="shared" si="178"/>
        <v>92928.34021624428</v>
      </c>
      <c r="BD37" s="2">
        <f t="shared" si="178"/>
        <v>123865.28130252835</v>
      </c>
      <c r="BE37" s="2">
        <f t="shared" si="178"/>
        <v>157137.8542892854</v>
      </c>
      <c r="BF37" s="2">
        <f t="shared" si="178"/>
        <v>192787.9766233135</v>
      </c>
      <c r="BG37" s="2">
        <f t="shared" si="178"/>
        <v>230860.86422042316</v>
      </c>
      <c r="BH37" s="2">
        <f t="shared" si="178"/>
        <v>271405.03787277872</v>
      </c>
      <c r="BI37" s="2">
        <f t="shared" si="178"/>
        <v>314472.33461830474</v>
      </c>
      <c r="BJ37" s="2">
        <f t="shared" si="178"/>
        <v>360117.92398466461</v>
      </c>
      <c r="BK37" s="2">
        <f t="shared" si="178"/>
        <v>408400.32902954397</v>
      </c>
      <c r="BL37" s="2">
        <f t="shared" si="178"/>
        <v>459381.45210788073</v>
      </c>
      <c r="BM37" s="2">
        <f t="shared" si="178"/>
        <v>513126.60530529881</v>
      </c>
      <c r="BN37" s="2">
        <f t="shared" si="178"/>
        <v>569704.54548534064</v>
      </c>
    </row>
    <row r="38" spans="2:66" s="2" customFormat="1" x14ac:dyDescent="0.2">
      <c r="B38" s="2" t="s">
        <v>68</v>
      </c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>
        <v>2559</v>
      </c>
      <c r="AE38" s="5">
        <v>2348</v>
      </c>
      <c r="AF38" s="5"/>
      <c r="AG38" s="5"/>
      <c r="AH38" s="5"/>
      <c r="AI38" s="5"/>
      <c r="AJ38" s="5"/>
      <c r="AK38" s="5"/>
      <c r="AL38" s="5"/>
    </row>
    <row r="39" spans="2:66" s="2" customFormat="1" x14ac:dyDescent="0.2">
      <c r="B39" s="2" t="s">
        <v>69</v>
      </c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>
        <v>659</v>
      </c>
      <c r="AE39" s="5">
        <v>843</v>
      </c>
      <c r="AF39" s="5"/>
      <c r="AG39" s="5"/>
      <c r="AH39" s="5"/>
      <c r="AI39" s="5"/>
      <c r="AJ39" s="5"/>
      <c r="AK39" s="5"/>
      <c r="AL39" s="5"/>
    </row>
    <row r="40" spans="2:66" s="2" customFormat="1" x14ac:dyDescent="0.2">
      <c r="B40" s="2" t="s">
        <v>70</v>
      </c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>
        <v>5687</v>
      </c>
      <c r="AE40" s="5">
        <v>6467</v>
      </c>
      <c r="AF40" s="5"/>
      <c r="AG40" s="5"/>
      <c r="AH40" s="5"/>
      <c r="AI40" s="5"/>
      <c r="AJ40" s="5"/>
      <c r="AK40" s="5"/>
      <c r="AL40" s="5"/>
    </row>
    <row r="41" spans="2:66" s="2" customFormat="1" x14ac:dyDescent="0.2">
      <c r="B41" s="2" t="s">
        <v>71</v>
      </c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17"/>
      <c r="Z41" s="5"/>
      <c r="AA41" s="5"/>
      <c r="AB41" s="5"/>
      <c r="AC41" s="5"/>
      <c r="AD41" s="5">
        <f>3246+18026</f>
        <v>21272</v>
      </c>
      <c r="AE41" s="5">
        <f>3067+18029</f>
        <v>21096</v>
      </c>
      <c r="AF41" s="5"/>
      <c r="AG41" s="5"/>
      <c r="AH41" s="5"/>
      <c r="AI41" s="5"/>
      <c r="AJ41" s="5"/>
      <c r="AK41" s="5"/>
      <c r="AL41" s="5"/>
    </row>
    <row r="42" spans="2:66" s="2" customFormat="1" x14ac:dyDescent="0.2">
      <c r="B42" s="2" t="s">
        <v>72</v>
      </c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>
        <v>796</v>
      </c>
      <c r="AE42" s="5">
        <v>700</v>
      </c>
      <c r="AF42" s="5"/>
      <c r="AG42" s="5"/>
      <c r="AH42" s="5"/>
      <c r="AI42" s="5"/>
      <c r="AJ42" s="5"/>
      <c r="AK42" s="5"/>
      <c r="AL42" s="5"/>
    </row>
    <row r="43" spans="2:66" s="2" customFormat="1" x14ac:dyDescent="0.2">
      <c r="B43" s="2" t="s">
        <v>73</v>
      </c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>
        <f>SUM(AD37:AD42)</f>
        <v>49407</v>
      </c>
      <c r="AE43" s="5">
        <f>SUM(AE37:AE42)</f>
        <v>52075</v>
      </c>
      <c r="AF43" s="5"/>
      <c r="AG43" s="5"/>
      <c r="AH43" s="5"/>
      <c r="AI43" s="5"/>
      <c r="AJ43" s="5"/>
      <c r="AK43" s="5"/>
      <c r="AL43" s="5"/>
    </row>
    <row r="44" spans="2:66" s="2" customFormat="1" x14ac:dyDescent="0.2"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</row>
    <row r="45" spans="2:66" s="2" customFormat="1" x14ac:dyDescent="0.2">
      <c r="B45" s="2" t="s">
        <v>74</v>
      </c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>
        <v>196</v>
      </c>
      <c r="AE45" s="5">
        <v>149</v>
      </c>
      <c r="AF45" s="5"/>
      <c r="AG45" s="5"/>
      <c r="AH45" s="5"/>
      <c r="AI45" s="5"/>
      <c r="AJ45" s="5"/>
      <c r="AK45" s="5"/>
      <c r="AL45" s="5"/>
    </row>
    <row r="46" spans="2:66" s="2" customFormat="1" x14ac:dyDescent="0.2">
      <c r="B46" s="2" t="s">
        <v>75</v>
      </c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>
        <v>217</v>
      </c>
      <c r="AE46" s="5">
        <v>216</v>
      </c>
      <c r="AF46" s="5"/>
      <c r="AG46" s="5"/>
      <c r="AH46" s="5"/>
      <c r="AI46" s="5"/>
      <c r="AJ46" s="5"/>
      <c r="AK46" s="5"/>
      <c r="AL46" s="5"/>
    </row>
    <row r="47" spans="2:66" s="2" customFormat="1" x14ac:dyDescent="0.2">
      <c r="B47" s="2" t="s">
        <v>76</v>
      </c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>
        <v>1449</v>
      </c>
      <c r="AE47" s="5">
        <v>1389</v>
      </c>
      <c r="AF47" s="5"/>
      <c r="AG47" s="5"/>
      <c r="AH47" s="5"/>
      <c r="AI47" s="5"/>
      <c r="AJ47" s="5"/>
      <c r="AK47" s="5"/>
      <c r="AL47" s="5"/>
    </row>
    <row r="48" spans="2:66" s="2" customFormat="1" x14ac:dyDescent="0.2">
      <c r="B48" s="2" t="s">
        <v>77</v>
      </c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>
        <v>56</v>
      </c>
      <c r="AE48" s="5">
        <v>55</v>
      </c>
      <c r="AF48" s="5"/>
      <c r="AG48" s="5"/>
      <c r="AH48" s="5"/>
      <c r="AI48" s="5"/>
      <c r="AJ48" s="5"/>
      <c r="AK48" s="5"/>
      <c r="AL48" s="5"/>
    </row>
    <row r="49" spans="2:38" s="2" customFormat="1" x14ac:dyDescent="0.2">
      <c r="B49" s="2" t="s">
        <v>78</v>
      </c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>
        <f>7+107</f>
        <v>114</v>
      </c>
      <c r="AE49" s="5">
        <v>0</v>
      </c>
      <c r="AF49" s="5"/>
      <c r="AG49" s="5"/>
      <c r="AH49" s="5"/>
      <c r="AI49" s="5"/>
      <c r="AJ49" s="5"/>
      <c r="AK49" s="5"/>
      <c r="AL49" s="5"/>
    </row>
    <row r="50" spans="2:38" s="2" customFormat="1" x14ac:dyDescent="0.2">
      <c r="B50" s="2" t="s">
        <v>79</v>
      </c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>
        <v>3157</v>
      </c>
      <c r="AE50" s="5">
        <v>3116</v>
      </c>
      <c r="AF50" s="5"/>
      <c r="AG50" s="5"/>
      <c r="AH50" s="5"/>
      <c r="AI50" s="5"/>
      <c r="AJ50" s="5"/>
      <c r="AK50" s="5"/>
      <c r="AL50" s="5"/>
    </row>
    <row r="51" spans="2:38" s="2" customFormat="1" x14ac:dyDescent="0.2">
      <c r="B51" s="2" t="s">
        <v>80</v>
      </c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>
        <v>44218</v>
      </c>
      <c r="AE51" s="5">
        <v>47150</v>
      </c>
      <c r="AF51" s="5"/>
      <c r="AG51" s="5"/>
      <c r="AH51" s="5"/>
      <c r="AI51" s="5"/>
      <c r="AJ51" s="5"/>
      <c r="AK51" s="5"/>
      <c r="AL51" s="5"/>
    </row>
    <row r="52" spans="2:38" s="2" customFormat="1" x14ac:dyDescent="0.2">
      <c r="B52" s="2" t="s">
        <v>81</v>
      </c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>
        <f>SUM(AD45:AD51)</f>
        <v>49407</v>
      </c>
      <c r="AE52" s="5">
        <f>SUM(AE45:AE51)</f>
        <v>52075</v>
      </c>
      <c r="AF52" s="5"/>
      <c r="AG52" s="5"/>
      <c r="AH52" s="5"/>
      <c r="AI52" s="5"/>
      <c r="AJ52" s="5"/>
      <c r="AK52" s="5"/>
      <c r="AL52" s="5"/>
    </row>
    <row r="55" spans="2:38" x14ac:dyDescent="0.2">
      <c r="B55" s="2" t="s">
        <v>88</v>
      </c>
      <c r="AE55" s="5">
        <f>AE20</f>
        <v>1510</v>
      </c>
    </row>
    <row r="56" spans="2:38" x14ac:dyDescent="0.2">
      <c r="B56" s="2" t="s">
        <v>89</v>
      </c>
      <c r="AE56" s="5">
        <f>+AE20</f>
        <v>1510</v>
      </c>
    </row>
    <row r="57" spans="2:38" x14ac:dyDescent="0.2">
      <c r="B57" s="2" t="s">
        <v>91</v>
      </c>
      <c r="AE57" s="3">
        <v>552</v>
      </c>
    </row>
    <row r="58" spans="2:38" x14ac:dyDescent="0.2">
      <c r="B58" s="2" t="s">
        <v>92</v>
      </c>
      <c r="AE58" s="3">
        <v>747</v>
      </c>
    </row>
    <row r="59" spans="2:38" x14ac:dyDescent="0.2">
      <c r="B59" s="2" t="s">
        <v>93</v>
      </c>
      <c r="AE59" s="3">
        <v>-65</v>
      </c>
    </row>
    <row r="60" spans="2:38" x14ac:dyDescent="0.2">
      <c r="B60" s="2" t="s">
        <v>94</v>
      </c>
      <c r="AE60" s="3">
        <v>494</v>
      </c>
    </row>
    <row r="61" spans="2:38" x14ac:dyDescent="0.2">
      <c r="B61" s="2" t="s">
        <v>95</v>
      </c>
      <c r="AE61" s="3">
        <v>-494</v>
      </c>
    </row>
    <row r="62" spans="2:38" x14ac:dyDescent="0.2">
      <c r="B62" s="2" t="s">
        <v>95</v>
      </c>
      <c r="AE62" s="3">
        <v>13</v>
      </c>
    </row>
    <row r="63" spans="2:38" x14ac:dyDescent="0.2">
      <c r="B63" s="2" t="s">
        <v>96</v>
      </c>
      <c r="AE63" s="3">
        <f>267-106+15+2-3-16-2+69</f>
        <v>226</v>
      </c>
    </row>
    <row r="64" spans="2:38" x14ac:dyDescent="0.2">
      <c r="B64" s="2" t="s">
        <v>97</v>
      </c>
      <c r="AE64" s="5">
        <f>SUM(AE56:AE63)</f>
        <v>2983</v>
      </c>
    </row>
    <row r="66" spans="2:38" s="2" customFormat="1" x14ac:dyDescent="0.2">
      <c r="B66" s="2" t="s">
        <v>90</v>
      </c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>
        <v>-1132</v>
      </c>
      <c r="AF66" s="5"/>
      <c r="AG66" s="5"/>
      <c r="AH66" s="5"/>
      <c r="AI66" s="5"/>
      <c r="AJ66" s="5"/>
      <c r="AK66" s="5"/>
      <c r="AL66" s="5"/>
    </row>
    <row r="67" spans="2:38" s="2" customFormat="1" x14ac:dyDescent="0.2">
      <c r="B67" s="2" t="s">
        <v>98</v>
      </c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>
        <f>-3126+2013+537</f>
        <v>-576</v>
      </c>
      <c r="AF67" s="5"/>
      <c r="AG67" s="5"/>
      <c r="AH67" s="5"/>
      <c r="AI67" s="5"/>
      <c r="AJ67" s="5"/>
      <c r="AK67" s="5"/>
      <c r="AL67" s="5"/>
    </row>
    <row r="68" spans="2:38" s="2" customFormat="1" x14ac:dyDescent="0.2">
      <c r="B68" s="2" t="s">
        <v>99</v>
      </c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>
        <v>-1</v>
      </c>
      <c r="AF68" s="5"/>
      <c r="AG68" s="5"/>
      <c r="AH68" s="5"/>
      <c r="AI68" s="5"/>
      <c r="AJ68" s="5"/>
      <c r="AK68" s="5"/>
      <c r="AL68" s="5"/>
    </row>
    <row r="69" spans="2:38" s="2" customFormat="1" x14ac:dyDescent="0.2">
      <c r="B69" s="2" t="s">
        <v>100</v>
      </c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>
        <v>33</v>
      </c>
      <c r="AF69" s="5"/>
      <c r="AG69" s="5"/>
      <c r="AH69" s="5"/>
      <c r="AI69" s="5"/>
      <c r="AJ69" s="5"/>
      <c r="AK69" s="5"/>
      <c r="AL69" s="5"/>
    </row>
    <row r="70" spans="2:38" s="2" customFormat="1" x14ac:dyDescent="0.2">
      <c r="B70" s="2" t="s">
        <v>101</v>
      </c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>
        <f>SUM(AE66:AE69)</f>
        <v>-1676</v>
      </c>
      <c r="AF70" s="5"/>
      <c r="AG70" s="5"/>
      <c r="AH70" s="5"/>
      <c r="AI70" s="5"/>
      <c r="AJ70" s="5"/>
      <c r="AK70" s="5"/>
      <c r="AL70" s="5"/>
    </row>
    <row r="72" spans="2:38" x14ac:dyDescent="0.2">
      <c r="B72" s="2" t="s">
        <v>103</v>
      </c>
      <c r="AE72" s="3">
        <v>-312</v>
      </c>
    </row>
    <row r="73" spans="2:38" x14ac:dyDescent="0.2">
      <c r="B73" s="2" t="s">
        <v>94</v>
      </c>
      <c r="AE73" s="3">
        <v>494</v>
      </c>
    </row>
    <row r="74" spans="2:38" x14ac:dyDescent="0.2">
      <c r="B74" t="s">
        <v>95</v>
      </c>
      <c r="AE74" s="3">
        <v>2</v>
      </c>
    </row>
    <row r="75" spans="2:38" x14ac:dyDescent="0.2">
      <c r="B75" t="s">
        <v>102</v>
      </c>
      <c r="AE75" s="3">
        <f>SUM(AE72:AE74)</f>
        <v>184</v>
      </c>
    </row>
    <row r="77" spans="2:38" x14ac:dyDescent="0.2">
      <c r="B77" t="s">
        <v>105</v>
      </c>
      <c r="AE77" s="5">
        <f>AE75+AE70+AE64</f>
        <v>1491</v>
      </c>
    </row>
    <row r="78" spans="2:38" x14ac:dyDescent="0.2">
      <c r="B78" t="s">
        <v>104</v>
      </c>
      <c r="AE78" s="5">
        <f>AE37-AD37</f>
        <v>2187</v>
      </c>
    </row>
    <row r="79" spans="2:38" x14ac:dyDescent="0.2">
      <c r="B79" t="s">
        <v>106</v>
      </c>
      <c r="AE79" s="5">
        <f>AE64+AE66</f>
        <v>1851</v>
      </c>
    </row>
    <row r="80" spans="2:38" x14ac:dyDescent="0.2">
      <c r="B80" t="s">
        <v>107</v>
      </c>
      <c r="AE80" s="5">
        <f>AE79-AE58</f>
        <v>1104</v>
      </c>
    </row>
  </sheetData>
  <hyperlinks>
    <hyperlink ref="A1" location="Main!A1" display="Main"/>
  </hyperlinks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LOOK</cp:lastModifiedBy>
  <dcterms:created xsi:type="dcterms:W3CDTF">2016-03-08T02:28:14Z</dcterms:created>
  <dcterms:modified xsi:type="dcterms:W3CDTF">2016-10-04T06:06:34Z</dcterms:modified>
</cp:coreProperties>
</file>