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OOK\Desktop\stock-exchange-berkeley\investing spreadsheets\"/>
    </mc:Choice>
  </mc:AlternateContent>
  <bookViews>
    <workbookView xWindow="16725" yWindow="-15" windowWidth="16800" windowHeight="20535" activeTab="1"/>
  </bookViews>
  <sheets>
    <sheet name="Main" sheetId="1" r:id="rId1"/>
    <sheet name="Model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Q28" i="2" l="1"/>
  <c r="AH6" i="2"/>
  <c r="AI6" i="2" s="1"/>
  <c r="AJ6" i="2" s="1"/>
  <c r="AJ31" i="2" s="1"/>
  <c r="AG6" i="2"/>
  <c r="W11" i="2"/>
  <c r="W24" i="2"/>
  <c r="AD7" i="2"/>
  <c r="AY31" i="2"/>
  <c r="Z6" i="2"/>
  <c r="Z7" i="2"/>
  <c r="AX7" i="2" s="1"/>
  <c r="AC12" i="2"/>
  <c r="AD12" i="2"/>
  <c r="AH12" i="2" s="1"/>
  <c r="AC13" i="2"/>
  <c r="AG13" i="2"/>
  <c r="AD13" i="2"/>
  <c r="AC14" i="2"/>
  <c r="AG14" i="2" s="1"/>
  <c r="AK14" i="2" s="1"/>
  <c r="AD14" i="2"/>
  <c r="AH14" i="2"/>
  <c r="AL14" i="2" s="1"/>
  <c r="BA17" i="2"/>
  <c r="BB17" i="2"/>
  <c r="AF38" i="2"/>
  <c r="AC7" i="2"/>
  <c r="AZ17" i="2"/>
  <c r="AY11" i="2"/>
  <c r="AY16" i="2" s="1"/>
  <c r="AY15" i="2"/>
  <c r="AY19" i="2"/>
  <c r="AX11" i="2"/>
  <c r="AX16" i="2" s="1"/>
  <c r="AX15" i="2"/>
  <c r="AX19" i="2"/>
  <c r="AW11" i="2"/>
  <c r="AW16" i="2" s="1"/>
  <c r="AW15" i="2"/>
  <c r="AW19" i="2"/>
  <c r="AV11" i="2"/>
  <c r="AV15" i="2"/>
  <c r="AV16" i="2"/>
  <c r="AV18" i="2" s="1"/>
  <c r="AV20" i="2" s="1"/>
  <c r="AV19" i="2"/>
  <c r="AU11" i="2"/>
  <c r="AU15" i="2"/>
  <c r="AU16" i="2"/>
  <c r="AU17" i="2"/>
  <c r="AU19" i="2"/>
  <c r="AT11" i="2"/>
  <c r="AT15" i="2"/>
  <c r="AT16" i="2"/>
  <c r="AT18" i="2" s="1"/>
  <c r="AT19" i="2"/>
  <c r="AK6" i="2"/>
  <c r="AL6" i="2"/>
  <c r="AK13" i="2"/>
  <c r="AF7" i="2"/>
  <c r="AJ7" i="2" s="1"/>
  <c r="AJ9" i="2" s="1"/>
  <c r="AJ11" i="2" s="1"/>
  <c r="AJ12" i="2"/>
  <c r="AJ13" i="2"/>
  <c r="AJ14" i="2"/>
  <c r="AJ15" i="2"/>
  <c r="AJ16" i="2" s="1"/>
  <c r="AE7" i="2"/>
  <c r="AI7" i="2"/>
  <c r="AI30" i="2" s="1"/>
  <c r="AI9" i="2"/>
  <c r="AI11" i="2" s="1"/>
  <c r="AI12" i="2"/>
  <c r="AI13" i="2"/>
  <c r="AI14" i="2"/>
  <c r="AI15" i="2"/>
  <c r="AF11" i="2"/>
  <c r="AF16" i="2" s="1"/>
  <c r="AF18" i="2" s="1"/>
  <c r="AF15" i="2"/>
  <c r="AE11" i="2"/>
  <c r="AE15" i="2"/>
  <c r="AE16" i="2"/>
  <c r="AE18" i="2" s="1"/>
  <c r="AD10" i="2"/>
  <c r="AD11" i="2" s="1"/>
  <c r="AC10" i="2"/>
  <c r="AC11" i="2"/>
  <c r="AB10" i="2"/>
  <c r="AB11" i="2"/>
  <c r="AB16" i="2" s="1"/>
  <c r="AB12" i="2"/>
  <c r="AB15" i="2" s="1"/>
  <c r="AB13" i="2"/>
  <c r="AB14" i="2"/>
  <c r="AA11" i="2"/>
  <c r="AA16" i="2" s="1"/>
  <c r="AA18" i="2" s="1"/>
  <c r="AA20" i="2" s="1"/>
  <c r="AA26" i="2" s="1"/>
  <c r="AA12" i="2"/>
  <c r="AA13" i="2"/>
  <c r="AA14" i="2"/>
  <c r="AA15" i="2"/>
  <c r="Z10" i="2"/>
  <c r="Z11" i="2"/>
  <c r="Z12" i="2"/>
  <c r="Z15" i="2"/>
  <c r="Z16" i="2" s="1"/>
  <c r="Y11" i="2"/>
  <c r="Y16" i="2" s="1"/>
  <c r="Y15" i="2"/>
  <c r="Y18" i="2"/>
  <c r="Y20" i="2" s="1"/>
  <c r="Y26" i="2" s="1"/>
  <c r="X10" i="2"/>
  <c r="X11" i="2" s="1"/>
  <c r="X12" i="2"/>
  <c r="X13" i="2"/>
  <c r="X14" i="2"/>
  <c r="X15" i="2"/>
  <c r="W15" i="2"/>
  <c r="W16" i="2"/>
  <c r="W18" i="2" s="1"/>
  <c r="W20" i="2"/>
  <c r="W26" i="2" s="1"/>
  <c r="AF68" i="2"/>
  <c r="AE38" i="2"/>
  <c r="AF79" i="2"/>
  <c r="AF76" i="2"/>
  <c r="AF71" i="2"/>
  <c r="AF42" i="2"/>
  <c r="AF53" i="2"/>
  <c r="AF32" i="2"/>
  <c r="AE32" i="2"/>
  <c r="L5" i="1"/>
  <c r="AE76" i="2"/>
  <c r="AE68" i="2"/>
  <c r="AE71" i="2" s="1"/>
  <c r="AE53" i="2"/>
  <c r="AE42" i="2"/>
  <c r="AE35" i="2"/>
  <c r="AE31" i="2"/>
  <c r="AE44" i="2"/>
  <c r="AD50" i="2"/>
  <c r="AD53" i="2" s="1"/>
  <c r="AD42" i="2"/>
  <c r="AD44" i="2" s="1"/>
  <c r="AD38" i="2"/>
  <c r="AU35" i="2"/>
  <c r="AT24" i="2"/>
  <c r="AV35" i="2"/>
  <c r="AU24" i="2"/>
  <c r="AW35" i="2"/>
  <c r="AV24" i="2"/>
  <c r="AY35" i="2"/>
  <c r="AX35" i="2"/>
  <c r="AW24" i="2"/>
  <c r="AY24" i="2"/>
  <c r="AE79" i="2"/>
  <c r="AS4" i="2"/>
  <c r="AS5" i="2"/>
  <c r="E5" i="2"/>
  <c r="D5" i="2"/>
  <c r="C5" i="2"/>
  <c r="AY4" i="2"/>
  <c r="AX4" i="2"/>
  <c r="AW4" i="2"/>
  <c r="AW5" i="2"/>
  <c r="AV4" i="2"/>
  <c r="AV5" i="2"/>
  <c r="AU4" i="2"/>
  <c r="AU33" i="2" s="1"/>
  <c r="AU5" i="2"/>
  <c r="AT4" i="2"/>
  <c r="AT5" i="2"/>
  <c r="AX2" i="2"/>
  <c r="AW2" i="2"/>
  <c r="AV2" i="2" s="1"/>
  <c r="AU2" i="2" s="1"/>
  <c r="AT2" i="2" s="1"/>
  <c r="AS2" i="2" s="1"/>
  <c r="AR2" i="2" s="1"/>
  <c r="AQ2" i="2" s="1"/>
  <c r="AP2" i="2" s="1"/>
  <c r="AO2" i="2" s="1"/>
  <c r="AN2" i="2" s="1"/>
  <c r="I5" i="2"/>
  <c r="H5" i="2"/>
  <c r="G5" i="2"/>
  <c r="F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AD5" i="2"/>
  <c r="O34" i="2"/>
  <c r="N34" i="2"/>
  <c r="M34" i="2"/>
  <c r="R33" i="2"/>
  <c r="Q33" i="2"/>
  <c r="P33" i="2"/>
  <c r="O32" i="2"/>
  <c r="N32" i="2"/>
  <c r="M32" i="2"/>
  <c r="R31" i="2"/>
  <c r="Q31" i="2"/>
  <c r="P31" i="2"/>
  <c r="R32" i="2"/>
  <c r="Q32" i="2"/>
  <c r="P32" i="2"/>
  <c r="R34" i="2"/>
  <c r="Q34" i="2"/>
  <c r="P34" i="2"/>
  <c r="U31" i="2"/>
  <c r="T31" i="2"/>
  <c r="S31" i="2"/>
  <c r="U33" i="2"/>
  <c r="T33" i="2"/>
  <c r="S33" i="2"/>
  <c r="AC34" i="2"/>
  <c r="AB34" i="2"/>
  <c r="AA34" i="2"/>
  <c r="Z34" i="2"/>
  <c r="Y34" i="2"/>
  <c r="X34" i="2"/>
  <c r="W34" i="2"/>
  <c r="V34" i="2"/>
  <c r="U34" i="2"/>
  <c r="T34" i="2"/>
  <c r="S34" i="2"/>
  <c r="AD34" i="2"/>
  <c r="V33" i="2"/>
  <c r="Y33" i="2"/>
  <c r="X33" i="2"/>
  <c r="W33" i="2"/>
  <c r="AC33" i="2"/>
  <c r="AB33" i="2"/>
  <c r="AA33" i="2"/>
  <c r="Z33" i="2"/>
  <c r="AD33" i="2"/>
  <c r="Y7" i="2"/>
  <c r="X7" i="2"/>
  <c r="W7" i="2"/>
  <c r="AB7" i="2"/>
  <c r="AB30" i="2" s="1"/>
  <c r="AA7" i="2"/>
  <c r="AA30" i="2" s="1"/>
  <c r="S32" i="2"/>
  <c r="AC32" i="2"/>
  <c r="AB32" i="2"/>
  <c r="Y32" i="2"/>
  <c r="X32" i="2"/>
  <c r="W32" i="2"/>
  <c r="V32" i="2"/>
  <c r="U32" i="2"/>
  <c r="T32" i="2"/>
  <c r="AD32" i="2"/>
  <c r="V31" i="2"/>
  <c r="AC31" i="2"/>
  <c r="AB31" i="2"/>
  <c r="AA31" i="2"/>
  <c r="Y31" i="2"/>
  <c r="X31" i="2"/>
  <c r="W31" i="2"/>
  <c r="AX33" i="2"/>
  <c r="AX5" i="2"/>
  <c r="AV33" i="2"/>
  <c r="AE30" i="2"/>
  <c r="AW33" i="2"/>
  <c r="AT25" i="2"/>
  <c r="AU25" i="2"/>
  <c r="AT33" i="2"/>
  <c r="Z24" i="2"/>
  <c r="AD35" i="2"/>
  <c r="AZ2" i="2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AC35" i="2"/>
  <c r="AB35" i="2"/>
  <c r="AA35" i="2"/>
  <c r="AA24" i="2"/>
  <c r="AB24" i="2"/>
  <c r="Y24" i="2"/>
  <c r="AF31" i="2"/>
  <c r="AA32" i="2"/>
  <c r="Z31" i="2"/>
  <c r="AD31" i="2"/>
  <c r="Z32" i="2"/>
  <c r="AD30" i="2"/>
  <c r="L4" i="1"/>
  <c r="L7" i="1" s="1"/>
  <c r="AG31" i="2"/>
  <c r="AA25" i="2"/>
  <c r="Y25" i="2"/>
  <c r="AE24" i="2"/>
  <c r="W27" i="2"/>
  <c r="W25" i="2"/>
  <c r="AH31" i="2"/>
  <c r="AE25" i="2"/>
  <c r="AA27" i="2"/>
  <c r="AI31" i="2"/>
  <c r="AI35" i="2"/>
  <c r="AK31" i="2"/>
  <c r="AL31" i="2"/>
  <c r="AF30" i="2"/>
  <c r="AJ30" i="2"/>
  <c r="AJ10" i="2"/>
  <c r="AJ24" i="2"/>
  <c r="AF35" i="2"/>
  <c r="AJ35" i="2"/>
  <c r="AF24" i="2"/>
  <c r="AF25" i="2"/>
  <c r="AI24" i="2" l="1"/>
  <c r="AI16" i="2"/>
  <c r="AI10" i="2"/>
  <c r="X24" i="2"/>
  <c r="X16" i="2"/>
  <c r="AB18" i="2"/>
  <c r="AB25" i="2"/>
  <c r="AF27" i="2"/>
  <c r="AF20" i="2"/>
  <c r="AJ18" i="2"/>
  <c r="AJ25" i="2"/>
  <c r="AT20" i="2"/>
  <c r="AT27" i="2"/>
  <c r="AV26" i="2"/>
  <c r="AV21" i="2"/>
  <c r="AV27" i="2"/>
  <c r="AF44" i="2"/>
  <c r="AY7" i="2"/>
  <c r="AZ7" i="2" s="1"/>
  <c r="BA7" i="2" s="1"/>
  <c r="AH7" i="2"/>
  <c r="AH13" i="2"/>
  <c r="AL13" i="2" s="1"/>
  <c r="AD15" i="2"/>
  <c r="AD16" i="2" s="1"/>
  <c r="AY5" i="2"/>
  <c r="AY33" i="2"/>
  <c r="AX24" i="2"/>
  <c r="AD24" i="2"/>
  <c r="AL12" i="2"/>
  <c r="AL15" i="2" s="1"/>
  <c r="AH15" i="2"/>
  <c r="AC16" i="2"/>
  <c r="AC24" i="2"/>
  <c r="AU18" i="2"/>
  <c r="AY25" i="2"/>
  <c r="AY18" i="2"/>
  <c r="AZ14" i="2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AG12" i="2"/>
  <c r="AC15" i="2"/>
  <c r="AX18" i="2"/>
  <c r="AX25" i="2"/>
  <c r="Y27" i="2"/>
  <c r="Z25" i="2"/>
  <c r="Z18" i="2"/>
  <c r="AE27" i="2"/>
  <c r="AE20" i="2"/>
  <c r="AW25" i="2"/>
  <c r="AW18" i="2"/>
  <c r="AV25" i="2"/>
  <c r="AG7" i="2"/>
  <c r="AC30" i="2"/>
  <c r="AZ6" i="2"/>
  <c r="AD25" i="2" l="1"/>
  <c r="AD18" i="2"/>
  <c r="AC18" i="2"/>
  <c r="AC25" i="2"/>
  <c r="AB27" i="2"/>
  <c r="AB20" i="2"/>
  <c r="AB26" i="2" s="1"/>
  <c r="AH9" i="2"/>
  <c r="AL7" i="2"/>
  <c r="AH30" i="2"/>
  <c r="X18" i="2"/>
  <c r="X25" i="2"/>
  <c r="AW20" i="2"/>
  <c r="AW27" i="2"/>
  <c r="AE21" i="2"/>
  <c r="AE56" i="2"/>
  <c r="AE26" i="2"/>
  <c r="AE57" i="2"/>
  <c r="AE65" i="2" s="1"/>
  <c r="BB7" i="2"/>
  <c r="AT21" i="2"/>
  <c r="AT26" i="2"/>
  <c r="AZ13" i="2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AX20" i="2"/>
  <c r="AX27" i="2"/>
  <c r="AZ12" i="2"/>
  <c r="AG15" i="2"/>
  <c r="AK12" i="2"/>
  <c r="AK15" i="2" s="1"/>
  <c r="Z20" i="2"/>
  <c r="Z26" i="2" s="1"/>
  <c r="Z27" i="2"/>
  <c r="AJ19" i="2"/>
  <c r="AJ27" i="2" s="1"/>
  <c r="AJ20" i="2"/>
  <c r="AJ26" i="2" s="1"/>
  <c r="AI18" i="2"/>
  <c r="AI25" i="2"/>
  <c r="AZ31" i="2"/>
  <c r="BA6" i="2"/>
  <c r="AY27" i="2"/>
  <c r="AY20" i="2"/>
  <c r="AG9" i="2"/>
  <c r="AG30" i="2"/>
  <c r="AK7" i="2"/>
  <c r="AU20" i="2"/>
  <c r="AU27" i="2"/>
  <c r="AF26" i="2"/>
  <c r="AF21" i="2"/>
  <c r="AF56" i="2"/>
  <c r="AF57" i="2"/>
  <c r="AF65" i="2" s="1"/>
  <c r="AI19" i="2" l="1"/>
  <c r="AI27" i="2" s="1"/>
  <c r="AI20" i="2"/>
  <c r="AI26" i="2" s="1"/>
  <c r="AX26" i="2"/>
  <c r="AX21" i="2"/>
  <c r="AH11" i="2"/>
  <c r="AH35" i="2"/>
  <c r="AH10" i="2"/>
  <c r="AL9" i="2"/>
  <c r="AL30" i="2"/>
  <c r="AY21" i="2"/>
  <c r="AY26" i="2"/>
  <c r="AW26" i="2"/>
  <c r="AW21" i="2"/>
  <c r="AK9" i="2"/>
  <c r="AK30" i="2"/>
  <c r="AG11" i="2"/>
  <c r="AZ9" i="2"/>
  <c r="AG35" i="2"/>
  <c r="BB6" i="2"/>
  <c r="BB9" i="2" s="1"/>
  <c r="BA31" i="2"/>
  <c r="BA9" i="2"/>
  <c r="AC27" i="2"/>
  <c r="AC20" i="2"/>
  <c r="AC26" i="2" s="1"/>
  <c r="BC7" i="2"/>
  <c r="X27" i="2"/>
  <c r="X20" i="2"/>
  <c r="X26" i="2" s="1"/>
  <c r="AD27" i="2"/>
  <c r="AD20" i="2"/>
  <c r="AD26" i="2" s="1"/>
  <c r="AF80" i="2"/>
  <c r="AF81" i="2" s="1"/>
  <c r="AF78" i="2"/>
  <c r="AU21" i="2"/>
  <c r="AU26" i="2"/>
  <c r="AZ15" i="2"/>
  <c r="BA12" i="2"/>
  <c r="AE80" i="2"/>
  <c r="AE81" i="2" s="1"/>
  <c r="AE78" i="2"/>
  <c r="BB11" i="2" l="1"/>
  <c r="BB10" i="2"/>
  <c r="BB35" i="2"/>
  <c r="AG24" i="2"/>
  <c r="AG16" i="2"/>
  <c r="AL11" i="2"/>
  <c r="AL35" i="2"/>
  <c r="AL10" i="2"/>
  <c r="AK11" i="2"/>
  <c r="AK35" i="2"/>
  <c r="AH16" i="2"/>
  <c r="AH24" i="2"/>
  <c r="BA15" i="2"/>
  <c r="BB12" i="2"/>
  <c r="BA10" i="2"/>
  <c r="BA11" i="2"/>
  <c r="BA35" i="2"/>
  <c r="AG10" i="2"/>
  <c r="AZ10" i="2" s="1"/>
  <c r="BC6" i="2"/>
  <c r="BB31" i="2"/>
  <c r="BD7" i="2"/>
  <c r="BC9" i="2"/>
  <c r="AZ11" i="2"/>
  <c r="AZ35" i="2"/>
  <c r="AL24" i="2" l="1"/>
  <c r="AL16" i="2"/>
  <c r="AZ16" i="2"/>
  <c r="AZ24" i="2"/>
  <c r="BC12" i="2"/>
  <c r="BB15" i="2"/>
  <c r="AH25" i="2"/>
  <c r="AH18" i="2"/>
  <c r="BC11" i="2"/>
  <c r="BC35" i="2"/>
  <c r="BC10" i="2"/>
  <c r="BE7" i="2"/>
  <c r="AG25" i="2"/>
  <c r="AG18" i="2"/>
  <c r="BD6" i="2"/>
  <c r="BD9" i="2" s="1"/>
  <c r="BC31" i="2"/>
  <c r="AK16" i="2"/>
  <c r="AK24" i="2"/>
  <c r="BA16" i="2"/>
  <c r="BA24" i="2"/>
  <c r="AK10" i="2"/>
  <c r="BB24" i="2"/>
  <c r="BB16" i="2"/>
  <c r="BD11" i="2" l="1"/>
  <c r="BD35" i="2"/>
  <c r="BD10" i="2"/>
  <c r="AH19" i="2"/>
  <c r="AH27" i="2" s="1"/>
  <c r="BE6" i="2"/>
  <c r="BD31" i="2"/>
  <c r="AG19" i="2"/>
  <c r="AG27" i="2" s="1"/>
  <c r="BA18" i="2"/>
  <c r="BA25" i="2"/>
  <c r="AZ18" i="2"/>
  <c r="AZ25" i="2"/>
  <c r="BB25" i="2"/>
  <c r="BB18" i="2"/>
  <c r="BD12" i="2"/>
  <c r="BC15" i="2"/>
  <c r="AL18" i="2"/>
  <c r="AL25" i="2"/>
  <c r="BF7" i="2"/>
  <c r="AK18" i="2"/>
  <c r="AK25" i="2"/>
  <c r="BC16" i="2"/>
  <c r="BC24" i="2"/>
  <c r="BE12" i="2" l="1"/>
  <c r="BD15" i="2"/>
  <c r="BF6" i="2"/>
  <c r="BE31" i="2"/>
  <c r="BE9" i="2"/>
  <c r="BC25" i="2"/>
  <c r="BB19" i="2"/>
  <c r="BB27" i="2" s="1"/>
  <c r="BG7" i="2"/>
  <c r="AH20" i="2"/>
  <c r="AH26" i="2" s="1"/>
  <c r="AL19" i="2"/>
  <c r="AL27" i="2" s="1"/>
  <c r="AK19" i="2"/>
  <c r="AK27" i="2" s="1"/>
  <c r="AK20" i="2"/>
  <c r="AK26" i="2" s="1"/>
  <c r="AZ19" i="2"/>
  <c r="AZ27" i="2" s="1"/>
  <c r="BA19" i="2"/>
  <c r="BA27" i="2" s="1"/>
  <c r="BA20" i="2"/>
  <c r="AG20" i="2"/>
  <c r="BD16" i="2"/>
  <c r="BD24" i="2"/>
  <c r="BD25" i="2" l="1"/>
  <c r="BH7" i="2"/>
  <c r="BG6" i="2"/>
  <c r="BG9" i="2" s="1"/>
  <c r="BF31" i="2"/>
  <c r="AL20" i="2"/>
  <c r="AL26" i="2" s="1"/>
  <c r="BE10" i="2"/>
  <c r="BE11" i="2"/>
  <c r="BE35" i="2"/>
  <c r="AZ20" i="2"/>
  <c r="AZ26" i="2" s="1"/>
  <c r="BF9" i="2"/>
  <c r="AG26" i="2"/>
  <c r="AG38" i="2"/>
  <c r="AH38" i="2" s="1"/>
  <c r="AZ38" i="2" s="1"/>
  <c r="BA38" i="2" s="1"/>
  <c r="BB38" i="2" s="1"/>
  <c r="BA26" i="2"/>
  <c r="BB20" i="2"/>
  <c r="BB26" i="2" s="1"/>
  <c r="BE15" i="2"/>
  <c r="BF12" i="2"/>
  <c r="BG11" i="2" l="1"/>
  <c r="BG35" i="2"/>
  <c r="BG10" i="2"/>
  <c r="BC17" i="2"/>
  <c r="BC18" i="2" s="1"/>
  <c r="BI7" i="2"/>
  <c r="BH6" i="2"/>
  <c r="BH9" i="2" s="1"/>
  <c r="BG31" i="2"/>
  <c r="BF11" i="2"/>
  <c r="BF35" i="2"/>
  <c r="BF10" i="2"/>
  <c r="BF15" i="2"/>
  <c r="BG12" i="2"/>
  <c r="BE16" i="2"/>
  <c r="BE24" i="2"/>
  <c r="BH11" i="2" l="1"/>
  <c r="BH10" i="2"/>
  <c r="BH35" i="2"/>
  <c r="BH12" i="2"/>
  <c r="BG15" i="2"/>
  <c r="BE25" i="2"/>
  <c r="BI6" i="2"/>
  <c r="BH31" i="2"/>
  <c r="BC19" i="2"/>
  <c r="BC27" i="2" s="1"/>
  <c r="BJ7" i="2"/>
  <c r="BF16" i="2"/>
  <c r="BF24" i="2"/>
  <c r="BG16" i="2"/>
  <c r="BG24" i="2"/>
  <c r="BG25" i="2" l="1"/>
  <c r="BF25" i="2"/>
  <c r="BH15" i="2"/>
  <c r="BH16" i="2" s="1"/>
  <c r="BI12" i="2"/>
  <c r="BJ6" i="2"/>
  <c r="BJ9" i="2" s="1"/>
  <c r="BI31" i="2"/>
  <c r="BI9" i="2"/>
  <c r="BC20" i="2"/>
  <c r="BK7" i="2"/>
  <c r="BH24" i="2"/>
  <c r="BJ11" i="2" l="1"/>
  <c r="BJ10" i="2" s="1"/>
  <c r="BJ35" i="2"/>
  <c r="BH25" i="2"/>
  <c r="BI11" i="2"/>
  <c r="BI10" i="2"/>
  <c r="BI35" i="2"/>
  <c r="BK6" i="2"/>
  <c r="BJ31" i="2"/>
  <c r="BI15" i="2"/>
  <c r="BJ12" i="2"/>
  <c r="BL7" i="2"/>
  <c r="BC26" i="2"/>
  <c r="BC38" i="2"/>
  <c r="BD17" i="2" l="1"/>
  <c r="BD18" i="2" s="1"/>
  <c r="BL6" i="2"/>
  <c r="BK31" i="2"/>
  <c r="BK9" i="2"/>
  <c r="BJ15" i="2"/>
  <c r="BJ16" i="2" s="1"/>
  <c r="BK12" i="2"/>
  <c r="BJ24" i="2"/>
  <c r="BI16" i="2"/>
  <c r="BI24" i="2"/>
  <c r="BL9" i="2"/>
  <c r="BM7" i="2"/>
  <c r="BJ25" i="2" l="1"/>
  <c r="BL11" i="2"/>
  <c r="BL35" i="2"/>
  <c r="BL10" i="2"/>
  <c r="BN7" i="2"/>
  <c r="BM6" i="2"/>
  <c r="BM9" i="2" s="1"/>
  <c r="BL31" i="2"/>
  <c r="BK11" i="2"/>
  <c r="BK10" i="2"/>
  <c r="BK35" i="2"/>
  <c r="BD19" i="2"/>
  <c r="BD27" i="2" s="1"/>
  <c r="BK15" i="2"/>
  <c r="BL12" i="2"/>
  <c r="BI25" i="2"/>
  <c r="BM11" i="2" l="1"/>
  <c r="BM10" i="2"/>
  <c r="BM35" i="2"/>
  <c r="BN9" i="2"/>
  <c r="BM12" i="2"/>
  <c r="BL15" i="2"/>
  <c r="BL16" i="2" s="1"/>
  <c r="BD20" i="2"/>
  <c r="BK16" i="2"/>
  <c r="BK24" i="2"/>
  <c r="BN6" i="2"/>
  <c r="BN31" i="2" s="1"/>
  <c r="BM31" i="2"/>
  <c r="BL24" i="2"/>
  <c r="BL25" i="2" l="1"/>
  <c r="BN11" i="2"/>
  <c r="BN35" i="2"/>
  <c r="BN10" i="2"/>
  <c r="BK25" i="2"/>
  <c r="BD26" i="2"/>
  <c r="BD38" i="2"/>
  <c r="BM15" i="2"/>
  <c r="BN12" i="2"/>
  <c r="BN15" i="2" s="1"/>
  <c r="BM16" i="2"/>
  <c r="BM24" i="2"/>
  <c r="BN16" i="2" l="1"/>
  <c r="BN24" i="2"/>
  <c r="BM25" i="2"/>
  <c r="BE17" i="2"/>
  <c r="BE18" i="2" s="1"/>
  <c r="BE19" i="2" l="1"/>
  <c r="BE27" i="2" s="1"/>
  <c r="BN25" i="2"/>
  <c r="BE20" i="2" l="1"/>
  <c r="BE26" i="2" l="1"/>
  <c r="BE38" i="2"/>
  <c r="BF17" i="2" l="1"/>
  <c r="BF18" i="2" s="1"/>
  <c r="BF19" i="2" l="1"/>
  <c r="BF27" i="2" s="1"/>
  <c r="BF20" i="2" l="1"/>
  <c r="BF26" i="2" l="1"/>
  <c r="BF38" i="2"/>
  <c r="BG17" i="2" l="1"/>
  <c r="BG18" i="2" s="1"/>
  <c r="BG19" i="2" l="1"/>
  <c r="BG27" i="2" s="1"/>
  <c r="BG20" i="2" l="1"/>
  <c r="BG26" i="2" l="1"/>
  <c r="BG38" i="2"/>
  <c r="BH17" i="2" l="1"/>
  <c r="BH18" i="2" s="1"/>
  <c r="BH19" i="2" l="1"/>
  <c r="BH27" i="2" s="1"/>
  <c r="BH20" i="2" l="1"/>
  <c r="BH26" i="2" l="1"/>
  <c r="BH38" i="2"/>
  <c r="BI17" i="2" l="1"/>
  <c r="BI18" i="2" s="1"/>
  <c r="BI19" i="2" l="1"/>
  <c r="BI27" i="2" s="1"/>
  <c r="BI20" i="2" l="1"/>
  <c r="BI26" i="2" l="1"/>
  <c r="BI38" i="2"/>
  <c r="BJ17" i="2" l="1"/>
  <c r="BJ18" i="2" s="1"/>
  <c r="BJ20" i="2" l="1"/>
  <c r="BJ19" i="2"/>
  <c r="BJ27" i="2" s="1"/>
  <c r="BJ26" i="2" l="1"/>
  <c r="BJ38" i="2"/>
  <c r="BK17" i="2" l="1"/>
  <c r="BK18" i="2" s="1"/>
  <c r="BK19" i="2" l="1"/>
  <c r="BK27" i="2" s="1"/>
  <c r="BK20" i="2" l="1"/>
  <c r="BK26" i="2" l="1"/>
  <c r="BK38" i="2"/>
  <c r="BL17" i="2" l="1"/>
  <c r="BL18" i="2" s="1"/>
  <c r="BL19" i="2" l="1"/>
  <c r="BL27" i="2" s="1"/>
  <c r="BL20" i="2" l="1"/>
  <c r="BL26" i="2" l="1"/>
  <c r="BL38" i="2"/>
  <c r="BM17" i="2" l="1"/>
  <c r="BM18" i="2" s="1"/>
  <c r="BM19" i="2" l="1"/>
  <c r="BM27" i="2" s="1"/>
  <c r="BM20" i="2" l="1"/>
  <c r="BM26" i="2" l="1"/>
  <c r="BM38" i="2"/>
  <c r="BN17" i="2" l="1"/>
  <c r="BN18" i="2" s="1"/>
  <c r="BN19" i="2" l="1"/>
  <c r="BN27" i="2" s="1"/>
  <c r="BN20" i="2" l="1"/>
  <c r="BO20" i="2" l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EL20" i="2" s="1"/>
  <c r="EM20" i="2" s="1"/>
  <c r="EN20" i="2" s="1"/>
  <c r="EO20" i="2" s="1"/>
  <c r="EP20" i="2" s="1"/>
  <c r="EQ20" i="2" s="1"/>
  <c r="ER20" i="2" s="1"/>
  <c r="ES20" i="2" s="1"/>
  <c r="ET20" i="2" s="1"/>
  <c r="EU20" i="2" s="1"/>
  <c r="EV20" i="2" s="1"/>
  <c r="EW20" i="2" s="1"/>
  <c r="EX20" i="2" s="1"/>
  <c r="EY20" i="2" s="1"/>
  <c r="EZ20" i="2" s="1"/>
  <c r="FA20" i="2" s="1"/>
  <c r="FB20" i="2" s="1"/>
  <c r="FC20" i="2" s="1"/>
  <c r="BN26" i="2"/>
  <c r="BN38" i="2"/>
  <c r="FD20" i="2" l="1"/>
  <c r="FE20" i="2" s="1"/>
  <c r="FF20" i="2" s="1"/>
  <c r="FG20" i="2" s="1"/>
  <c r="FH20" i="2" s="1"/>
  <c r="FI20" i="2" s="1"/>
  <c r="FJ20" i="2" s="1"/>
  <c r="FK20" i="2" s="1"/>
  <c r="FL20" i="2" s="1"/>
  <c r="FM20" i="2" s="1"/>
  <c r="FN20" i="2" s="1"/>
  <c r="FO20" i="2" s="1"/>
  <c r="FP20" i="2" s="1"/>
  <c r="FQ20" i="2" s="1"/>
  <c r="FR20" i="2" s="1"/>
  <c r="FS20" i="2" s="1"/>
  <c r="FT20" i="2" s="1"/>
  <c r="FU20" i="2" s="1"/>
  <c r="FV20" i="2" s="1"/>
  <c r="FW20" i="2" s="1"/>
  <c r="FX20" i="2" s="1"/>
  <c r="FY20" i="2" s="1"/>
  <c r="FZ20" i="2" s="1"/>
  <c r="GA20" i="2" s="1"/>
  <c r="GB20" i="2" s="1"/>
  <c r="GC20" i="2" s="1"/>
  <c r="GD20" i="2" s="1"/>
  <c r="GE20" i="2" s="1"/>
  <c r="GF20" i="2" s="1"/>
  <c r="BQ27" i="2"/>
  <c r="BQ29" i="2" s="1"/>
  <c r="BQ30" i="2" s="1"/>
</calcChain>
</file>

<file path=xl/comments1.xml><?xml version="1.0" encoding="utf-8"?>
<comments xmlns="http://schemas.openxmlformats.org/spreadsheetml/2006/main">
  <authors>
    <author>Editor 1</author>
    <author>LOOK</author>
  </authors>
  <commentList>
    <comment ref="B6" authorId="0" shapeId="0">
      <text>
        <r>
          <rPr>
            <b/>
            <sz val="9"/>
            <color indexed="81"/>
            <rFont val="Arial"/>
            <family val="2"/>
          </rPr>
          <t>daily active uers</t>
        </r>
      </text>
    </comment>
    <comment ref="B7" authorId="0" shapeId="0">
      <text>
        <r>
          <rPr>
            <b/>
            <sz val="9"/>
            <color indexed="81"/>
            <rFont val="Arial"/>
            <family val="2"/>
          </rPr>
          <t>Editor 1:</t>
        </r>
        <r>
          <rPr>
            <sz val="9"/>
            <color indexed="81"/>
            <rFont val="Arial"/>
            <family val="2"/>
          </rPr>
          <t xml:space="preserve">
average revenue per user</t>
        </r>
      </text>
    </comment>
    <comment ref="B9" authorId="1" shapeId="0">
      <text>
        <r>
          <rPr>
            <b/>
            <sz val="9"/>
            <color indexed="81"/>
            <rFont val="Tahoma"/>
            <charset val="1"/>
          </rPr>
          <t>LOOK:</t>
        </r>
        <r>
          <rPr>
            <sz val="9"/>
            <color indexed="81"/>
            <rFont val="Tahoma"/>
            <charset val="1"/>
          </rPr>
          <t xml:space="preserve">
For 2015, 2014, and 2013, advertising accounted for 95%, 92% and 89%, respectively, of our revenue. </t>
        </r>
      </text>
    </comment>
  </commentList>
</comments>
</file>

<file path=xl/sharedStrings.xml><?xml version="1.0" encoding="utf-8"?>
<sst xmlns="http://schemas.openxmlformats.org/spreadsheetml/2006/main" count="127" uniqueCount="119">
  <si>
    <t>Price</t>
  </si>
  <si>
    <t>Shares</t>
  </si>
  <si>
    <t>MC</t>
  </si>
  <si>
    <t>Cash</t>
  </si>
  <si>
    <t>Debt</t>
  </si>
  <si>
    <t>EV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</si>
  <si>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</si>
  <si>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</si>
  <si>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</si>
  <si>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</si>
  <si>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</si>
  <si>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</si>
  <si>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</si>
  <si>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</si>
  <si>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</si>
  <si>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</si>
  <si>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</si>
  <si>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</si>
  <si>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</si>
  <si>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Revenue y/y</t>
  </si>
  <si>
    <t>COGS</t>
  </si>
  <si>
    <t>Gross Profit</t>
  </si>
  <si>
    <t>R&amp;D</t>
  </si>
  <si>
    <t>M&amp;S</t>
  </si>
  <si>
    <t>G&amp;A</t>
  </si>
  <si>
    <t>Operating Income</t>
  </si>
  <si>
    <t>Interest Income</t>
  </si>
  <si>
    <t>Pretax Income</t>
  </si>
  <si>
    <t>Tax Rate</t>
  </si>
  <si>
    <t>Gross Margin</t>
  </si>
  <si>
    <t>Net Income</t>
  </si>
  <si>
    <t>Taxes</t>
  </si>
  <si>
    <t>ARPU</t>
  </si>
  <si>
    <t>ARPU Growth</t>
  </si>
  <si>
    <t>Maturity</t>
  </si>
  <si>
    <t>Discount</t>
  </si>
  <si>
    <t>NPV</t>
  </si>
  <si>
    <t>Share</t>
  </si>
  <si>
    <t>Operating Margin</t>
  </si>
  <si>
    <t>Q113</t>
  </si>
  <si>
    <t>Q213</t>
  </si>
  <si>
    <t>Q313</t>
  </si>
  <si>
    <t>Q413</t>
  </si>
  <si>
    <t>Q112</t>
  </si>
  <si>
    <t>Q212</t>
  </si>
  <si>
    <t>Q312</t>
  </si>
  <si>
    <t>Q412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</si>
  <si>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</si>
  <si>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</si>
  <si>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</si>
  <si>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</si>
  <si>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</si>
  <si>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</si>
  <si>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</si>
  <si>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</si>
  <si>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</si>
  <si>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</si>
  <si>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</si>
  <si>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</si>
  <si>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User Growth Y/Y</t>
  </si>
  <si>
    <t>User Growth Q/Q</t>
  </si>
  <si>
    <t>DAU WW</t>
  </si>
  <si>
    <t>DAU US+Canada</t>
  </si>
  <si>
    <t>DAU US Y/Y</t>
  </si>
  <si>
    <t>DAU US Q/Q</t>
  </si>
  <si>
    <t>Global MAU</t>
  </si>
  <si>
    <t>EPS</t>
  </si>
  <si>
    <t>A/R</t>
  </si>
  <si>
    <t>Prepaids</t>
  </si>
  <si>
    <t>PP&amp;E</t>
  </si>
  <si>
    <t>Goodwill</t>
  </si>
  <si>
    <t>OA</t>
  </si>
  <si>
    <t>Assets</t>
  </si>
  <si>
    <t>AP</t>
  </si>
  <si>
    <t>Partners Payable</t>
  </si>
  <si>
    <t>AE</t>
  </si>
  <si>
    <t>DR</t>
  </si>
  <si>
    <t>Lease</t>
  </si>
  <si>
    <t>OL</t>
  </si>
  <si>
    <t>S/E</t>
  </si>
  <si>
    <t>L+S/E</t>
  </si>
  <si>
    <t>ROIC</t>
  </si>
  <si>
    <t>Main</t>
  </si>
  <si>
    <t>Q117</t>
  </si>
  <si>
    <t>Q217</t>
  </si>
  <si>
    <t>Q317</t>
  </si>
  <si>
    <t>Q417</t>
  </si>
  <si>
    <t>Model NI</t>
  </si>
  <si>
    <t>Reported NI</t>
  </si>
  <si>
    <t>CapEx</t>
  </si>
  <si>
    <t>D&amp;A</t>
  </si>
  <si>
    <t>SBC</t>
  </si>
  <si>
    <t>D/T</t>
  </si>
  <si>
    <t>ETB</t>
  </si>
  <si>
    <t>Other</t>
  </si>
  <si>
    <t>A/L</t>
  </si>
  <si>
    <t>CFFO</t>
  </si>
  <si>
    <t>Marketable</t>
  </si>
  <si>
    <t>Acquisitions</t>
  </si>
  <si>
    <t>Restricted</t>
  </si>
  <si>
    <t>CFFI</t>
  </si>
  <si>
    <t>CFFF</t>
  </si>
  <si>
    <t>Capital Lease</t>
  </si>
  <si>
    <t>CINC</t>
  </si>
  <si>
    <t>Change in Cash</t>
  </si>
  <si>
    <t>FCF</t>
  </si>
  <si>
    <t>FCF-SBC</t>
  </si>
  <si>
    <t>Net Margin</t>
  </si>
  <si>
    <t>Current</t>
  </si>
  <si>
    <t>Operating Expenses</t>
  </si>
  <si>
    <t>Competition</t>
  </si>
  <si>
    <t>Department</t>
  </si>
  <si>
    <t>Social Media</t>
  </si>
  <si>
    <t>VR</t>
  </si>
  <si>
    <t>Messaging</t>
  </si>
  <si>
    <t>Google Plus, SnapChat, LinkedIn</t>
  </si>
  <si>
    <t>HTC Vive, Samsung Gear, Google DayDream</t>
  </si>
  <si>
    <t>WeChat, LINE, Skype, QQ</t>
  </si>
  <si>
    <t>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</si>
</sst>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11"/>
      <color rgb="FF000000"/>
      <name val="Arial"/>
    </font>
    <font>
      <u/>
      <sz val="10"/>
      <color theme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9" fontId="1" fillId="0" borderId="0" xfId="0" applyNumberFormat="1" applyFont="1"/>
    <xf numFmtId="4" fontId="1" fillId="0" borderId="0" xfId="0" applyNumberFormat="1" applyFont="1" applyAlignment="1">
      <alignment horizontal="right"/>
    </xf>
    <xf numFmtId="3" fontId="0" fillId="0" borderId="0" xfId="0" applyNumberFormat="1" applyFont="1"/>
    <xf numFmtId="9" fontId="0" fillId="0" borderId="0" xfId="0" applyNumberFormat="1"/>
    <xf numFmtId="4" fontId="1" fillId="0" borderId="0" xfId="0" applyNumberFormat="1" applyFont="1"/>
    <xf numFmtId="3" fontId="2" fillId="0" borderId="0" xfId="0" applyNumberFormat="1" applyFont="1" applyAlignment="1">
      <alignment horizontal="right"/>
    </xf>
    <xf numFmtId="0" fontId="3" fillId="0" borderId="0" xfId="1"/>
    <xf numFmtId="4" fontId="0" fillId="0" borderId="0" xfId="0" applyNumberFormat="1" applyAlignment="1">
      <alignment horizontal="right"/>
    </xf>
    <xf numFmtId="16" fontId="0" fillId="0" borderId="0" xfId="0" applyNumberFormat="1"/>
    <xf numFmtId="14" fontId="6" fillId="0" borderId="0" xfId="0" applyNumberFormat="1" applyFont="1"/>
    <xf numFmtId="8" fontId="0" fillId="0" borderId="0" xfId="0" applyNumberFormat="1" applyAlignment="1">
      <alignment horizontal="right"/>
    </xf>
  </cellXfs>
  <cellStyles count="2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39370</xdr:colOff>
      <xdr:row>0</xdr:row>
      <xdr:rowOff>0</xdr:rowOff>
    </xdr:from>
    <xdr:to>
      <xdr:col>32</xdr:col>
      <xdr:colOff>39370</xdr:colOff>
      <xdr:row>82</xdr:row>
      <xdr:rowOff>104775</xdr:rowOff>
    </xdr:to>
    <xdr:cxnSp macro="">
      <xdr:nvCxnSpPr>
        <xdr:cNvPr id="3" name="Straight Connector 2"/>
        <xdr:cNvCxnSpPr/>
      </xdr:nvCxnSpPr>
      <xdr:spPr>
        <a:xfrm>
          <a:off x="21741130" y="0"/>
          <a:ext cx="0" cy="124593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0</xdr:row>
      <xdr:rowOff>16566</xdr:rowOff>
    </xdr:from>
    <xdr:to>
      <xdr:col>51</xdr:col>
      <xdr:colOff>38100</xdr:colOff>
      <xdr:row>54</xdr:row>
      <xdr:rowOff>16566</xdr:rowOff>
    </xdr:to>
    <xdr:cxnSp macro="">
      <xdr:nvCxnSpPr>
        <xdr:cNvPr id="4" name="Straight Connector 3"/>
        <xdr:cNvCxnSpPr/>
      </xdr:nvCxnSpPr>
      <xdr:spPr>
        <a:xfrm>
          <a:off x="30393861" y="16566"/>
          <a:ext cx="0" cy="89617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zoomScale="130" zoomScaleNormal="130" zoomScalePageLayoutView="130" workbookViewId="0">
      <selection activeCell="G20" sqref="G20"/>
    </sheetView>
  </sheetViews>
  <sheetFormatPr defaultColWidth="8.85546875" defaultRowHeight="12.75" x14ac:dyDescent="0.2"/>
  <sheetData>
    <row r="2" spans="2:14" x14ac:dyDescent="0.2">
      <c r="B2" t="s">
        <v>111</v>
      </c>
      <c r="F2" t="s">
        <v>110</v>
      </c>
      <c r="K2" t="s">
        <v>0</v>
      </c>
      <c r="L2" s="1">
        <v>128.69</v>
      </c>
      <c r="N2" s="20">
        <v>42640</v>
      </c>
    </row>
    <row r="3" spans="2:14" x14ac:dyDescent="0.2">
      <c r="B3" t="s">
        <v>112</v>
      </c>
      <c r="F3" t="s">
        <v>115</v>
      </c>
      <c r="K3" t="s">
        <v>1</v>
      </c>
      <c r="L3" s="2">
        <v>2856</v>
      </c>
      <c r="M3" s="3" t="s">
        <v>15</v>
      </c>
    </row>
    <row r="4" spans="2:14" x14ac:dyDescent="0.2">
      <c r="B4" t="s">
        <v>113</v>
      </c>
      <c r="F4" t="s">
        <v>116</v>
      </c>
      <c r="K4" t="s">
        <v>2</v>
      </c>
      <c r="L4" s="2">
        <f>+L3*L2</f>
        <v>367538.64</v>
      </c>
      <c r="M4" s="3"/>
    </row>
    <row r="5" spans="2:14" x14ac:dyDescent="0.2">
      <c r="B5" t="s">
        <v>114</v>
      </c>
      <c r="F5" t="s">
        <v>117</v>
      </c>
      <c r="K5" t="s">
        <v>3</v>
      </c>
      <c r="L5" s="2">
        <f>5108+18185</f>
        <v>23293</v>
      </c>
      <c r="M5" s="3" t="s">
        <v>15</v>
      </c>
    </row>
    <row r="6" spans="2:14" x14ac:dyDescent="0.2">
      <c r="B6" t="s">
        <v>118</v>
      </c>
      <c r="K6" t="s">
        <v>4</v>
      </c>
      <c r="L6" s="2">
        <v>0</v>
      </c>
      <c r="M6" s="3" t="s">
        <v>15</v>
      </c>
    </row>
    <row r="7" spans="2:14" x14ac:dyDescent="0.2">
      <c r="K7" t="s">
        <v>5</v>
      </c>
      <c r="L7" s="2">
        <f>+L4-L5+L6</f>
        <v>344245.64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F81"/>
  <sheetViews>
    <sheetView tabSelected="1" zoomScaleNormal="100" zoomScalePageLayoutView="12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5" sqref="L15"/>
    </sheetView>
  </sheetViews>
  <sheetFormatPr defaultColWidth="8.85546875" defaultRowHeight="12.75" x14ac:dyDescent="0.2"/>
  <cols>
    <col min="1" max="1" width="5" bestFit="1" customWidth="1"/>
    <col min="2" max="2" width="18.140625" bestFit="1" customWidth="1"/>
    <col min="3" max="22" width="8.85546875" style="3"/>
    <col min="23" max="25" width="10.140625" style="3" bestFit="1" customWidth="1"/>
    <col min="26" max="26" width="11.28515625" style="3" bestFit="1" customWidth="1"/>
    <col min="27" max="29" width="10.140625" style="3" bestFit="1" customWidth="1"/>
    <col min="30" max="30" width="11.28515625" style="3" bestFit="1" customWidth="1"/>
    <col min="31" max="32" width="10.140625" style="3" bestFit="1" customWidth="1"/>
    <col min="33" max="38" width="8.85546875" style="3"/>
    <col min="69" max="69" width="9.42578125" customWidth="1"/>
  </cols>
  <sheetData>
    <row r="1" spans="1:66" ht="14.25" x14ac:dyDescent="0.2">
      <c r="A1" s="18" t="s">
        <v>82</v>
      </c>
      <c r="W1" s="21">
        <v>41729</v>
      </c>
      <c r="X1" s="21">
        <v>41820</v>
      </c>
      <c r="Y1" s="21">
        <v>41912</v>
      </c>
      <c r="Z1" s="21">
        <v>42004</v>
      </c>
      <c r="AA1" s="21">
        <v>42094</v>
      </c>
      <c r="AB1" s="21">
        <v>42185</v>
      </c>
      <c r="AC1" s="21">
        <v>42277</v>
      </c>
      <c r="AD1" s="21">
        <v>42369</v>
      </c>
      <c r="AE1" s="21">
        <v>42460</v>
      </c>
      <c r="AF1" s="21">
        <v>42551</v>
      </c>
    </row>
    <row r="2" spans="1:66" x14ac:dyDescent="0.2">
      <c r="C2" s="3" t="s">
        <v>55</v>
      </c>
      <c r="D2" s="3" t="s">
        <v>56</v>
      </c>
      <c r="E2" s="3" t="s">
        <v>57</v>
      </c>
      <c r="F2" s="3" t="s">
        <v>58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47</v>
      </c>
      <c r="L2" s="3" t="s">
        <v>48</v>
      </c>
      <c r="M2" s="3" t="s">
        <v>49</v>
      </c>
      <c r="N2" s="3" t="s">
        <v>50</v>
      </c>
      <c r="O2" s="3" t="s">
        <v>43</v>
      </c>
      <c r="P2" s="3" t="s">
        <v>44</v>
      </c>
      <c r="Q2" s="3" t="s">
        <v>45</v>
      </c>
      <c r="R2" s="3" t="s">
        <v>46</v>
      </c>
      <c r="S2" s="3" t="s">
        <v>39</v>
      </c>
      <c r="T2" s="3" t="s">
        <v>40</v>
      </c>
      <c r="U2" s="3" t="s">
        <v>41</v>
      </c>
      <c r="V2" s="3" t="s">
        <v>42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6</v>
      </c>
      <c r="AE2" s="3" t="s">
        <v>15</v>
      </c>
      <c r="AF2" s="3" t="s">
        <v>16</v>
      </c>
      <c r="AG2" s="3" t="s">
        <v>17</v>
      </c>
      <c r="AH2" s="3" t="s">
        <v>18</v>
      </c>
      <c r="AI2" s="3" t="s">
        <v>83</v>
      </c>
      <c r="AJ2" s="3" t="s">
        <v>84</v>
      </c>
      <c r="AK2" s="3" t="s">
        <v>85</v>
      </c>
      <c r="AL2" s="3" t="s">
        <v>86</v>
      </c>
      <c r="AN2">
        <f t="shared" ref="AN2:AW2" si="0">+AO2-1</f>
        <v>2004</v>
      </c>
      <c r="AO2">
        <f t="shared" si="0"/>
        <v>2005</v>
      </c>
      <c r="AP2">
        <f t="shared" si="0"/>
        <v>2006</v>
      </c>
      <c r="AQ2">
        <f t="shared" si="0"/>
        <v>2007</v>
      </c>
      <c r="AR2">
        <f t="shared" si="0"/>
        <v>2008</v>
      </c>
      <c r="AS2">
        <f t="shared" si="0"/>
        <v>2009</v>
      </c>
      <c r="AT2">
        <f t="shared" si="0"/>
        <v>2010</v>
      </c>
      <c r="AU2">
        <f t="shared" si="0"/>
        <v>2011</v>
      </c>
      <c r="AV2">
        <f t="shared" si="0"/>
        <v>2012</v>
      </c>
      <c r="AW2">
        <f t="shared" si="0"/>
        <v>2013</v>
      </c>
      <c r="AX2">
        <f>+AY2-1</f>
        <v>2014</v>
      </c>
      <c r="AY2">
        <v>2015</v>
      </c>
      <c r="AZ2">
        <f>+AY2+1</f>
        <v>2016</v>
      </c>
      <c r="BA2">
        <f t="shared" ref="BA2:BN2" si="1">+AZ2+1</f>
        <v>2017</v>
      </c>
      <c r="BB2">
        <f t="shared" si="1"/>
        <v>2018</v>
      </c>
      <c r="BC2">
        <f t="shared" si="1"/>
        <v>2019</v>
      </c>
      <c r="BD2">
        <f t="shared" si="1"/>
        <v>2020</v>
      </c>
      <c r="BE2">
        <f t="shared" si="1"/>
        <v>2021</v>
      </c>
      <c r="BF2">
        <f t="shared" si="1"/>
        <v>2022</v>
      </c>
      <c r="BG2">
        <f t="shared" si="1"/>
        <v>2023</v>
      </c>
      <c r="BH2">
        <f t="shared" si="1"/>
        <v>2024</v>
      </c>
      <c r="BI2">
        <f t="shared" si="1"/>
        <v>2025</v>
      </c>
      <c r="BJ2">
        <f t="shared" si="1"/>
        <v>2026</v>
      </c>
      <c r="BK2">
        <f t="shared" si="1"/>
        <v>2027</v>
      </c>
      <c r="BL2">
        <f t="shared" si="1"/>
        <v>2028</v>
      </c>
      <c r="BM2">
        <f t="shared" si="1"/>
        <v>2029</v>
      </c>
      <c r="BN2">
        <f t="shared" si="1"/>
        <v>2030</v>
      </c>
    </row>
    <row r="3" spans="1:66" x14ac:dyDescent="0.2">
      <c r="B3" t="s">
        <v>65</v>
      </c>
      <c r="AN3">
        <v>1</v>
      </c>
      <c r="AO3">
        <v>6</v>
      </c>
      <c r="AP3">
        <v>12</v>
      </c>
      <c r="AQ3">
        <v>58</v>
      </c>
      <c r="AR3">
        <v>145</v>
      </c>
      <c r="AS3">
        <v>360</v>
      </c>
      <c r="AT3">
        <v>608</v>
      </c>
      <c r="AU3">
        <v>845</v>
      </c>
    </row>
    <row r="4" spans="1:66" x14ac:dyDescent="0.2">
      <c r="B4" t="s">
        <v>62</v>
      </c>
      <c r="C4" s="3">
        <v>35</v>
      </c>
      <c r="D4" s="3">
        <v>40</v>
      </c>
      <c r="E4" s="3">
        <v>53</v>
      </c>
      <c r="F4" s="3">
        <v>64</v>
      </c>
      <c r="G4" s="3">
        <v>82</v>
      </c>
      <c r="H4" s="3">
        <v>85</v>
      </c>
      <c r="I4" s="3">
        <v>92</v>
      </c>
      <c r="J4" s="3">
        <v>99</v>
      </c>
      <c r="K4" s="3">
        <v>105</v>
      </c>
      <c r="L4" s="3">
        <v>117</v>
      </c>
      <c r="M4" s="3">
        <v>124</v>
      </c>
      <c r="N4" s="3">
        <v>126</v>
      </c>
      <c r="O4" s="3">
        <v>129</v>
      </c>
      <c r="P4" s="3">
        <v>130</v>
      </c>
      <c r="Q4" s="3">
        <v>132</v>
      </c>
      <c r="R4" s="3">
        <v>135</v>
      </c>
      <c r="S4" s="3">
        <v>139</v>
      </c>
      <c r="T4" s="3">
        <v>142</v>
      </c>
      <c r="U4" s="3">
        <v>144</v>
      </c>
      <c r="V4" s="3">
        <v>147</v>
      </c>
      <c r="W4" s="3">
        <v>150</v>
      </c>
      <c r="X4" s="3">
        <v>152</v>
      </c>
      <c r="Y4" s="3">
        <v>155</v>
      </c>
      <c r="Z4" s="3">
        <v>157</v>
      </c>
      <c r="AA4" s="3">
        <v>161</v>
      </c>
      <c r="AB4" s="3">
        <v>164</v>
      </c>
      <c r="AC4" s="3">
        <v>167</v>
      </c>
      <c r="AD4" s="3">
        <v>169</v>
      </c>
      <c r="AS4">
        <f>AVERAGE(C4:F4)</f>
        <v>48</v>
      </c>
      <c r="AT4" s="2">
        <f>AVERAGE(G4:J4)</f>
        <v>89.5</v>
      </c>
      <c r="AU4" s="2">
        <f>AVERAGE(K4:N4)</f>
        <v>118</v>
      </c>
      <c r="AV4" s="2">
        <f>AVERAGE(O4:R4)</f>
        <v>131.5</v>
      </c>
      <c r="AW4" s="2">
        <f>AVERAGE(S4:V4)</f>
        <v>143</v>
      </c>
      <c r="AX4" s="2">
        <f>AVERAGE(W4:Z4)</f>
        <v>153.5</v>
      </c>
      <c r="AY4" s="2">
        <f>AVERAGE(AA4:AD4)</f>
        <v>165.25</v>
      </c>
    </row>
    <row r="5" spans="1:66" x14ac:dyDescent="0.2">
      <c r="C5" s="4">
        <f t="shared" ref="C5" si="2">C4/(318.9+35.16)</f>
        <v>9.8853301700276799E-2</v>
      </c>
      <c r="D5" s="4">
        <f t="shared" ref="D5" si="3">D4/(318.9+35.16)</f>
        <v>0.11297520194317349</v>
      </c>
      <c r="E5" s="4">
        <f t="shared" ref="E5" si="4">E4/(318.9+35.16)</f>
        <v>0.14969214257470487</v>
      </c>
      <c r="F5" s="4">
        <f t="shared" ref="F5" si="5">F4/(318.9+35.16)</f>
        <v>0.18076032310907758</v>
      </c>
      <c r="G5" s="4">
        <f t="shared" ref="G5" si="6">G4/(318.9+35.16)</f>
        <v>0.23159916398350566</v>
      </c>
      <c r="H5" s="4">
        <f t="shared" ref="H5" si="7">H4/(318.9+35.16)</f>
        <v>0.24007230412924366</v>
      </c>
      <c r="I5" s="4">
        <f t="shared" ref="I5" si="8">I4/(318.9+35.16)</f>
        <v>0.25984296446929905</v>
      </c>
      <c r="J5" s="4">
        <f t="shared" ref="J5:AC5" si="9">J4/(318.9+35.16)</f>
        <v>0.27961362480935437</v>
      </c>
      <c r="K5" s="4">
        <f t="shared" si="9"/>
        <v>0.29655990510083041</v>
      </c>
      <c r="L5" s="4">
        <f t="shared" si="9"/>
        <v>0.33045246568378245</v>
      </c>
      <c r="M5" s="4">
        <f t="shared" si="9"/>
        <v>0.35022312602383782</v>
      </c>
      <c r="N5" s="4">
        <f t="shared" si="9"/>
        <v>0.35587188612099652</v>
      </c>
      <c r="O5" s="4">
        <f t="shared" si="9"/>
        <v>0.36434502626673448</v>
      </c>
      <c r="P5" s="4">
        <f t="shared" si="9"/>
        <v>0.36716940631531386</v>
      </c>
      <c r="Q5" s="4">
        <f t="shared" si="9"/>
        <v>0.37281816641247251</v>
      </c>
      <c r="R5" s="4">
        <f t="shared" si="9"/>
        <v>0.38129130655821053</v>
      </c>
      <c r="S5" s="4">
        <f t="shared" si="9"/>
        <v>0.39258882675252788</v>
      </c>
      <c r="T5" s="4">
        <f t="shared" si="9"/>
        <v>0.4010619668982659</v>
      </c>
      <c r="U5" s="4">
        <f t="shared" si="9"/>
        <v>0.40671072699542454</v>
      </c>
      <c r="V5" s="4">
        <f t="shared" si="9"/>
        <v>0.41518386714116257</v>
      </c>
      <c r="W5" s="4">
        <f t="shared" si="9"/>
        <v>0.42365700728690059</v>
      </c>
      <c r="X5" s="4">
        <f t="shared" si="9"/>
        <v>0.42930576738405929</v>
      </c>
      <c r="Y5" s="4">
        <f t="shared" si="9"/>
        <v>0.43777890752979726</v>
      </c>
      <c r="Z5" s="4">
        <f t="shared" si="9"/>
        <v>0.44342766762695596</v>
      </c>
      <c r="AA5" s="4">
        <f t="shared" si="9"/>
        <v>0.4547251878212733</v>
      </c>
      <c r="AB5" s="4">
        <f t="shared" si="9"/>
        <v>0.46319832796701133</v>
      </c>
      <c r="AC5" s="4">
        <f t="shared" si="9"/>
        <v>0.47167146811274935</v>
      </c>
      <c r="AD5" s="4">
        <f>AD4/(318.9+35.16)</f>
        <v>0.47732022820990799</v>
      </c>
      <c r="AS5" s="4">
        <f t="shared" ref="AS5:AY5" si="10">AS4/(318.9+35.16)</f>
        <v>0.1355702423318082</v>
      </c>
      <c r="AT5" s="4">
        <f t="shared" si="10"/>
        <v>0.25278201434785069</v>
      </c>
      <c r="AU5" s="4">
        <f t="shared" si="10"/>
        <v>0.33327684573236177</v>
      </c>
      <c r="AV5" s="4">
        <f t="shared" si="10"/>
        <v>0.37140597638818285</v>
      </c>
      <c r="AW5" s="4">
        <f t="shared" si="10"/>
        <v>0.40388634694684522</v>
      </c>
      <c r="AX5" s="4">
        <f t="shared" si="10"/>
        <v>0.43354233745692827</v>
      </c>
      <c r="AY5" s="4">
        <f t="shared" si="10"/>
        <v>0.46672880302773551</v>
      </c>
    </row>
    <row r="6" spans="1:66" s="14" customFormat="1" x14ac:dyDescent="0.2">
      <c r="B6" s="14" t="s">
        <v>61</v>
      </c>
      <c r="C6" s="11">
        <v>92</v>
      </c>
      <c r="D6" s="11">
        <v>108</v>
      </c>
      <c r="E6" s="11">
        <v>144</v>
      </c>
      <c r="F6" s="11">
        <v>185</v>
      </c>
      <c r="G6" s="11">
        <v>234</v>
      </c>
      <c r="H6" s="11">
        <v>257</v>
      </c>
      <c r="I6" s="11">
        <v>293</v>
      </c>
      <c r="J6" s="11">
        <v>327</v>
      </c>
      <c r="K6" s="11">
        <v>372</v>
      </c>
      <c r="L6" s="11">
        <v>417</v>
      </c>
      <c r="M6" s="11">
        <v>457</v>
      </c>
      <c r="N6" s="11">
        <v>483</v>
      </c>
      <c r="O6" s="11">
        <v>526</v>
      </c>
      <c r="P6" s="11">
        <v>552</v>
      </c>
      <c r="Q6" s="11">
        <v>584</v>
      </c>
      <c r="R6" s="11">
        <v>618</v>
      </c>
      <c r="S6" s="11">
        <v>665</v>
      </c>
      <c r="T6" s="11">
        <v>699</v>
      </c>
      <c r="U6" s="11">
        <v>728</v>
      </c>
      <c r="V6" s="11">
        <v>757</v>
      </c>
      <c r="W6" s="11">
        <v>802</v>
      </c>
      <c r="X6" s="11">
        <v>829</v>
      </c>
      <c r="Y6" s="11">
        <v>864</v>
      </c>
      <c r="Z6" s="11">
        <f>+AD6/1.17</f>
        <v>888.88888888888891</v>
      </c>
      <c r="AA6" s="11">
        <v>936</v>
      </c>
      <c r="AB6" s="11">
        <v>968</v>
      </c>
      <c r="AC6" s="11">
        <v>1007</v>
      </c>
      <c r="AD6" s="11">
        <v>1040</v>
      </c>
      <c r="AE6" s="11">
        <v>1090</v>
      </c>
      <c r="AF6" s="11">
        <v>1130</v>
      </c>
      <c r="AG6" s="11">
        <f>+AF6*1.01</f>
        <v>1141.3</v>
      </c>
      <c r="AH6" s="11">
        <f>+AG6*1.01</f>
        <v>1152.713</v>
      </c>
      <c r="AI6" s="11">
        <f t="shared" ref="AI6" si="11">+AH6*1.01</f>
        <v>1164.2401299999999</v>
      </c>
      <c r="AJ6" s="11">
        <f t="shared" ref="AJ6" si="12">+AI6*1.01</f>
        <v>1175.8825313</v>
      </c>
      <c r="AK6" s="11">
        <f t="shared" ref="AK6" si="13">+AJ6*1.01</f>
        <v>1187.641356613</v>
      </c>
      <c r="AL6" s="11">
        <f t="shared" ref="AL6" si="14">+AK6*1.01</f>
        <v>1199.5177701791299</v>
      </c>
      <c r="AX6" s="11">
        <v>889</v>
      </c>
      <c r="AY6" s="14">
        <v>1040</v>
      </c>
      <c r="AZ6" s="14">
        <f>AVERAGE(AE6:AH6)</f>
        <v>1128.50325</v>
      </c>
      <c r="BA6" s="14">
        <f>+AZ6*1.02</f>
        <v>1151.0733150000001</v>
      </c>
      <c r="BB6" s="14">
        <f t="shared" ref="BB6:BC6" si="15">+BA6*1.02</f>
        <v>1174.0947813</v>
      </c>
      <c r="BC6" s="14">
        <f t="shared" si="15"/>
        <v>1197.5766769260001</v>
      </c>
      <c r="BD6" s="14">
        <f>+BC6</f>
        <v>1197.5766769260001</v>
      </c>
      <c r="BE6" s="14">
        <f t="shared" ref="BE6:BN6" si="16">+BD6</f>
        <v>1197.5766769260001</v>
      </c>
      <c r="BF6" s="14">
        <f t="shared" si="16"/>
        <v>1197.5766769260001</v>
      </c>
      <c r="BG6" s="14">
        <f t="shared" si="16"/>
        <v>1197.5766769260001</v>
      </c>
      <c r="BH6" s="14">
        <f t="shared" si="16"/>
        <v>1197.5766769260001</v>
      </c>
      <c r="BI6" s="14">
        <f t="shared" si="16"/>
        <v>1197.5766769260001</v>
      </c>
      <c r="BJ6" s="14">
        <f t="shared" si="16"/>
        <v>1197.5766769260001</v>
      </c>
      <c r="BK6" s="14">
        <f t="shared" si="16"/>
        <v>1197.5766769260001</v>
      </c>
      <c r="BL6" s="14">
        <f t="shared" si="16"/>
        <v>1197.5766769260001</v>
      </c>
      <c r="BM6" s="14">
        <f t="shared" si="16"/>
        <v>1197.5766769260001</v>
      </c>
      <c r="BN6" s="14">
        <f t="shared" si="16"/>
        <v>1197.5766769260001</v>
      </c>
    </row>
    <row r="7" spans="1:66" s="8" customFormat="1" x14ac:dyDescent="0.2">
      <c r="B7" s="8" t="s">
        <v>32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3">
        <f t="shared" ref="W7:AE7" si="17">W9/W6*4</f>
        <v>12.478802992518704</v>
      </c>
      <c r="X7" s="13">
        <f t="shared" si="17"/>
        <v>14.041013268998794</v>
      </c>
      <c r="Y7" s="13">
        <f t="shared" si="17"/>
        <v>14.828703703703704</v>
      </c>
      <c r="Z7" s="13">
        <f t="shared" si="17"/>
        <v>17.329499999999999</v>
      </c>
      <c r="AA7" s="13">
        <f>AA9/AA6*4</f>
        <v>15.141025641025641</v>
      </c>
      <c r="AB7" s="13">
        <f t="shared" si="17"/>
        <v>16.702479338842974</v>
      </c>
      <c r="AC7" s="13">
        <f t="shared" si="17"/>
        <v>17.878848063555115</v>
      </c>
      <c r="AD7" s="13">
        <f t="shared" si="17"/>
        <v>22.465384615384615</v>
      </c>
      <c r="AE7" s="13">
        <f t="shared" si="17"/>
        <v>19.750458715596331</v>
      </c>
      <c r="AF7" s="13">
        <f>AF9/AF6*4</f>
        <v>22.782300884955752</v>
      </c>
      <c r="AG7" s="13">
        <f t="shared" ref="AG7:AL7" si="18">+AC7*1.3</f>
        <v>23.242502482621649</v>
      </c>
      <c r="AH7" s="13">
        <f t="shared" si="18"/>
        <v>29.204999999999998</v>
      </c>
      <c r="AI7" s="13">
        <f t="shared" si="18"/>
        <v>25.67559633027523</v>
      </c>
      <c r="AJ7" s="13">
        <f t="shared" si="18"/>
        <v>29.61699115044248</v>
      </c>
      <c r="AK7" s="13">
        <f t="shared" si="18"/>
        <v>30.215253227408144</v>
      </c>
      <c r="AL7" s="13">
        <f t="shared" si="18"/>
        <v>37.966499999999996</v>
      </c>
      <c r="AX7" s="13">
        <f>Z7</f>
        <v>17.329499999999999</v>
      </c>
      <c r="AY7" s="16">
        <f>+AD7</f>
        <v>22.465384615384615</v>
      </c>
      <c r="AZ7" s="16">
        <f>+AY7*1.3</f>
        <v>29.204999999999998</v>
      </c>
      <c r="BA7" s="16">
        <f>+AZ7*1.3</f>
        <v>37.966499999999996</v>
      </c>
      <c r="BB7" s="16">
        <f>+BA7*1.3</f>
        <v>49.356449999999995</v>
      </c>
      <c r="BC7" s="16">
        <f>+BB7*1.03</f>
        <v>50.837143499999996</v>
      </c>
      <c r="BD7" s="16">
        <f t="shared" ref="BD7:BN7" si="19">+BC7*1.03</f>
        <v>52.362257804999999</v>
      </c>
      <c r="BE7" s="16">
        <f t="shared" si="19"/>
        <v>53.933125539149998</v>
      </c>
      <c r="BF7" s="16">
        <f t="shared" si="19"/>
        <v>55.551119305324498</v>
      </c>
      <c r="BG7" s="16">
        <f t="shared" si="19"/>
        <v>57.217652884484231</v>
      </c>
      <c r="BH7" s="16">
        <f t="shared" si="19"/>
        <v>58.934182471018758</v>
      </c>
      <c r="BI7" s="16">
        <f t="shared" si="19"/>
        <v>60.702207945149325</v>
      </c>
      <c r="BJ7" s="16">
        <f t="shared" si="19"/>
        <v>62.523274183503808</v>
      </c>
      <c r="BK7" s="16">
        <f t="shared" si="19"/>
        <v>64.39897240900892</v>
      </c>
      <c r="BL7" s="16">
        <f t="shared" si="19"/>
        <v>66.330941581279191</v>
      </c>
      <c r="BM7" s="16">
        <f t="shared" si="19"/>
        <v>68.320869828717562</v>
      </c>
      <c r="BN7" s="16">
        <f t="shared" si="19"/>
        <v>70.370495923579085</v>
      </c>
    </row>
    <row r="9" spans="1:66" s="6" customFormat="1" x14ac:dyDescent="0.2">
      <c r="B9" s="6" t="s">
        <v>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>
        <v>2502</v>
      </c>
      <c r="X9" s="7">
        <v>2910</v>
      </c>
      <c r="Y9" s="7">
        <v>3203</v>
      </c>
      <c r="Z9" s="7">
        <v>3851</v>
      </c>
      <c r="AA9" s="7">
        <v>3543</v>
      </c>
      <c r="AB9" s="7">
        <v>4042</v>
      </c>
      <c r="AC9" s="7">
        <v>4501</v>
      </c>
      <c r="AD9" s="7">
        <v>5841</v>
      </c>
      <c r="AE9" s="7">
        <v>5382</v>
      </c>
      <c r="AF9" s="7">
        <v>6436</v>
      </c>
      <c r="AG9" s="7">
        <f t="shared" ref="AG9:AL9" si="20">+AG7*AG6/4</f>
        <v>6631.6670208540218</v>
      </c>
      <c r="AH9" s="7">
        <f t="shared" si="20"/>
        <v>8416.2457912499995</v>
      </c>
      <c r="AI9" s="7">
        <f t="shared" si="20"/>
        <v>7473.1399023467884</v>
      </c>
      <c r="AJ9" s="7">
        <f t="shared" si="20"/>
        <v>8706.525630868</v>
      </c>
      <c r="AK9" s="7">
        <f t="shared" si="20"/>
        <v>8971.2210833510835</v>
      </c>
      <c r="AL9" s="7">
        <f t="shared" si="20"/>
        <v>11385.372855376483</v>
      </c>
      <c r="AT9" s="6">
        <v>1974</v>
      </c>
      <c r="AU9" s="6">
        <v>3711</v>
      </c>
      <c r="AV9" s="6">
        <v>5089</v>
      </c>
      <c r="AW9" s="6">
        <v>7872</v>
      </c>
      <c r="AX9" s="6">
        <v>12466</v>
      </c>
      <c r="AY9" s="6">
        <v>17928</v>
      </c>
      <c r="AZ9" s="6">
        <f>SUM(AE9:AH9)</f>
        <v>26865.912812104023</v>
      </c>
      <c r="BA9" s="6">
        <f t="shared" ref="BA9:BN9" si="21">+BA7*BA6</f>
        <v>43702.2250139475</v>
      </c>
      <c r="BB9" s="6">
        <f t="shared" si="21"/>
        <v>57949.150368494382</v>
      </c>
      <c r="BC9" s="6">
        <f t="shared" si="21"/>
        <v>60881.377377140205</v>
      </c>
      <c r="BD9" s="6">
        <f t="shared" si="21"/>
        <v>62707.818698454408</v>
      </c>
      <c r="BE9" s="6">
        <f t="shared" si="21"/>
        <v>64589.053259408043</v>
      </c>
      <c r="BF9" s="6">
        <f t="shared" si="21"/>
        <v>66526.724857190289</v>
      </c>
      <c r="BG9" s="6">
        <f t="shared" si="21"/>
        <v>68522.526602905986</v>
      </c>
      <c r="BH9" s="6">
        <f t="shared" si="21"/>
        <v>70578.202400993177</v>
      </c>
      <c r="BI9" s="6">
        <f t="shared" si="21"/>
        <v>72695.548473022965</v>
      </c>
      <c r="BJ9" s="6">
        <f t="shared" si="21"/>
        <v>74876.414927213671</v>
      </c>
      <c r="BK9" s="6">
        <f t="shared" si="21"/>
        <v>77122.707375030077</v>
      </c>
      <c r="BL9" s="6">
        <f t="shared" si="21"/>
        <v>79436.388596280973</v>
      </c>
      <c r="BM9" s="6">
        <f t="shared" si="21"/>
        <v>81819.480254169408</v>
      </c>
      <c r="BN9" s="6">
        <f t="shared" si="21"/>
        <v>84274.064661794473</v>
      </c>
    </row>
    <row r="10" spans="1:66" s="2" customFormat="1" x14ac:dyDescent="0.2">
      <c r="B10" s="2" t="s">
        <v>20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462</v>
      </c>
      <c r="X10" s="5">
        <f>473-16</f>
        <v>457</v>
      </c>
      <c r="Y10" s="5">
        <v>565</v>
      </c>
      <c r="Z10" s="5">
        <f>653-18</f>
        <v>635</v>
      </c>
      <c r="AA10" s="5">
        <v>654</v>
      </c>
      <c r="AB10" s="5">
        <f>668-21</f>
        <v>647</v>
      </c>
      <c r="AC10" s="5">
        <f>720-21</f>
        <v>699</v>
      </c>
      <c r="AD10" s="5">
        <f>824-22</f>
        <v>802</v>
      </c>
      <c r="AE10" s="5">
        <v>838</v>
      </c>
      <c r="AF10" s="5">
        <v>916</v>
      </c>
      <c r="AG10" s="5">
        <f t="shared" ref="AG10:AL10" si="22">+AG9-AG11</f>
        <v>928.43338291956297</v>
      </c>
      <c r="AH10" s="5">
        <f t="shared" si="22"/>
        <v>1178.2744107750004</v>
      </c>
      <c r="AI10" s="5">
        <f t="shared" si="22"/>
        <v>1046.2395863285501</v>
      </c>
      <c r="AJ10" s="5">
        <f t="shared" si="22"/>
        <v>1218.9135883215204</v>
      </c>
      <c r="AK10" s="5">
        <f t="shared" si="22"/>
        <v>1255.9709516691519</v>
      </c>
      <c r="AL10" s="5">
        <f t="shared" si="22"/>
        <v>1593.9521997527081</v>
      </c>
      <c r="AT10" s="2">
        <v>493</v>
      </c>
      <c r="AU10" s="2">
        <v>860</v>
      </c>
      <c r="AV10" s="2">
        <v>1364</v>
      </c>
      <c r="AW10" s="2">
        <v>1875</v>
      </c>
      <c r="AX10" s="2">
        <v>2153</v>
      </c>
      <c r="AY10" s="2">
        <v>2867</v>
      </c>
      <c r="AZ10" s="2">
        <f>SUM(AE10:AH10)</f>
        <v>3860.7077936945634</v>
      </c>
      <c r="BA10" s="2">
        <f>BA9-BA11</f>
        <v>6555.3337520921268</v>
      </c>
      <c r="BB10" s="2">
        <f t="shared" ref="BB10:BC10" si="23">BB9-BB11</f>
        <v>8692.3725552741598</v>
      </c>
      <c r="BC10" s="2">
        <f t="shared" si="23"/>
        <v>9132.2066065710314</v>
      </c>
      <c r="BD10" s="2">
        <f t="shared" ref="BD10" si="24">BD9-BD11</f>
        <v>9406.1728047681609</v>
      </c>
      <c r="BE10" s="2">
        <f t="shared" ref="BE10" si="25">BE9-BE11</f>
        <v>9688.3579889112079</v>
      </c>
      <c r="BF10" s="2">
        <f t="shared" ref="BF10" si="26">BF9-BF11</f>
        <v>9979.0087285785485</v>
      </c>
      <c r="BG10" s="2">
        <f t="shared" ref="BG10" si="27">BG9-BG11</f>
        <v>10278.3789904359</v>
      </c>
      <c r="BH10" s="2">
        <f t="shared" ref="BH10" si="28">BH9-BH11</f>
        <v>10586.730360148977</v>
      </c>
      <c r="BI10" s="2">
        <f t="shared" ref="BI10" si="29">BI9-BI11</f>
        <v>10904.332270953448</v>
      </c>
      <c r="BJ10" s="2">
        <f t="shared" ref="BJ10" si="30">BJ9-BJ11</f>
        <v>11231.462239082051</v>
      </c>
      <c r="BK10" s="2">
        <f t="shared" ref="BK10" si="31">BK9-BK11</f>
        <v>11568.406106254508</v>
      </c>
      <c r="BL10" s="2">
        <f t="shared" ref="BL10" si="32">BL9-BL11</f>
        <v>11915.458289442147</v>
      </c>
      <c r="BM10" s="2">
        <f t="shared" ref="BM10" si="33">BM9-BM11</f>
        <v>12272.922038125413</v>
      </c>
      <c r="BN10" s="2">
        <f t="shared" ref="BN10" si="34">BN9-BN11</f>
        <v>12641.109699269175</v>
      </c>
    </row>
    <row r="11" spans="1:66" s="2" customFormat="1" x14ac:dyDescent="0.2">
      <c r="B11" s="2" t="s">
        <v>21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>
        <f t="shared" ref="W11:AD11" si="35">+W9-W10</f>
        <v>2040</v>
      </c>
      <c r="X11" s="5">
        <f t="shared" si="35"/>
        <v>2453</v>
      </c>
      <c r="Y11" s="5">
        <f t="shared" si="35"/>
        <v>2638</v>
      </c>
      <c r="Z11" s="5">
        <f t="shared" si="35"/>
        <v>3216</v>
      </c>
      <c r="AA11" s="5">
        <f>+AA9-AA10</f>
        <v>2889</v>
      </c>
      <c r="AB11" s="5">
        <f t="shared" si="35"/>
        <v>3395</v>
      </c>
      <c r="AC11" s="5">
        <f t="shared" si="35"/>
        <v>3802</v>
      </c>
      <c r="AD11" s="5">
        <f t="shared" si="35"/>
        <v>5039</v>
      </c>
      <c r="AE11" s="5">
        <f>+AE9-AE10</f>
        <v>4544</v>
      </c>
      <c r="AF11" s="5">
        <f>+AF9-AF10</f>
        <v>5520</v>
      </c>
      <c r="AG11" s="5">
        <f t="shared" ref="AG11:AL11" si="36">+AG9*0.86</f>
        <v>5703.2336379344588</v>
      </c>
      <c r="AH11" s="5">
        <f t="shared" si="36"/>
        <v>7237.971380474999</v>
      </c>
      <c r="AI11" s="5">
        <f t="shared" si="36"/>
        <v>6426.9003160182383</v>
      </c>
      <c r="AJ11" s="5">
        <f t="shared" si="36"/>
        <v>7487.6120425464796</v>
      </c>
      <c r="AK11" s="5">
        <f t="shared" si="36"/>
        <v>7715.2501316819316</v>
      </c>
      <c r="AL11" s="5">
        <f t="shared" si="36"/>
        <v>9791.420655623775</v>
      </c>
      <c r="AT11" s="2">
        <f t="shared" ref="AT11:AY11" si="37">+AT9-AT10</f>
        <v>1481</v>
      </c>
      <c r="AU11" s="2">
        <f t="shared" si="37"/>
        <v>2851</v>
      </c>
      <c r="AV11" s="2">
        <f t="shared" si="37"/>
        <v>3725</v>
      </c>
      <c r="AW11" s="2">
        <f t="shared" si="37"/>
        <v>5997</v>
      </c>
      <c r="AX11" s="2">
        <f t="shared" si="37"/>
        <v>10313</v>
      </c>
      <c r="AY11" s="2">
        <f t="shared" si="37"/>
        <v>15061</v>
      </c>
      <c r="AZ11" s="2">
        <f>AZ9-AZ10</f>
        <v>23005.205018409459</v>
      </c>
      <c r="BA11" s="2">
        <f>BA9*0.85</f>
        <v>37146.891261855373</v>
      </c>
      <c r="BB11" s="2">
        <f t="shared" ref="BB11:BC11" si="38">BB9*0.85</f>
        <v>49256.777813220222</v>
      </c>
      <c r="BC11" s="2">
        <f t="shared" si="38"/>
        <v>51749.170770569173</v>
      </c>
      <c r="BD11" s="2">
        <f t="shared" ref="BD11:BN11" si="39">BD9*0.85</f>
        <v>53301.645893686247</v>
      </c>
      <c r="BE11" s="2">
        <f t="shared" si="39"/>
        <v>54900.695270496835</v>
      </c>
      <c r="BF11" s="2">
        <f t="shared" si="39"/>
        <v>56547.716128611741</v>
      </c>
      <c r="BG11" s="2">
        <f t="shared" si="39"/>
        <v>58244.147612470086</v>
      </c>
      <c r="BH11" s="2">
        <f t="shared" si="39"/>
        <v>59991.472040844201</v>
      </c>
      <c r="BI11" s="2">
        <f t="shared" si="39"/>
        <v>61791.216202069518</v>
      </c>
      <c r="BJ11" s="2">
        <f t="shared" si="39"/>
        <v>63644.95268813162</v>
      </c>
      <c r="BK11" s="2">
        <f t="shared" si="39"/>
        <v>65554.301268775569</v>
      </c>
      <c r="BL11" s="2">
        <f t="shared" si="39"/>
        <v>67520.930306838825</v>
      </c>
      <c r="BM11" s="2">
        <f t="shared" si="39"/>
        <v>69546.558216043995</v>
      </c>
      <c r="BN11" s="2">
        <f t="shared" si="39"/>
        <v>71632.954962525298</v>
      </c>
    </row>
    <row r="12" spans="1:66" s="2" customFormat="1" x14ac:dyDescent="0.2">
      <c r="B12" s="2" t="s">
        <v>22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>
        <v>455</v>
      </c>
      <c r="X12" s="5">
        <f>492-219</f>
        <v>273</v>
      </c>
      <c r="Y12" s="5">
        <v>608</v>
      </c>
      <c r="Z12" s="5">
        <f>1111-685</f>
        <v>426</v>
      </c>
      <c r="AA12" s="5">
        <f>1062-566</f>
        <v>496</v>
      </c>
      <c r="AB12" s="5">
        <f>1170-603</f>
        <v>567</v>
      </c>
      <c r="AC12" s="5">
        <f>1271-598</f>
        <v>673</v>
      </c>
      <c r="AD12" s="5">
        <f>1314-583</f>
        <v>731</v>
      </c>
      <c r="AE12" s="5">
        <v>1343</v>
      </c>
      <c r="AF12" s="5">
        <v>1463</v>
      </c>
      <c r="AG12" s="5">
        <f t="shared" ref="AG12:AG14" si="40">+AC12*1.35</f>
        <v>908.55000000000007</v>
      </c>
      <c r="AH12" s="5">
        <f t="shared" ref="AH12:AH14" si="41">+AD12*1.35</f>
        <v>986.85</v>
      </c>
      <c r="AI12" s="5">
        <f t="shared" ref="AI12:AI14" si="42">+AE12*1.35</f>
        <v>1813.0500000000002</v>
      </c>
      <c r="AJ12" s="5">
        <f t="shared" ref="AJ12:AJ14" si="43">+AF12*1.35</f>
        <v>1975.0500000000002</v>
      </c>
      <c r="AK12" s="5">
        <f t="shared" ref="AK12:AK14" si="44">+AG12*1.35</f>
        <v>1226.5425000000002</v>
      </c>
      <c r="AL12" s="5">
        <f t="shared" ref="AL12:AL14" si="45">+AH12*1.35</f>
        <v>1332.2475000000002</v>
      </c>
      <c r="AT12" s="2">
        <v>144</v>
      </c>
      <c r="AU12" s="2">
        <v>388</v>
      </c>
      <c r="AV12" s="2">
        <v>1399</v>
      </c>
      <c r="AW12" s="2">
        <v>1415</v>
      </c>
      <c r="AX12" s="2">
        <v>2666</v>
      </c>
      <c r="AY12" s="2">
        <v>4816</v>
      </c>
      <c r="AZ12" s="2">
        <f>SUM(AE12:AH12)</f>
        <v>4701.4000000000005</v>
      </c>
      <c r="BA12" s="2">
        <f>+AZ12*1.25</f>
        <v>5876.7500000000009</v>
      </c>
      <c r="BB12" s="2">
        <f t="shared" ref="BB12:BC12" si="46">+BA12*1.25</f>
        <v>7345.9375000000009</v>
      </c>
      <c r="BC12" s="2">
        <f t="shared" si="46"/>
        <v>9182.4218750000018</v>
      </c>
      <c r="BD12" s="2">
        <f>BC12*0.95</f>
        <v>8723.3007812500018</v>
      </c>
      <c r="BE12" s="2">
        <f t="shared" ref="BE12:BN12" si="47">BD12*0.95</f>
        <v>8287.1357421875018</v>
      </c>
      <c r="BF12" s="2">
        <f t="shared" si="47"/>
        <v>7872.7789550781263</v>
      </c>
      <c r="BG12" s="2">
        <f t="shared" si="47"/>
        <v>7479.1400073242194</v>
      </c>
      <c r="BH12" s="2">
        <f t="shared" si="47"/>
        <v>7105.1830069580083</v>
      </c>
      <c r="BI12" s="2">
        <f t="shared" si="47"/>
        <v>6749.9238566101076</v>
      </c>
      <c r="BJ12" s="2">
        <f t="shared" si="47"/>
        <v>6412.427663779602</v>
      </c>
      <c r="BK12" s="2">
        <f t="shared" si="47"/>
        <v>6091.806280590622</v>
      </c>
      <c r="BL12" s="2">
        <f t="shared" si="47"/>
        <v>5787.2159665610907</v>
      </c>
      <c r="BM12" s="2">
        <f t="shared" si="47"/>
        <v>5497.8551682330362</v>
      </c>
      <c r="BN12" s="2">
        <f t="shared" si="47"/>
        <v>5222.9624098213844</v>
      </c>
    </row>
    <row r="13" spans="1:66" s="2" customFormat="1" x14ac:dyDescent="0.2">
      <c r="B13" s="2" t="s">
        <v>23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v>323</v>
      </c>
      <c r="X13" s="5">
        <f>358-50</f>
        <v>308</v>
      </c>
      <c r="Y13" s="5">
        <v>374</v>
      </c>
      <c r="Z13" s="5">
        <v>624</v>
      </c>
      <c r="AA13" s="5">
        <f>620-72</f>
        <v>548</v>
      </c>
      <c r="AB13" s="5">
        <f>626-82</f>
        <v>544</v>
      </c>
      <c r="AC13" s="5">
        <f>706-82</f>
        <v>624</v>
      </c>
      <c r="AD13" s="5">
        <f>772-84</f>
        <v>688</v>
      </c>
      <c r="AE13" s="5">
        <v>826</v>
      </c>
      <c r="AF13" s="5">
        <v>899</v>
      </c>
      <c r="AG13" s="5">
        <f t="shared" si="40"/>
        <v>842.40000000000009</v>
      </c>
      <c r="AH13" s="5">
        <f t="shared" si="41"/>
        <v>928.80000000000007</v>
      </c>
      <c r="AI13" s="5">
        <f t="shared" si="42"/>
        <v>1115.1000000000001</v>
      </c>
      <c r="AJ13" s="5">
        <f t="shared" si="43"/>
        <v>1213.6500000000001</v>
      </c>
      <c r="AK13" s="5">
        <f t="shared" si="44"/>
        <v>1137.2400000000002</v>
      </c>
      <c r="AL13" s="5">
        <f t="shared" si="45"/>
        <v>1253.8800000000001</v>
      </c>
      <c r="AT13" s="2">
        <v>167</v>
      </c>
      <c r="AU13" s="2">
        <v>393</v>
      </c>
      <c r="AV13" s="2">
        <v>896</v>
      </c>
      <c r="AW13" s="2">
        <v>997</v>
      </c>
      <c r="AX13" s="2">
        <v>1680</v>
      </c>
      <c r="AY13" s="2">
        <v>2725</v>
      </c>
      <c r="AZ13" s="2">
        <f>SUM(AE13:AH13)</f>
        <v>3496.2000000000003</v>
      </c>
      <c r="BA13" s="2">
        <f t="shared" ref="BA13:BB13" si="48">+AZ13*1.25</f>
        <v>4370.25</v>
      </c>
      <c r="BB13" s="2">
        <f t="shared" si="48"/>
        <v>5462.8125</v>
      </c>
      <c r="BC13" s="2">
        <f>+BB13*1.25</f>
        <v>6828.515625</v>
      </c>
      <c r="BD13" s="2">
        <f>BC13*0.95</f>
        <v>6487.08984375</v>
      </c>
      <c r="BE13" s="2">
        <f t="shared" ref="BE13:BN13" si="49">BD13*0.95</f>
        <v>6162.7353515625</v>
      </c>
      <c r="BF13" s="2">
        <f t="shared" si="49"/>
        <v>5854.5985839843743</v>
      </c>
      <c r="BG13" s="2">
        <f t="shared" si="49"/>
        <v>5561.8686547851557</v>
      </c>
      <c r="BH13" s="2">
        <f t="shared" si="49"/>
        <v>5283.7752220458979</v>
      </c>
      <c r="BI13" s="2">
        <f t="shared" si="49"/>
        <v>5019.586460943603</v>
      </c>
      <c r="BJ13" s="2">
        <f t="shared" si="49"/>
        <v>4768.6071378964225</v>
      </c>
      <c r="BK13" s="2">
        <f t="shared" si="49"/>
        <v>4530.1767810016008</v>
      </c>
      <c r="BL13" s="2">
        <f t="shared" si="49"/>
        <v>4303.6679419515203</v>
      </c>
      <c r="BM13" s="2">
        <f t="shared" si="49"/>
        <v>4088.484544853944</v>
      </c>
      <c r="BN13" s="2">
        <f t="shared" si="49"/>
        <v>3884.0603176112468</v>
      </c>
    </row>
    <row r="14" spans="1:66" s="2" customFormat="1" x14ac:dyDescent="0.2">
      <c r="B14" s="2" t="s">
        <v>24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>
        <v>187</v>
      </c>
      <c r="X14" s="5">
        <f>197-29</f>
        <v>168</v>
      </c>
      <c r="Y14" s="5">
        <v>259</v>
      </c>
      <c r="Z14" s="5">
        <v>330</v>
      </c>
      <c r="AA14" s="5">
        <f>274-48</f>
        <v>226</v>
      </c>
      <c r="AB14" s="5">
        <f>305-57</f>
        <v>248</v>
      </c>
      <c r="AC14" s="5">
        <f>345-56</f>
        <v>289</v>
      </c>
      <c r="AD14" s="5">
        <f>371-57</f>
        <v>314</v>
      </c>
      <c r="AE14" s="5">
        <v>366</v>
      </c>
      <c r="AF14" s="5">
        <v>412</v>
      </c>
      <c r="AG14" s="5">
        <f t="shared" si="40"/>
        <v>390.15000000000003</v>
      </c>
      <c r="AH14" s="5">
        <f t="shared" si="41"/>
        <v>423.90000000000003</v>
      </c>
      <c r="AI14" s="5">
        <f t="shared" si="42"/>
        <v>494.1</v>
      </c>
      <c r="AJ14" s="5">
        <f t="shared" si="43"/>
        <v>556.20000000000005</v>
      </c>
      <c r="AK14" s="5">
        <f t="shared" si="44"/>
        <v>526.7025000000001</v>
      </c>
      <c r="AL14" s="5">
        <f t="shared" si="45"/>
        <v>572.2650000000001</v>
      </c>
      <c r="AT14" s="2">
        <v>138</v>
      </c>
      <c r="AU14" s="2">
        <v>314</v>
      </c>
      <c r="AV14" s="2">
        <v>892</v>
      </c>
      <c r="AW14" s="2">
        <v>781</v>
      </c>
      <c r="AX14" s="2">
        <v>973</v>
      </c>
      <c r="AY14" s="2">
        <v>1295</v>
      </c>
      <c r="AZ14" s="2">
        <f>SUM(AE14:AH14)</f>
        <v>1592.0500000000002</v>
      </c>
      <c r="BA14" s="2">
        <f t="shared" ref="BA14:BC14" si="50">+AZ14*1.25</f>
        <v>1990.0625000000002</v>
      </c>
      <c r="BB14" s="2">
        <f t="shared" si="50"/>
        <v>2487.5781250000005</v>
      </c>
      <c r="BC14" s="2">
        <f t="shared" si="50"/>
        <v>3109.4726562500005</v>
      </c>
      <c r="BD14" s="2">
        <f>BC14*0.95</f>
        <v>2953.9990234375005</v>
      </c>
      <c r="BE14" s="2">
        <f t="shared" ref="BE14:BN14" si="51">BD14*0.95</f>
        <v>2806.2990722656255</v>
      </c>
      <c r="BF14" s="2">
        <f t="shared" si="51"/>
        <v>2665.984118652344</v>
      </c>
      <c r="BG14" s="2">
        <f t="shared" si="51"/>
        <v>2532.6849127197265</v>
      </c>
      <c r="BH14" s="2">
        <f t="shared" si="51"/>
        <v>2406.0506670837399</v>
      </c>
      <c r="BI14" s="2">
        <f t="shared" si="51"/>
        <v>2285.7481337295526</v>
      </c>
      <c r="BJ14" s="2">
        <f t="shared" si="51"/>
        <v>2171.4607270430747</v>
      </c>
      <c r="BK14" s="2">
        <f t="shared" si="51"/>
        <v>2062.8876906909209</v>
      </c>
      <c r="BL14" s="2">
        <f t="shared" si="51"/>
        <v>1959.7433061563747</v>
      </c>
      <c r="BM14" s="2">
        <f t="shared" si="51"/>
        <v>1861.756140848556</v>
      </c>
      <c r="BN14" s="2">
        <f t="shared" si="51"/>
        <v>1768.6683338061282</v>
      </c>
    </row>
    <row r="15" spans="1:66" s="2" customFormat="1" x14ac:dyDescent="0.2">
      <c r="B15" s="2" t="s">
        <v>109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>
        <f t="shared" ref="W15:AD15" si="52">SUM(W12:W14)</f>
        <v>965</v>
      </c>
      <c r="X15" s="5">
        <f t="shared" si="52"/>
        <v>749</v>
      </c>
      <c r="Y15" s="5">
        <f t="shared" si="52"/>
        <v>1241</v>
      </c>
      <c r="Z15" s="5">
        <f t="shared" si="52"/>
        <v>1380</v>
      </c>
      <c r="AA15" s="5">
        <f t="shared" si="52"/>
        <v>1270</v>
      </c>
      <c r="AB15" s="5">
        <f t="shared" si="52"/>
        <v>1359</v>
      </c>
      <c r="AC15" s="5">
        <f t="shared" si="52"/>
        <v>1586</v>
      </c>
      <c r="AD15" s="5">
        <f t="shared" si="52"/>
        <v>1733</v>
      </c>
      <c r="AE15" s="5">
        <f>SUM(AE12:AE14)</f>
        <v>2535</v>
      </c>
      <c r="AF15" s="5">
        <f>SUM(AF12:AF14)</f>
        <v>2774</v>
      </c>
      <c r="AG15" s="5">
        <f t="shared" ref="AG15:AH15" si="53">SUM(AG12:AG14)</f>
        <v>2141.1000000000004</v>
      </c>
      <c r="AH15" s="5">
        <f t="shared" si="53"/>
        <v>2339.5500000000002</v>
      </c>
      <c r="AI15" s="5">
        <f t="shared" ref="AI15:AL15" si="54">SUM(AI12:AI14)</f>
        <v>3422.2500000000005</v>
      </c>
      <c r="AJ15" s="5">
        <f t="shared" si="54"/>
        <v>3744.9000000000005</v>
      </c>
      <c r="AK15" s="5">
        <f t="shared" si="54"/>
        <v>2890.4850000000006</v>
      </c>
      <c r="AL15" s="5">
        <f t="shared" si="54"/>
        <v>3158.3925000000008</v>
      </c>
      <c r="AT15" s="5">
        <f t="shared" ref="AT15" si="55">SUM(AT12:AT14)</f>
        <v>449</v>
      </c>
      <c r="AU15" s="5">
        <f t="shared" ref="AU15:AV15" si="56">SUM(AU12:AU14)</f>
        <v>1095</v>
      </c>
      <c r="AV15" s="5">
        <f t="shared" si="56"/>
        <v>3187</v>
      </c>
      <c r="AW15" s="5">
        <f t="shared" ref="AW15:AX15" si="57">SUM(AW12:AW14)</f>
        <v>3193</v>
      </c>
      <c r="AX15" s="5">
        <f t="shared" si="57"/>
        <v>5319</v>
      </c>
      <c r="AY15" s="5">
        <f t="shared" ref="AY15:AZ15" si="58">SUM(AY12:AY14)</f>
        <v>8836</v>
      </c>
      <c r="AZ15" s="5">
        <f t="shared" si="58"/>
        <v>9789.6500000000015</v>
      </c>
      <c r="BA15" s="5">
        <f t="shared" ref="BA15" si="59">SUM(BA12:BA14)</f>
        <v>12237.0625</v>
      </c>
      <c r="BB15" s="5">
        <f t="shared" ref="BB15" si="60">SUM(BB12:BB14)</f>
        <v>15296.328125</v>
      </c>
      <c r="BC15" s="5">
        <f t="shared" ref="BC15" si="61">SUM(BC12:BC14)</f>
        <v>19120.410156250004</v>
      </c>
      <c r="BD15" s="5">
        <f t="shared" ref="BD15" si="62">SUM(BD12:BD14)</f>
        <v>18164.389648437504</v>
      </c>
      <c r="BE15" s="5">
        <f t="shared" ref="BE15" si="63">SUM(BE12:BE14)</f>
        <v>17256.170166015629</v>
      </c>
      <c r="BF15" s="5">
        <f t="shared" ref="BF15" si="64">SUM(BF12:BF14)</f>
        <v>16393.361657714846</v>
      </c>
      <c r="BG15" s="5">
        <f t="shared" ref="BG15" si="65">SUM(BG12:BG14)</f>
        <v>15573.693574829103</v>
      </c>
      <c r="BH15" s="5">
        <f t="shared" ref="BH15" si="66">SUM(BH12:BH14)</f>
        <v>14795.008896087647</v>
      </c>
      <c r="BI15" s="5">
        <f t="shared" ref="BI15" si="67">SUM(BI12:BI14)</f>
        <v>14055.258451283264</v>
      </c>
      <c r="BJ15" s="5">
        <f t="shared" ref="BJ15" si="68">SUM(BJ12:BJ14)</f>
        <v>13352.495528719101</v>
      </c>
      <c r="BK15" s="5">
        <f t="shared" ref="BK15" si="69">SUM(BK12:BK14)</f>
        <v>12684.870752283143</v>
      </c>
      <c r="BL15" s="5">
        <f t="shared" ref="BL15" si="70">SUM(BL12:BL14)</f>
        <v>12050.627214668986</v>
      </c>
      <c r="BM15" s="5">
        <f t="shared" ref="BM15" si="71">SUM(BM12:BM14)</f>
        <v>11448.095853935536</v>
      </c>
      <c r="BN15" s="5">
        <f t="shared" ref="BN15" si="72">SUM(BN12:BN14)</f>
        <v>10875.69106123876</v>
      </c>
    </row>
    <row r="16" spans="1:66" s="2" customFormat="1" x14ac:dyDescent="0.2">
      <c r="B16" s="2" t="s">
        <v>25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>
        <f t="shared" ref="W16:AD16" si="73">W11-W15</f>
        <v>1075</v>
      </c>
      <c r="X16" s="5">
        <f t="shared" si="73"/>
        <v>1704</v>
      </c>
      <c r="Y16" s="5">
        <f t="shared" si="73"/>
        <v>1397</v>
      </c>
      <c r="Z16" s="5">
        <f t="shared" si="73"/>
        <v>1836</v>
      </c>
      <c r="AA16" s="5">
        <f t="shared" si="73"/>
        <v>1619</v>
      </c>
      <c r="AB16" s="5">
        <f t="shared" si="73"/>
        <v>2036</v>
      </c>
      <c r="AC16" s="5">
        <f t="shared" si="73"/>
        <v>2216</v>
      </c>
      <c r="AD16" s="5">
        <f t="shared" si="73"/>
        <v>3306</v>
      </c>
      <c r="AE16" s="5">
        <f>AE11-AE15</f>
        <v>2009</v>
      </c>
      <c r="AF16" s="5">
        <f>AF11-AF15</f>
        <v>2746</v>
      </c>
      <c r="AG16" s="5">
        <f t="shared" ref="AG16:AH16" si="74">AG11-AG15</f>
        <v>3562.1336379344584</v>
      </c>
      <c r="AH16" s="5">
        <f t="shared" si="74"/>
        <v>4898.4213804749988</v>
      </c>
      <c r="AI16" s="5">
        <f t="shared" ref="AI16:AL16" si="75">AI11-AI15</f>
        <v>3004.6503160182378</v>
      </c>
      <c r="AJ16" s="5">
        <f t="shared" si="75"/>
        <v>3742.7120425464791</v>
      </c>
      <c r="AK16" s="5">
        <f t="shared" si="75"/>
        <v>4824.7651316819311</v>
      </c>
      <c r="AL16" s="5">
        <f t="shared" si="75"/>
        <v>6633.0281556237742</v>
      </c>
      <c r="AT16" s="5">
        <f t="shared" ref="AT16" si="76">AT11-AT15</f>
        <v>1032</v>
      </c>
      <c r="AU16" s="5">
        <f t="shared" ref="AU16:AV16" si="77">AU11-AU15</f>
        <v>1756</v>
      </c>
      <c r="AV16" s="5">
        <f t="shared" si="77"/>
        <v>538</v>
      </c>
      <c r="AW16" s="5">
        <f t="shared" ref="AW16:AX16" si="78">AW11-AW15</f>
        <v>2804</v>
      </c>
      <c r="AX16" s="5">
        <f t="shared" si="78"/>
        <v>4994</v>
      </c>
      <c r="AY16" s="5">
        <f t="shared" ref="AY16:AZ16" si="79">AY11-AY15</f>
        <v>6225</v>
      </c>
      <c r="AZ16" s="5">
        <f t="shared" si="79"/>
        <v>13215.555018409457</v>
      </c>
      <c r="BA16" s="5">
        <f t="shared" ref="BA16" si="80">BA11-BA15</f>
        <v>24909.828761855373</v>
      </c>
      <c r="BB16" s="5">
        <f t="shared" ref="BB16" si="81">BB11-BB15</f>
        <v>33960.449688220222</v>
      </c>
      <c r="BC16" s="5">
        <f t="shared" ref="BC16" si="82">BC11-BC15</f>
        <v>32628.76061431917</v>
      </c>
      <c r="BD16" s="5">
        <f t="shared" ref="BD16" si="83">BD11-BD15</f>
        <v>35137.256245248747</v>
      </c>
      <c r="BE16" s="5">
        <f t="shared" ref="BE16" si="84">BE11-BE15</f>
        <v>37644.525104481203</v>
      </c>
      <c r="BF16" s="5">
        <f t="shared" ref="BF16" si="85">BF11-BF15</f>
        <v>40154.354470896898</v>
      </c>
      <c r="BG16" s="5">
        <f t="shared" ref="BG16" si="86">BG11-BG15</f>
        <v>42670.454037640986</v>
      </c>
      <c r="BH16" s="5">
        <f t="shared" ref="BH16" si="87">BH11-BH15</f>
        <v>45196.463144756555</v>
      </c>
      <c r="BI16" s="5">
        <f t="shared" ref="BI16" si="88">BI11-BI15</f>
        <v>47735.957750786256</v>
      </c>
      <c r="BJ16" s="5">
        <f t="shared" ref="BJ16" si="89">BJ11-BJ15</f>
        <v>50292.457159412515</v>
      </c>
      <c r="BK16" s="5">
        <f t="shared" ref="BK16" si="90">BK11-BK15</f>
        <v>52869.43051649243</v>
      </c>
      <c r="BL16" s="5">
        <f t="shared" ref="BL16" si="91">BL11-BL15</f>
        <v>55470.303092169837</v>
      </c>
      <c r="BM16" s="5">
        <f t="shared" ref="BM16" si="92">BM11-BM15</f>
        <v>58098.462362108461</v>
      </c>
      <c r="BN16" s="5">
        <f t="shared" ref="BN16" si="93">BN11-BN15</f>
        <v>60757.26390128654</v>
      </c>
    </row>
    <row r="17" spans="2:188" s="2" customFormat="1" x14ac:dyDescent="0.2">
      <c r="B17" s="2" t="s">
        <v>26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v>0</v>
      </c>
      <c r="X17" s="5">
        <v>-4</v>
      </c>
      <c r="Y17" s="5">
        <v>-61</v>
      </c>
      <c r="Z17" s="5">
        <v>-19</v>
      </c>
      <c r="AA17" s="5">
        <v>-1</v>
      </c>
      <c r="AB17" s="5">
        <v>0</v>
      </c>
      <c r="AC17" s="5">
        <v>-27</v>
      </c>
      <c r="AD17" s="5">
        <v>-3</v>
      </c>
      <c r="AE17" s="5">
        <v>56</v>
      </c>
      <c r="AF17" s="5">
        <v>20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T17" s="2">
        <v>-24</v>
      </c>
      <c r="AU17" s="2">
        <f>-42-19</f>
        <v>-61</v>
      </c>
      <c r="AV17" s="2">
        <v>-44</v>
      </c>
      <c r="AW17" s="2">
        <v>-50</v>
      </c>
      <c r="AX17" s="2">
        <v>-84</v>
      </c>
      <c r="AY17" s="2">
        <v>-31</v>
      </c>
      <c r="AZ17" s="2">
        <f>SUM(AE17:AH17)</f>
        <v>76</v>
      </c>
      <c r="BA17" s="2">
        <f>SUM(AF17:AM17)</f>
        <v>20</v>
      </c>
      <c r="BB17" s="2">
        <f>SUM(AG17:AQ17)</f>
        <v>0</v>
      </c>
      <c r="BC17" s="2">
        <f>+BB38*$BQ$25</f>
        <v>1476.1225020272757</v>
      </c>
      <c r="BD17" s="2">
        <f t="shared" ref="BD17:BN17" si="94">+BC38*$BQ$25</f>
        <v>1987.6957487724721</v>
      </c>
      <c r="BE17" s="2">
        <f t="shared" si="94"/>
        <v>2544.5700286827905</v>
      </c>
      <c r="BF17" s="2">
        <f t="shared" si="94"/>
        <v>3147.4064556802509</v>
      </c>
      <c r="BG17" s="2">
        <f t="shared" si="94"/>
        <v>3796.9328695789081</v>
      </c>
      <c r="BH17" s="2">
        <f t="shared" si="94"/>
        <v>4493.9436731872065</v>
      </c>
      <c r="BI17" s="2">
        <f t="shared" si="94"/>
        <v>5239.2997754563621</v>
      </c>
      <c r="BJ17" s="2">
        <f t="shared" si="94"/>
        <v>6033.9286383500021</v>
      </c>
      <c r="BK17" s="2">
        <f t="shared" si="94"/>
        <v>6878.8244253164403</v>
      </c>
      <c r="BL17" s="2">
        <f t="shared" si="94"/>
        <v>7775.0482494435728</v>
      </c>
      <c r="BM17" s="2">
        <f t="shared" si="94"/>
        <v>8723.7285195677741</v>
      </c>
      <c r="BN17" s="2">
        <f t="shared" si="94"/>
        <v>9726.0613827929174</v>
      </c>
    </row>
    <row r="18" spans="2:188" s="2" customFormat="1" x14ac:dyDescent="0.2">
      <c r="B18" s="2" t="s">
        <v>27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f t="shared" ref="W18:AD18" si="95">W16+W17</f>
        <v>1075</v>
      </c>
      <c r="X18" s="5">
        <f t="shared" si="95"/>
        <v>1700</v>
      </c>
      <c r="Y18" s="5">
        <f t="shared" si="95"/>
        <v>1336</v>
      </c>
      <c r="Z18" s="5">
        <f t="shared" si="95"/>
        <v>1817</v>
      </c>
      <c r="AA18" s="5">
        <f t="shared" si="95"/>
        <v>1618</v>
      </c>
      <c r="AB18" s="5">
        <f t="shared" si="95"/>
        <v>2036</v>
      </c>
      <c r="AC18" s="5">
        <f t="shared" si="95"/>
        <v>2189</v>
      </c>
      <c r="AD18" s="5">
        <f t="shared" si="95"/>
        <v>3303</v>
      </c>
      <c r="AE18" s="5">
        <f t="shared" ref="AE18:AH18" si="96">AE16+AE17</f>
        <v>2065</v>
      </c>
      <c r="AF18" s="5">
        <f t="shared" ref="AF18" si="97">AF16+AF17</f>
        <v>2766</v>
      </c>
      <c r="AG18" s="5">
        <f t="shared" si="96"/>
        <v>3562.1336379344584</v>
      </c>
      <c r="AH18" s="5">
        <f t="shared" si="96"/>
        <v>4898.4213804749988</v>
      </c>
      <c r="AI18" s="5">
        <f t="shared" ref="AI18:AL18" si="98">AI16+AI17</f>
        <v>3004.6503160182378</v>
      </c>
      <c r="AJ18" s="5">
        <f t="shared" si="98"/>
        <v>3742.7120425464791</v>
      </c>
      <c r="AK18" s="5">
        <f t="shared" si="98"/>
        <v>4824.7651316819311</v>
      </c>
      <c r="AL18" s="5">
        <f t="shared" si="98"/>
        <v>6633.0281556237742</v>
      </c>
      <c r="AT18" s="5">
        <f t="shared" ref="AT18" si="99">AT16+AT17</f>
        <v>1008</v>
      </c>
      <c r="AU18" s="5">
        <f t="shared" ref="AU18:AV18" si="100">AU16+AU17</f>
        <v>1695</v>
      </c>
      <c r="AV18" s="5">
        <f t="shared" si="100"/>
        <v>494</v>
      </c>
      <c r="AW18" s="5">
        <f t="shared" ref="AW18:AX18" si="101">AW16+AW17</f>
        <v>2754</v>
      </c>
      <c r="AX18" s="5">
        <f t="shared" si="101"/>
        <v>4910</v>
      </c>
      <c r="AY18" s="5">
        <f t="shared" ref="AY18:AZ18" si="102">AY16+AY17</f>
        <v>6194</v>
      </c>
      <c r="AZ18" s="5">
        <f t="shared" si="102"/>
        <v>13291.555018409457</v>
      </c>
      <c r="BA18" s="5">
        <f t="shared" ref="BA18" si="103">BA16+BA17</f>
        <v>24929.828761855373</v>
      </c>
      <c r="BB18" s="5">
        <f t="shared" ref="BB18" si="104">BB16+BB17</f>
        <v>33960.449688220222</v>
      </c>
      <c r="BC18" s="5">
        <f t="shared" ref="BC18" si="105">BC16+BC17</f>
        <v>34104.883116346442</v>
      </c>
      <c r="BD18" s="5">
        <f t="shared" ref="BD18" si="106">BD16+BD17</f>
        <v>37124.951994021219</v>
      </c>
      <c r="BE18" s="5">
        <f t="shared" ref="BE18" si="107">BE16+BE17</f>
        <v>40189.095133163995</v>
      </c>
      <c r="BF18" s="5">
        <f t="shared" ref="BF18" si="108">BF16+BF17</f>
        <v>43301.760926577146</v>
      </c>
      <c r="BG18" s="5">
        <f t="shared" ref="BG18" si="109">BG16+BG17</f>
        <v>46467.386907219894</v>
      </c>
      <c r="BH18" s="5">
        <f t="shared" ref="BH18" si="110">BH16+BH17</f>
        <v>49690.40681794376</v>
      </c>
      <c r="BI18" s="5">
        <f t="shared" ref="BI18" si="111">BI16+BI17</f>
        <v>52975.257526242618</v>
      </c>
      <c r="BJ18" s="5">
        <f t="shared" ref="BJ18" si="112">BJ16+BJ17</f>
        <v>56326.385797762516</v>
      </c>
      <c r="BK18" s="5">
        <f t="shared" ref="BK18" si="113">BK16+BK17</f>
        <v>59748.254941808867</v>
      </c>
      <c r="BL18" s="5">
        <f t="shared" ref="BL18" si="114">BL16+BL17</f>
        <v>63245.351341613408</v>
      </c>
      <c r="BM18" s="5">
        <f t="shared" ref="BM18" si="115">BM16+BM17</f>
        <v>66822.19088167623</v>
      </c>
      <c r="BN18" s="5">
        <f t="shared" ref="BN18" si="116">BN16+BN17</f>
        <v>70483.325284079459</v>
      </c>
    </row>
    <row r="19" spans="2:188" s="2" customFormat="1" x14ac:dyDescent="0.2">
      <c r="B19" s="2" t="s">
        <v>31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v>433</v>
      </c>
      <c r="X19" s="5">
        <v>595</v>
      </c>
      <c r="Y19" s="5">
        <v>530</v>
      </c>
      <c r="Z19" s="5">
        <v>413</v>
      </c>
      <c r="AA19" s="5">
        <v>420</v>
      </c>
      <c r="AB19" s="5">
        <v>554</v>
      </c>
      <c r="AC19" s="5">
        <v>536</v>
      </c>
      <c r="AD19" s="5">
        <v>995</v>
      </c>
      <c r="AE19" s="5">
        <v>555</v>
      </c>
      <c r="AF19" s="5">
        <v>711</v>
      </c>
      <c r="AG19" s="5">
        <f t="shared" ref="AG19:AH19" si="117">+AG18*0.25</f>
        <v>890.53340948361461</v>
      </c>
      <c r="AH19" s="5">
        <f t="shared" si="117"/>
        <v>1224.6053451187497</v>
      </c>
      <c r="AI19" s="5">
        <f t="shared" ref="AI19:AL19" si="118">+AI18*0.25</f>
        <v>751.16257900455946</v>
      </c>
      <c r="AJ19" s="5">
        <f t="shared" si="118"/>
        <v>935.67801063661977</v>
      </c>
      <c r="AK19" s="5">
        <f t="shared" si="118"/>
        <v>1206.1912829204828</v>
      </c>
      <c r="AL19" s="5">
        <f t="shared" si="118"/>
        <v>1658.2570389059435</v>
      </c>
      <c r="AT19" s="2">
        <f>402+234</f>
        <v>636</v>
      </c>
      <c r="AU19" s="2">
        <f>695+332</f>
        <v>1027</v>
      </c>
      <c r="AV19" s="2">
        <f>441+21</f>
        <v>462</v>
      </c>
      <c r="AW19" s="2">
        <f>1254+9</f>
        <v>1263</v>
      </c>
      <c r="AX19" s="2">
        <f>1970+15</f>
        <v>1985</v>
      </c>
      <c r="AY19" s="2">
        <f>2506+19</f>
        <v>2525</v>
      </c>
      <c r="AZ19" s="5">
        <f>AZ18*0.25</f>
        <v>3322.8887546023643</v>
      </c>
      <c r="BA19" s="5">
        <f t="shared" ref="BA19:BC19" si="119">BA18*0.25</f>
        <v>6232.4571904638433</v>
      </c>
      <c r="BB19" s="5">
        <f t="shared" si="119"/>
        <v>8490.1124220550555</v>
      </c>
      <c r="BC19" s="5">
        <f t="shared" si="119"/>
        <v>8526.2207790866105</v>
      </c>
      <c r="BD19" s="5">
        <f t="shared" ref="BD19" si="120">BD18*0.25</f>
        <v>9281.2379985053049</v>
      </c>
      <c r="BE19" s="5">
        <f t="shared" ref="BE19" si="121">BE18*0.25</f>
        <v>10047.273783290999</v>
      </c>
      <c r="BF19" s="5">
        <f t="shared" ref="BF19" si="122">BF18*0.25</f>
        <v>10825.440231644287</v>
      </c>
      <c r="BG19" s="5">
        <f t="shared" ref="BG19" si="123">BG18*0.25</f>
        <v>11616.846726804974</v>
      </c>
      <c r="BH19" s="5">
        <f t="shared" ref="BH19" si="124">BH18*0.25</f>
        <v>12422.60170448594</v>
      </c>
      <c r="BI19" s="5">
        <f t="shared" ref="BI19" si="125">BI18*0.25</f>
        <v>13243.814381560655</v>
      </c>
      <c r="BJ19" s="5">
        <f t="shared" ref="BJ19" si="126">BJ18*0.25</f>
        <v>14081.596449440629</v>
      </c>
      <c r="BK19" s="5">
        <f t="shared" ref="BK19" si="127">BK18*0.25</f>
        <v>14937.063735452217</v>
      </c>
      <c r="BL19" s="5">
        <f t="shared" ref="BL19" si="128">BL18*0.25</f>
        <v>15811.337835403352</v>
      </c>
      <c r="BM19" s="5">
        <f t="shared" ref="BM19" si="129">BM18*0.25</f>
        <v>16705.547720419057</v>
      </c>
      <c r="BN19" s="5">
        <f t="shared" ref="BN19" si="130">BN18*0.25</f>
        <v>17620.831321019865</v>
      </c>
    </row>
    <row r="20" spans="2:188" s="6" customFormat="1" x14ac:dyDescent="0.2">
      <c r="B20" s="6" t="s">
        <v>30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>
        <f t="shared" ref="W20:AD20" si="131">+W18-W19</f>
        <v>642</v>
      </c>
      <c r="X20" s="7">
        <f t="shared" si="131"/>
        <v>1105</v>
      </c>
      <c r="Y20" s="7">
        <f t="shared" si="131"/>
        <v>806</v>
      </c>
      <c r="Z20" s="7">
        <f t="shared" si="131"/>
        <v>1404</v>
      </c>
      <c r="AA20" s="7">
        <f t="shared" si="131"/>
        <v>1198</v>
      </c>
      <c r="AB20" s="7">
        <f t="shared" si="131"/>
        <v>1482</v>
      </c>
      <c r="AC20" s="7">
        <f t="shared" si="131"/>
        <v>1653</v>
      </c>
      <c r="AD20" s="7">
        <f t="shared" si="131"/>
        <v>2308</v>
      </c>
      <c r="AE20" s="7">
        <f>+AE18-AE19</f>
        <v>1510</v>
      </c>
      <c r="AF20" s="7">
        <f>+AF18-AF19</f>
        <v>2055</v>
      </c>
      <c r="AG20" s="7">
        <f t="shared" ref="AG20" si="132">+AG18-AG19</f>
        <v>2671.600228450844</v>
      </c>
      <c r="AH20" s="7">
        <f t="shared" ref="AH20:AL20" si="133">+AH18-AH19</f>
        <v>3673.8160353562489</v>
      </c>
      <c r="AI20" s="7">
        <f t="shared" si="133"/>
        <v>2253.4877370136783</v>
      </c>
      <c r="AJ20" s="7">
        <f t="shared" si="133"/>
        <v>2807.0340319098596</v>
      </c>
      <c r="AK20" s="7">
        <f t="shared" si="133"/>
        <v>3618.5738487614481</v>
      </c>
      <c r="AL20" s="7">
        <f t="shared" si="133"/>
        <v>4974.7711167178304</v>
      </c>
      <c r="AM20" s="7"/>
      <c r="AN20" s="7"/>
      <c r="AO20" s="7"/>
      <c r="AP20" s="7"/>
      <c r="AT20" s="6">
        <f t="shared" ref="AT20:AY20" si="134">+AT18-AT19</f>
        <v>372</v>
      </c>
      <c r="AU20" s="6">
        <f t="shared" si="134"/>
        <v>668</v>
      </c>
      <c r="AV20" s="6">
        <f t="shared" si="134"/>
        <v>32</v>
      </c>
      <c r="AW20" s="6">
        <f t="shared" si="134"/>
        <v>1491</v>
      </c>
      <c r="AX20" s="6">
        <f t="shared" si="134"/>
        <v>2925</v>
      </c>
      <c r="AY20" s="6">
        <f t="shared" si="134"/>
        <v>3669</v>
      </c>
      <c r="AZ20" s="7">
        <f t="shared" ref="AZ20" si="135">+AZ18-AZ19</f>
        <v>9968.666263807092</v>
      </c>
      <c r="BA20" s="7">
        <f t="shared" ref="BA20" si="136">+BA18-BA19</f>
        <v>18697.37157139153</v>
      </c>
      <c r="BB20" s="7">
        <f t="shared" ref="BB20" si="137">+BB18-BB19</f>
        <v>25470.337266165167</v>
      </c>
      <c r="BC20" s="7">
        <f>+BC18-BC19</f>
        <v>25578.662337259833</v>
      </c>
      <c r="BD20" s="7">
        <f t="shared" ref="BD20:BN20" si="138">+BD18-BD19</f>
        <v>27843.713995515915</v>
      </c>
      <c r="BE20" s="7">
        <f t="shared" si="138"/>
        <v>30141.821349872997</v>
      </c>
      <c r="BF20" s="7">
        <f t="shared" si="138"/>
        <v>32476.32069493286</v>
      </c>
      <c r="BG20" s="7">
        <f t="shared" si="138"/>
        <v>34850.540180414922</v>
      </c>
      <c r="BH20" s="7">
        <f t="shared" si="138"/>
        <v>37267.80511345782</v>
      </c>
      <c r="BI20" s="7">
        <f t="shared" si="138"/>
        <v>39731.443144681965</v>
      </c>
      <c r="BJ20" s="7">
        <f t="shared" si="138"/>
        <v>42244.789348321887</v>
      </c>
      <c r="BK20" s="7">
        <f t="shared" si="138"/>
        <v>44811.191206356649</v>
      </c>
      <c r="BL20" s="7">
        <f t="shared" si="138"/>
        <v>47434.01350621006</v>
      </c>
      <c r="BM20" s="7">
        <f t="shared" si="138"/>
        <v>50116.643161257176</v>
      </c>
      <c r="BN20" s="7">
        <f t="shared" si="138"/>
        <v>52862.493963059591</v>
      </c>
      <c r="BO20" s="6">
        <f>+BN20*(1+$BQ$23)</f>
        <v>52333.869023428997</v>
      </c>
      <c r="BP20" s="6">
        <f t="shared" ref="BP20:DZ20" si="139">+BO20*(1+$BQ$23)</f>
        <v>51810.530333194707</v>
      </c>
      <c r="BQ20" s="6">
        <f t="shared" si="139"/>
        <v>51292.425029862759</v>
      </c>
      <c r="BR20" s="6">
        <f t="shared" si="139"/>
        <v>50779.500779564129</v>
      </c>
      <c r="BS20" s="6">
        <f t="shared" si="139"/>
        <v>50271.705771768487</v>
      </c>
      <c r="BT20" s="6">
        <f t="shared" si="139"/>
        <v>49768.9887140508</v>
      </c>
      <c r="BU20" s="6">
        <f t="shared" si="139"/>
        <v>49271.298826910293</v>
      </c>
      <c r="BV20" s="6">
        <f t="shared" si="139"/>
        <v>48778.585838641193</v>
      </c>
      <c r="BW20" s="6">
        <f t="shared" si="139"/>
        <v>48290.799980254778</v>
      </c>
      <c r="BX20" s="6">
        <f t="shared" si="139"/>
        <v>47807.89198045223</v>
      </c>
      <c r="BY20" s="6">
        <f t="shared" si="139"/>
        <v>47329.813060647706</v>
      </c>
      <c r="BZ20" s="6">
        <f t="shared" si="139"/>
        <v>46856.51493004123</v>
      </c>
      <c r="CA20" s="6">
        <f t="shared" si="139"/>
        <v>46387.949780740819</v>
      </c>
      <c r="CB20" s="6">
        <f t="shared" si="139"/>
        <v>45924.070282933411</v>
      </c>
      <c r="CC20" s="6">
        <f t="shared" si="139"/>
        <v>45464.82958010408</v>
      </c>
      <c r="CD20" s="6">
        <f t="shared" si="139"/>
        <v>45010.181284303042</v>
      </c>
      <c r="CE20" s="6">
        <f t="shared" si="139"/>
        <v>44560.079471460012</v>
      </c>
      <c r="CF20" s="6">
        <f t="shared" si="139"/>
        <v>44114.478676745413</v>
      </c>
      <c r="CG20" s="6">
        <f t="shared" si="139"/>
        <v>43673.333889977956</v>
      </c>
      <c r="CH20" s="6">
        <f t="shared" si="139"/>
        <v>43236.600551078176</v>
      </c>
      <c r="CI20" s="6">
        <f t="shared" si="139"/>
        <v>42804.234545567393</v>
      </c>
      <c r="CJ20" s="6">
        <f t="shared" si="139"/>
        <v>42376.19220011172</v>
      </c>
      <c r="CK20" s="6">
        <f t="shared" si="139"/>
        <v>41952.430278110602</v>
      </c>
      <c r="CL20" s="6">
        <f t="shared" si="139"/>
        <v>41532.905975329493</v>
      </c>
      <c r="CM20" s="6">
        <f t="shared" si="139"/>
        <v>41117.576915576195</v>
      </c>
      <c r="CN20" s="6">
        <f t="shared" si="139"/>
        <v>40706.40114642043</v>
      </c>
      <c r="CO20" s="6">
        <f t="shared" si="139"/>
        <v>40299.337134956229</v>
      </c>
      <c r="CP20" s="6">
        <f t="shared" si="139"/>
        <v>39896.343763606666</v>
      </c>
      <c r="CQ20" s="6">
        <f t="shared" si="139"/>
        <v>39497.380325970596</v>
      </c>
      <c r="CR20" s="6">
        <f t="shared" si="139"/>
        <v>39102.406522710888</v>
      </c>
      <c r="CS20" s="6">
        <f t="shared" si="139"/>
        <v>38711.382457483778</v>
      </c>
      <c r="CT20" s="6">
        <f t="shared" si="139"/>
        <v>38324.268632908941</v>
      </c>
      <c r="CU20" s="6">
        <f t="shared" si="139"/>
        <v>37941.025946579852</v>
      </c>
      <c r="CV20" s="6">
        <f t="shared" si="139"/>
        <v>37561.615687114056</v>
      </c>
      <c r="CW20" s="6">
        <f t="shared" si="139"/>
        <v>37185.999530242916</v>
      </c>
      <c r="CX20" s="6">
        <f t="shared" si="139"/>
        <v>36814.139534940485</v>
      </c>
      <c r="CY20" s="6">
        <f t="shared" si="139"/>
        <v>36445.99813959108</v>
      </c>
      <c r="CZ20" s="6">
        <f t="shared" si="139"/>
        <v>36081.538158195166</v>
      </c>
      <c r="DA20" s="6">
        <f t="shared" si="139"/>
        <v>35720.722776613213</v>
      </c>
      <c r="DB20" s="6">
        <f t="shared" si="139"/>
        <v>35363.515548847077</v>
      </c>
      <c r="DC20" s="6">
        <f t="shared" si="139"/>
        <v>35009.88039335861</v>
      </c>
      <c r="DD20" s="6">
        <f t="shared" si="139"/>
        <v>34659.781589425023</v>
      </c>
      <c r="DE20" s="6">
        <f t="shared" si="139"/>
        <v>34313.183773530771</v>
      </c>
      <c r="DF20" s="6">
        <f t="shared" si="139"/>
        <v>33970.051935795462</v>
      </c>
      <c r="DG20" s="6">
        <f t="shared" si="139"/>
        <v>33630.351416437508</v>
      </c>
      <c r="DH20" s="6">
        <f t="shared" si="139"/>
        <v>33294.047902273131</v>
      </c>
      <c r="DI20" s="6">
        <f t="shared" si="139"/>
        <v>32961.107423250396</v>
      </c>
      <c r="DJ20" s="6">
        <f t="shared" si="139"/>
        <v>32631.496349017892</v>
      </c>
      <c r="DK20" s="6">
        <f t="shared" si="139"/>
        <v>32305.181385527714</v>
      </c>
      <c r="DL20" s="6">
        <f t="shared" si="139"/>
        <v>31982.129571672438</v>
      </c>
      <c r="DM20" s="6">
        <f t="shared" si="139"/>
        <v>31662.308275955715</v>
      </c>
      <c r="DN20" s="6">
        <f t="shared" si="139"/>
        <v>31345.685193196157</v>
      </c>
      <c r="DO20" s="6">
        <f t="shared" si="139"/>
        <v>31032.228341264195</v>
      </c>
      <c r="DP20" s="6">
        <f t="shared" si="139"/>
        <v>30721.906057851553</v>
      </c>
      <c r="DQ20" s="6">
        <f t="shared" si="139"/>
        <v>30414.686997273038</v>
      </c>
      <c r="DR20" s="6">
        <f t="shared" si="139"/>
        <v>30110.540127300308</v>
      </c>
      <c r="DS20" s="6">
        <f t="shared" si="139"/>
        <v>29809.434726027306</v>
      </c>
      <c r="DT20" s="6">
        <f t="shared" si="139"/>
        <v>29511.340378767032</v>
      </c>
      <c r="DU20" s="6">
        <f t="shared" si="139"/>
        <v>29216.226974979363</v>
      </c>
      <c r="DV20" s="6">
        <f t="shared" si="139"/>
        <v>28924.064705229568</v>
      </c>
      <c r="DW20" s="6">
        <f t="shared" si="139"/>
        <v>28634.824058177273</v>
      </c>
      <c r="DX20" s="6">
        <f t="shared" si="139"/>
        <v>28348.475817595499</v>
      </c>
      <c r="DY20" s="6">
        <f t="shared" si="139"/>
        <v>28064.991059419543</v>
      </c>
      <c r="DZ20" s="6">
        <f t="shared" si="139"/>
        <v>27784.341148825348</v>
      </c>
      <c r="EA20" s="6">
        <f t="shared" ref="EA20" si="140">+DZ20*(1+$BQ$23)</f>
        <v>27506.497737337093</v>
      </c>
      <c r="EB20" s="6">
        <f t="shared" ref="EB20" si="141">+EA20*(1+$BQ$23)</f>
        <v>27231.432759963722</v>
      </c>
      <c r="EC20" s="6">
        <f t="shared" ref="EC20" si="142">+EB20*(1+$BQ$23)</f>
        <v>26959.118432364085</v>
      </c>
      <c r="ED20" s="6">
        <f t="shared" ref="ED20" si="143">+EC20*(1+$BQ$23)</f>
        <v>26689.527248040442</v>
      </c>
      <c r="EE20" s="6">
        <f t="shared" ref="EE20" si="144">+ED20*(1+$BQ$23)</f>
        <v>26422.631975560038</v>
      </c>
      <c r="EF20" s="6">
        <f t="shared" ref="EF20" si="145">+EE20*(1+$BQ$23)</f>
        <v>26158.405655804436</v>
      </c>
      <c r="EG20" s="6">
        <f t="shared" ref="EG20" si="146">+EF20*(1+$BQ$23)</f>
        <v>25896.821599246392</v>
      </c>
      <c r="EH20" s="6">
        <f t="shared" ref="EH20" si="147">+EG20*(1+$BQ$23)</f>
        <v>25637.853383253929</v>
      </c>
      <c r="EI20" s="6">
        <f t="shared" ref="EI20" si="148">+EH20*(1+$BQ$23)</f>
        <v>25381.474849421389</v>
      </c>
      <c r="EJ20" s="6">
        <f t="shared" ref="EJ20" si="149">+EI20*(1+$BQ$23)</f>
        <v>25127.660100927176</v>
      </c>
      <c r="EK20" s="6">
        <f t="shared" ref="EK20" si="150">+EJ20*(1+$BQ$23)</f>
        <v>24876.383499917905</v>
      </c>
      <c r="EL20" s="6">
        <f t="shared" ref="EL20" si="151">+EK20*(1+$BQ$23)</f>
        <v>24627.619664918726</v>
      </c>
      <c r="EM20" s="6">
        <f t="shared" ref="EM20" si="152">+EL20*(1+$BQ$23)</f>
        <v>24381.343468269537</v>
      </c>
      <c r="EN20" s="6">
        <f t="shared" ref="EN20" si="153">+EM20*(1+$BQ$23)</f>
        <v>24137.530033586841</v>
      </c>
      <c r="EO20" s="6">
        <f t="shared" ref="EO20" si="154">+EN20*(1+$BQ$23)</f>
        <v>23896.154733250973</v>
      </c>
      <c r="EP20" s="6">
        <f t="shared" ref="EP20" si="155">+EO20*(1+$BQ$23)</f>
        <v>23657.193185918462</v>
      </c>
      <c r="EQ20" s="6">
        <f t="shared" ref="EQ20" si="156">+EP20*(1+$BQ$23)</f>
        <v>23420.621254059279</v>
      </c>
      <c r="ER20" s="6">
        <f t="shared" ref="ER20" si="157">+EQ20*(1+$BQ$23)</f>
        <v>23186.415041518685</v>
      </c>
      <c r="ES20" s="6">
        <f t="shared" ref="ES20" si="158">+ER20*(1+$BQ$23)</f>
        <v>22954.550891103499</v>
      </c>
      <c r="ET20" s="6">
        <f t="shared" ref="ET20" si="159">+ES20*(1+$BQ$23)</f>
        <v>22725.005382192463</v>
      </c>
      <c r="EU20" s="6">
        <f t="shared" ref="EU20" si="160">+ET20*(1+$BQ$23)</f>
        <v>22497.755328370538</v>
      </c>
      <c r="EV20" s="6">
        <f t="shared" ref="EV20" si="161">+EU20*(1+$BQ$23)</f>
        <v>22272.777775086834</v>
      </c>
      <c r="EW20" s="6">
        <f t="shared" ref="EW20" si="162">+EV20*(1+$BQ$23)</f>
        <v>22050.049997335966</v>
      </c>
      <c r="EX20" s="6">
        <f t="shared" ref="EX20" si="163">+EW20*(1+$BQ$23)</f>
        <v>21829.549497362605</v>
      </c>
      <c r="EY20" s="6">
        <f t="shared" ref="EY20" si="164">+EX20*(1+$BQ$23)</f>
        <v>21611.254002388978</v>
      </c>
      <c r="EZ20" s="6">
        <f t="shared" ref="EZ20" si="165">+EY20*(1+$BQ$23)</f>
        <v>21395.141462365089</v>
      </c>
      <c r="FA20" s="6">
        <f t="shared" ref="FA20" si="166">+EZ20*(1+$BQ$23)</f>
        <v>21181.190047741438</v>
      </c>
      <c r="FB20" s="6">
        <f t="shared" ref="FB20" si="167">+FA20*(1+$BQ$23)</f>
        <v>20969.378147264022</v>
      </c>
      <c r="FC20" s="6">
        <f t="shared" ref="FC20" si="168">+FB20*(1+$BQ$23)</f>
        <v>20759.684365791381</v>
      </c>
      <c r="FD20" s="6">
        <f t="shared" ref="FD20" si="169">+FC20*(1+$BQ$23)</f>
        <v>20552.087522133468</v>
      </c>
      <c r="FE20" s="6">
        <f t="shared" ref="FE20" si="170">+FD20*(1+$BQ$23)</f>
        <v>20346.566646912132</v>
      </c>
      <c r="FF20" s="6">
        <f t="shared" ref="FF20" si="171">+FE20*(1+$BQ$23)</f>
        <v>20143.10098044301</v>
      </c>
      <c r="FG20" s="6">
        <f t="shared" ref="FG20" si="172">+FF20*(1+$BQ$23)</f>
        <v>19941.669970638581</v>
      </c>
      <c r="FH20" s="6">
        <f t="shared" ref="FH20" si="173">+FG20*(1+$BQ$23)</f>
        <v>19742.253270932193</v>
      </c>
      <c r="FI20" s="6">
        <f t="shared" ref="FI20" si="174">+FH20*(1+$BQ$23)</f>
        <v>19544.83073822287</v>
      </c>
      <c r="FJ20" s="6">
        <f t="shared" ref="FJ20" si="175">+FI20*(1+$BQ$23)</f>
        <v>19349.38243084064</v>
      </c>
      <c r="FK20" s="6">
        <f t="shared" ref="FK20" si="176">+FJ20*(1+$BQ$23)</f>
        <v>19155.888606532233</v>
      </c>
      <c r="FL20" s="6">
        <f t="shared" ref="FL20" si="177">+FK20*(1+$BQ$23)</f>
        <v>18964.329720466911</v>
      </c>
      <c r="FM20" s="6">
        <f t="shared" ref="FM20" si="178">+FL20*(1+$BQ$23)</f>
        <v>18774.686423262243</v>
      </c>
      <c r="FN20" s="6">
        <f t="shared" ref="FN20" si="179">+FM20*(1+$BQ$23)</f>
        <v>18586.939559029619</v>
      </c>
      <c r="FO20" s="6">
        <f t="shared" ref="FO20" si="180">+FN20*(1+$BQ$23)</f>
        <v>18401.070163439323</v>
      </c>
      <c r="FP20" s="6">
        <f t="shared" ref="FP20" si="181">+FO20*(1+$BQ$23)</f>
        <v>18217.059461804929</v>
      </c>
      <c r="FQ20" s="6">
        <f t="shared" ref="FQ20" si="182">+FP20*(1+$BQ$23)</f>
        <v>18034.888867186881</v>
      </c>
      <c r="FR20" s="6">
        <f t="shared" ref="FR20" si="183">+FQ20*(1+$BQ$23)</f>
        <v>17854.539978515011</v>
      </c>
      <c r="FS20" s="6">
        <f t="shared" ref="FS20" si="184">+FR20*(1+$BQ$23)</f>
        <v>17675.99457872986</v>
      </c>
      <c r="FT20" s="6">
        <f t="shared" ref="FT20" si="185">+FS20*(1+$BQ$23)</f>
        <v>17499.23463294256</v>
      </c>
      <c r="FU20" s="6">
        <f t="shared" ref="FU20" si="186">+FT20*(1+$BQ$23)</f>
        <v>17324.242286613135</v>
      </c>
      <c r="FV20" s="6">
        <f t="shared" ref="FV20" si="187">+FU20*(1+$BQ$23)</f>
        <v>17150.999863747002</v>
      </c>
      <c r="FW20" s="6">
        <f t="shared" ref="FW20" si="188">+FV20*(1+$BQ$23)</f>
        <v>16979.489865109532</v>
      </c>
      <c r="FX20" s="6">
        <f t="shared" ref="FX20" si="189">+FW20*(1+$BQ$23)</f>
        <v>16809.694966458435</v>
      </c>
      <c r="FY20" s="6">
        <f t="shared" ref="FY20" si="190">+FX20*(1+$BQ$23)</f>
        <v>16641.598016793851</v>
      </c>
      <c r="FZ20" s="6">
        <f t="shared" ref="FZ20" si="191">+FY20*(1+$BQ$23)</f>
        <v>16475.182036625913</v>
      </c>
      <c r="GA20" s="6">
        <f t="shared" ref="GA20" si="192">+FZ20*(1+$BQ$23)</f>
        <v>16310.430216259654</v>
      </c>
      <c r="GB20" s="6">
        <f t="shared" ref="GB20" si="193">+GA20*(1+$BQ$23)</f>
        <v>16147.325914097057</v>
      </c>
      <c r="GC20" s="6">
        <f t="shared" ref="GC20" si="194">+GB20*(1+$BQ$23)</f>
        <v>15985.852654956087</v>
      </c>
      <c r="GD20" s="6">
        <f t="shared" ref="GD20" si="195">+GC20*(1+$BQ$23)</f>
        <v>15825.994128406526</v>
      </c>
      <c r="GE20" s="6">
        <f t="shared" ref="GE20" si="196">+GD20*(1+$BQ$23)</f>
        <v>15667.734187122462</v>
      </c>
      <c r="GF20" s="6">
        <f t="shared" ref="GF20" si="197">+GE20*(1+$BQ$23)</f>
        <v>15511.056845251236</v>
      </c>
    </row>
    <row r="21" spans="2:188" s="2" customFormat="1" x14ac:dyDescent="0.2">
      <c r="B21" s="2" t="s">
        <v>66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19">
        <f>AE20/AE22</f>
        <v>0.52285318559556782</v>
      </c>
      <c r="AF21" s="19">
        <f>AF20/AF22</f>
        <v>0.7076446280991735</v>
      </c>
      <c r="AG21" s="5"/>
      <c r="AH21" s="5"/>
      <c r="AI21" s="5"/>
      <c r="AJ21" s="5"/>
      <c r="AK21" s="5"/>
      <c r="AL21" s="5"/>
      <c r="AT21" s="1">
        <f t="shared" ref="AT21:AY21" si="198">AT20/AT22</f>
        <v>0.26308345120226306</v>
      </c>
      <c r="AU21" s="1">
        <f t="shared" si="198"/>
        <v>0.44297082228116713</v>
      </c>
      <c r="AV21" s="1">
        <f t="shared" si="198"/>
        <v>1.4773776546629732E-2</v>
      </c>
      <c r="AW21" s="1">
        <f t="shared" si="198"/>
        <v>0.59237187127532775</v>
      </c>
      <c r="AX21" s="1">
        <f t="shared" si="198"/>
        <v>1.097972972972973</v>
      </c>
      <c r="AY21" s="1">
        <f t="shared" si="198"/>
        <v>1.2860147213459516</v>
      </c>
    </row>
    <row r="22" spans="2:188" s="2" customFormat="1" x14ac:dyDescent="0.2">
      <c r="B22" s="2" t="s">
        <v>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>
        <v>2888</v>
      </c>
      <c r="AF22" s="5">
        <v>2904</v>
      </c>
      <c r="AG22" s="5"/>
      <c r="AH22" s="5"/>
      <c r="AI22" s="5"/>
      <c r="AJ22" s="5"/>
      <c r="AK22" s="5"/>
      <c r="AL22" s="5"/>
      <c r="AT22" s="2">
        <v>1414</v>
      </c>
      <c r="AU22" s="2">
        <v>1508</v>
      </c>
      <c r="AV22" s="2">
        <v>2166</v>
      </c>
      <c r="AW22" s="2">
        <v>2517</v>
      </c>
      <c r="AX22" s="2">
        <v>2664</v>
      </c>
      <c r="AY22" s="2">
        <v>2853</v>
      </c>
    </row>
    <row r="23" spans="2:188" s="2" customFormat="1" x14ac:dyDescent="0.2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BP23" s="2" t="s">
        <v>34</v>
      </c>
      <c r="BQ23" s="15">
        <v>-0.01</v>
      </c>
    </row>
    <row r="24" spans="2:188" s="2" customFormat="1" x14ac:dyDescent="0.2">
      <c r="B24" s="2" t="s">
        <v>29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>
        <f>W11/W9</f>
        <v>0.815347721822542</v>
      </c>
      <c r="X24" s="4">
        <f t="shared" ref="X24:AD24" si="199">X11/X9</f>
        <v>0.8429553264604811</v>
      </c>
      <c r="Y24" s="4">
        <f t="shared" si="199"/>
        <v>0.82360287230721196</v>
      </c>
      <c r="Z24" s="4">
        <f t="shared" si="199"/>
        <v>0.83510776421708643</v>
      </c>
      <c r="AA24" s="4">
        <f>AA11/AA9</f>
        <v>0.81541066892464009</v>
      </c>
      <c r="AB24" s="4">
        <f t="shared" si="199"/>
        <v>0.8399307273626917</v>
      </c>
      <c r="AC24" s="4">
        <f t="shared" si="199"/>
        <v>0.84470117751610752</v>
      </c>
      <c r="AD24" s="4">
        <f t="shared" si="199"/>
        <v>0.86269474405067625</v>
      </c>
      <c r="AE24" s="4">
        <f t="shared" ref="AE24:AH24" si="200">AE11/AE9</f>
        <v>0.84429580081753997</v>
      </c>
      <c r="AF24" s="4">
        <f t="shared" si="200"/>
        <v>0.8576755748912368</v>
      </c>
      <c r="AG24" s="4">
        <f t="shared" si="200"/>
        <v>0.86</v>
      </c>
      <c r="AH24" s="4">
        <f t="shared" si="200"/>
        <v>0.86</v>
      </c>
      <c r="AI24" s="4">
        <f t="shared" ref="AI24:AL24" si="201">AI11/AI9</f>
        <v>0.86</v>
      </c>
      <c r="AJ24" s="4">
        <f t="shared" si="201"/>
        <v>0.86</v>
      </c>
      <c r="AK24" s="4">
        <f t="shared" si="201"/>
        <v>0.86</v>
      </c>
      <c r="AL24" s="4">
        <f t="shared" si="201"/>
        <v>0.86</v>
      </c>
      <c r="AT24" s="4">
        <f t="shared" ref="AT24:AU24" si="202">AT11/AT9</f>
        <v>0.75025329280648434</v>
      </c>
      <c r="AU24" s="4">
        <f t="shared" si="202"/>
        <v>0.76825653462678523</v>
      </c>
      <c r="AV24" s="4">
        <f t="shared" ref="AV24:AW24" si="203">AV11/AV9</f>
        <v>0.73197091766555311</v>
      </c>
      <c r="AW24" s="4">
        <f t="shared" si="203"/>
        <v>0.76181402439024393</v>
      </c>
      <c r="AX24" s="4">
        <f t="shared" ref="AX24:AY24" si="204">AX11/AX9</f>
        <v>0.82729022942403341</v>
      </c>
      <c r="AY24" s="4">
        <f t="shared" si="204"/>
        <v>0.84008255243195007</v>
      </c>
      <c r="AZ24" s="4">
        <f t="shared" ref="AZ24:BC24" si="205">AZ11/AZ9</f>
        <v>0.85629716657328014</v>
      </c>
      <c r="BA24" s="4">
        <f t="shared" si="205"/>
        <v>0.85</v>
      </c>
      <c r="BB24" s="4">
        <f t="shared" si="205"/>
        <v>0.85</v>
      </c>
      <c r="BC24" s="4">
        <f t="shared" si="205"/>
        <v>0.85</v>
      </c>
      <c r="BD24" s="4">
        <f t="shared" ref="BD24:BN24" si="206">BD11/BD9</f>
        <v>0.85</v>
      </c>
      <c r="BE24" s="4">
        <f t="shared" si="206"/>
        <v>0.85</v>
      </c>
      <c r="BF24" s="4">
        <f t="shared" si="206"/>
        <v>0.85</v>
      </c>
      <c r="BG24" s="4">
        <f t="shared" si="206"/>
        <v>0.85</v>
      </c>
      <c r="BH24" s="4">
        <f t="shared" si="206"/>
        <v>0.85</v>
      </c>
      <c r="BI24" s="4">
        <f t="shared" si="206"/>
        <v>0.85</v>
      </c>
      <c r="BJ24" s="4">
        <f t="shared" si="206"/>
        <v>0.85</v>
      </c>
      <c r="BK24" s="4">
        <f t="shared" si="206"/>
        <v>0.85000000000000009</v>
      </c>
      <c r="BL24" s="4">
        <f t="shared" si="206"/>
        <v>0.85</v>
      </c>
      <c r="BM24" s="4">
        <f t="shared" si="206"/>
        <v>0.85</v>
      </c>
      <c r="BN24" s="4">
        <f t="shared" si="206"/>
        <v>0.85</v>
      </c>
      <c r="BP24" s="2" t="s">
        <v>35</v>
      </c>
      <c r="BQ24" s="15">
        <v>0.08</v>
      </c>
    </row>
    <row r="25" spans="2:188" s="2" customFormat="1" x14ac:dyDescent="0.2">
      <c r="B25" s="2" t="s">
        <v>38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f>W16/W9</f>
        <v>0.42965627498001596</v>
      </c>
      <c r="X25" s="4">
        <f t="shared" ref="X25:AH25" si="207">X16/X9</f>
        <v>0.58556701030927838</v>
      </c>
      <c r="Y25" s="4">
        <f t="shared" si="207"/>
        <v>0.43615360599438024</v>
      </c>
      <c r="Z25" s="4">
        <f t="shared" si="207"/>
        <v>0.47675928330303818</v>
      </c>
      <c r="AA25" s="4">
        <f>AA16/AA9</f>
        <v>0.45695738075077619</v>
      </c>
      <c r="AB25" s="4">
        <f t="shared" si="207"/>
        <v>0.50371103414151408</v>
      </c>
      <c r="AC25" s="4">
        <f t="shared" si="207"/>
        <v>0.49233503665852035</v>
      </c>
      <c r="AD25" s="4">
        <f t="shared" si="207"/>
        <v>0.56599897277863376</v>
      </c>
      <c r="AE25" s="4">
        <f t="shared" si="207"/>
        <v>0.37328130806391674</v>
      </c>
      <c r="AF25" s="4">
        <f t="shared" si="207"/>
        <v>0.42666252330640148</v>
      </c>
      <c r="AG25" s="4">
        <f t="shared" si="207"/>
        <v>0.5371400021643018</v>
      </c>
      <c r="AH25" s="4">
        <f t="shared" si="207"/>
        <v>0.58201976296458358</v>
      </c>
      <c r="AI25" s="4">
        <f t="shared" ref="AI25:AL25" si="208">AI16/AI9</f>
        <v>0.4020599581007025</v>
      </c>
      <c r="AJ25" s="4">
        <f t="shared" si="208"/>
        <v>0.4298743495657002</v>
      </c>
      <c r="AK25" s="4">
        <f t="shared" si="208"/>
        <v>0.53780472990859596</v>
      </c>
      <c r="AL25" s="4">
        <f t="shared" si="208"/>
        <v>0.58259208897945558</v>
      </c>
      <c r="AT25" s="4">
        <f t="shared" ref="AT25:AU25" si="209">AT16/AT9</f>
        <v>0.52279635258358659</v>
      </c>
      <c r="AU25" s="4">
        <f t="shared" si="209"/>
        <v>0.47318781999461063</v>
      </c>
      <c r="AV25" s="4">
        <f t="shared" ref="AV25:AW25" si="210">AV16/AV9</f>
        <v>0.10571821575948123</v>
      </c>
      <c r="AW25" s="4">
        <f t="shared" si="210"/>
        <v>0.35619918699186992</v>
      </c>
      <c r="AX25" s="4">
        <f t="shared" ref="AX25:AY25" si="211">AX16/AX9</f>
        <v>0.40060965827049577</v>
      </c>
      <c r="AY25" s="4">
        <f t="shared" si="211"/>
        <v>0.34722222222222221</v>
      </c>
      <c r="AZ25" s="4">
        <f t="shared" ref="AZ25:BN25" si="212">AZ16/AZ9</f>
        <v>0.4919079098795926</v>
      </c>
      <c r="BA25" s="4">
        <f t="shared" si="212"/>
        <v>0.56998994339316678</v>
      </c>
      <c r="BB25" s="4">
        <f t="shared" si="212"/>
        <v>0.58603878524996866</v>
      </c>
      <c r="BC25" s="4">
        <f t="shared" si="212"/>
        <v>0.53593992153289627</v>
      </c>
      <c r="BD25" s="4">
        <f t="shared" si="212"/>
        <v>0.56033293733616651</v>
      </c>
      <c r="BE25" s="4">
        <f t="shared" si="212"/>
        <v>0.58283134997025055</v>
      </c>
      <c r="BF25" s="4">
        <f t="shared" si="212"/>
        <v>0.60358231307935739</v>
      </c>
      <c r="BG25" s="4">
        <f t="shared" si="212"/>
        <v>0.6227215508984365</v>
      </c>
      <c r="BH25" s="4">
        <f t="shared" si="212"/>
        <v>0.64037424597428616</v>
      </c>
      <c r="BI25" s="4">
        <f t="shared" si="212"/>
        <v>0.6566558579374483</v>
      </c>
      <c r="BJ25" s="4">
        <f t="shared" si="212"/>
        <v>0.67167287868017078</v>
      </c>
      <c r="BK25" s="4">
        <f t="shared" si="212"/>
        <v>0.68552352887976931</v>
      </c>
      <c r="BL25" s="4">
        <f t="shared" si="212"/>
        <v>0.69829840042308811</v>
      </c>
      <c r="BM25" s="4">
        <f t="shared" si="212"/>
        <v>0.71008104893391621</v>
      </c>
      <c r="BN25" s="4">
        <f t="shared" si="212"/>
        <v>0.72094854027885469</v>
      </c>
      <c r="BP25" s="2" t="s">
        <v>81</v>
      </c>
      <c r="BQ25" s="15">
        <v>0.02</v>
      </c>
    </row>
    <row r="26" spans="2:188" s="2" customFormat="1" x14ac:dyDescent="0.2">
      <c r="B26" s="2" t="s">
        <v>107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f>W20/W9</f>
        <v>0.25659472422062352</v>
      </c>
      <c r="X26" s="4">
        <f t="shared" ref="X26:AL26" si="213">X20/X9</f>
        <v>0.3797250859106529</v>
      </c>
      <c r="Y26" s="4">
        <f t="shared" si="213"/>
        <v>0.25163908835466747</v>
      </c>
      <c r="Z26" s="4">
        <f t="shared" si="213"/>
        <v>0.36458062840820565</v>
      </c>
      <c r="AA26" s="4">
        <f>AA20/AA9</f>
        <v>0.33813152695455828</v>
      </c>
      <c r="AB26" s="4">
        <f t="shared" si="213"/>
        <v>0.36665017318159326</v>
      </c>
      <c r="AC26" s="4">
        <f t="shared" si="213"/>
        <v>0.36725172183959121</v>
      </c>
      <c r="AD26" s="4">
        <f t="shared" si="213"/>
        <v>0.39513781886663241</v>
      </c>
      <c r="AE26" s="4">
        <f t="shared" si="213"/>
        <v>0.28056484578223706</v>
      </c>
      <c r="AF26" s="4">
        <f t="shared" si="213"/>
        <v>0.31929770043505284</v>
      </c>
      <c r="AG26" s="4">
        <f t="shared" si="213"/>
        <v>0.40285500162322641</v>
      </c>
      <c r="AH26" s="4">
        <f t="shared" si="213"/>
        <v>0.43651482222343768</v>
      </c>
      <c r="AI26" s="4">
        <f t="shared" si="213"/>
        <v>0.30154496857552687</v>
      </c>
      <c r="AJ26" s="4">
        <f t="shared" si="213"/>
        <v>0.32240576217427519</v>
      </c>
      <c r="AK26" s="4">
        <f t="shared" si="213"/>
        <v>0.40335354743144691</v>
      </c>
      <c r="AL26" s="4">
        <f t="shared" si="213"/>
        <v>0.43694406673459163</v>
      </c>
      <c r="AT26" s="4">
        <f t="shared" ref="AT26:BN26" si="214">AT20/AT9</f>
        <v>0.18844984802431611</v>
      </c>
      <c r="AU26" s="4">
        <f t="shared" si="214"/>
        <v>0.18000538938291566</v>
      </c>
      <c r="AV26" s="4">
        <f t="shared" si="214"/>
        <v>6.2880723128315979E-3</v>
      </c>
      <c r="AW26" s="4">
        <f t="shared" si="214"/>
        <v>0.18940548780487804</v>
      </c>
      <c r="AX26" s="4">
        <f t="shared" si="214"/>
        <v>0.23463821594737685</v>
      </c>
      <c r="AY26" s="4">
        <f t="shared" si="214"/>
        <v>0.20465194109772422</v>
      </c>
      <c r="AZ26" s="4">
        <f t="shared" si="214"/>
        <v>0.37105258003055319</v>
      </c>
      <c r="BA26" s="4">
        <f t="shared" si="214"/>
        <v>0.42783568949691442</v>
      </c>
      <c r="BB26" s="4">
        <f t="shared" si="214"/>
        <v>0.4395290889374765</v>
      </c>
      <c r="BC26" s="4">
        <f t="shared" si="214"/>
        <v>0.42013935031082483</v>
      </c>
      <c r="BD26" s="4">
        <f t="shared" si="214"/>
        <v>0.44402300340582879</v>
      </c>
      <c r="BE26" s="4">
        <f t="shared" si="214"/>
        <v>0.46667074107457268</v>
      </c>
      <c r="BF26" s="4">
        <f t="shared" si="214"/>
        <v>0.4881695403561232</v>
      </c>
      <c r="BG26" s="4">
        <f t="shared" si="214"/>
        <v>0.50859975409804781</v>
      </c>
      <c r="BH26" s="4">
        <f t="shared" si="214"/>
        <v>0.52803562354449241</v>
      </c>
      <c r="BI26" s="4">
        <f t="shared" si="214"/>
        <v>0.54654575113944082</v>
      </c>
      <c r="BJ26" s="4">
        <f t="shared" si="214"/>
        <v>0.56419353663483307</v>
      </c>
      <c r="BK26" s="4">
        <f t="shared" si="214"/>
        <v>0.58103757935325173</v>
      </c>
      <c r="BL26" s="4">
        <f t="shared" si="214"/>
        <v>0.59713204923355256</v>
      </c>
      <c r="BM26" s="4">
        <f t="shared" si="214"/>
        <v>0.61252702908367962</v>
      </c>
      <c r="BN26" s="4">
        <f t="shared" si="214"/>
        <v>0.62726883027661451</v>
      </c>
      <c r="BQ26" s="15"/>
    </row>
    <row r="27" spans="2:188" x14ac:dyDescent="0.2">
      <c r="B27" t="s">
        <v>28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f t="shared" ref="W27:AD27" si="215">W19/W18</f>
        <v>0.40279069767441861</v>
      </c>
      <c r="X27" s="4">
        <f t="shared" si="215"/>
        <v>0.35</v>
      </c>
      <c r="Y27" s="4">
        <f t="shared" si="215"/>
        <v>0.3967065868263473</v>
      </c>
      <c r="Z27" s="4">
        <f t="shared" si="215"/>
        <v>0.22729774353329665</v>
      </c>
      <c r="AA27" s="4">
        <f t="shared" si="215"/>
        <v>0.25957972805933249</v>
      </c>
      <c r="AB27" s="4">
        <f t="shared" si="215"/>
        <v>0.27210216110019647</v>
      </c>
      <c r="AC27" s="4">
        <f t="shared" si="215"/>
        <v>0.24486066697121975</v>
      </c>
      <c r="AD27" s="4">
        <f t="shared" si="215"/>
        <v>0.3012412957917045</v>
      </c>
      <c r="AE27" s="4">
        <f t="shared" ref="AE27:AH27" si="216">AE19/AE18</f>
        <v>0.26876513317191281</v>
      </c>
      <c r="AF27" s="4">
        <f t="shared" si="216"/>
        <v>0.25704989154013014</v>
      </c>
      <c r="AG27" s="4">
        <f t="shared" si="216"/>
        <v>0.25</v>
      </c>
      <c r="AH27" s="4">
        <f t="shared" si="216"/>
        <v>0.25</v>
      </c>
      <c r="AI27" s="4">
        <f t="shared" ref="AI27:AL27" si="217">AI19/AI18</f>
        <v>0.25</v>
      </c>
      <c r="AJ27" s="4">
        <f t="shared" si="217"/>
        <v>0.25</v>
      </c>
      <c r="AK27" s="4">
        <f t="shared" si="217"/>
        <v>0.25</v>
      </c>
      <c r="AL27" s="4">
        <f t="shared" si="217"/>
        <v>0.25</v>
      </c>
      <c r="AT27" s="4">
        <f t="shared" ref="AT27:AU27" si="218">AT19/AT18</f>
        <v>0.63095238095238093</v>
      </c>
      <c r="AU27" s="4">
        <f t="shared" si="218"/>
        <v>0.60589970501474921</v>
      </c>
      <c r="AV27" s="4">
        <f t="shared" ref="AV27:AW27" si="219">AV19/AV18</f>
        <v>0.93522267206477738</v>
      </c>
      <c r="AW27" s="4">
        <f t="shared" si="219"/>
        <v>0.45860566448801743</v>
      </c>
      <c r="AX27" s="4">
        <f t="shared" ref="AX27:AY27" si="220">AX19/AX18</f>
        <v>0.40427698574338083</v>
      </c>
      <c r="AY27" s="4">
        <f t="shared" si="220"/>
        <v>0.40765256700032287</v>
      </c>
      <c r="AZ27" s="4">
        <f t="shared" ref="AZ27:BC27" si="221">AZ19/AZ18</f>
        <v>0.25</v>
      </c>
      <c r="BA27" s="4">
        <f t="shared" si="221"/>
        <v>0.25</v>
      </c>
      <c r="BB27" s="4">
        <f t="shared" si="221"/>
        <v>0.25</v>
      </c>
      <c r="BC27" s="4">
        <f t="shared" si="221"/>
        <v>0.25</v>
      </c>
      <c r="BD27" s="4">
        <f t="shared" ref="BD27:BN27" si="222">BD19/BD18</f>
        <v>0.25</v>
      </c>
      <c r="BE27" s="4">
        <f t="shared" si="222"/>
        <v>0.25</v>
      </c>
      <c r="BF27" s="4">
        <f t="shared" si="222"/>
        <v>0.25</v>
      </c>
      <c r="BG27" s="4">
        <f t="shared" si="222"/>
        <v>0.25</v>
      </c>
      <c r="BH27" s="4">
        <f t="shared" si="222"/>
        <v>0.25</v>
      </c>
      <c r="BI27" s="4">
        <f t="shared" si="222"/>
        <v>0.25</v>
      </c>
      <c r="BJ27" s="4">
        <f t="shared" si="222"/>
        <v>0.25</v>
      </c>
      <c r="BK27" s="4">
        <f t="shared" si="222"/>
        <v>0.25</v>
      </c>
      <c r="BL27" s="4">
        <f t="shared" si="222"/>
        <v>0.25</v>
      </c>
      <c r="BM27" s="4">
        <f t="shared" si="222"/>
        <v>0.25</v>
      </c>
      <c r="BN27" s="4">
        <f t="shared" si="222"/>
        <v>0.25</v>
      </c>
      <c r="BP27" t="s">
        <v>36</v>
      </c>
      <c r="BQ27" s="2">
        <f>NPV(BQ24,BA20:FC20)</f>
        <v>473206.64341357688</v>
      </c>
    </row>
    <row r="28" spans="2:188" x14ac:dyDescent="0.2">
      <c r="BP28" s="2" t="s">
        <v>108</v>
      </c>
      <c r="BQ28" s="1">
        <f>Main!L2</f>
        <v>128.69</v>
      </c>
    </row>
    <row r="29" spans="2:188" x14ac:dyDescent="0.2">
      <c r="BP29" s="2" t="s">
        <v>37</v>
      </c>
      <c r="BQ29" s="1">
        <f>BQ27/Main!L3</f>
        <v>165.68860063500591</v>
      </c>
    </row>
    <row r="30" spans="2:188" x14ac:dyDescent="0.2">
      <c r="B30" t="s">
        <v>33</v>
      </c>
      <c r="Y30" s="4"/>
      <c r="Z30" s="4"/>
      <c r="AA30" s="4">
        <f t="shared" ref="AA30:AL30" si="223">AA7/W7-1</f>
        <v>0.2133395847424624</v>
      </c>
      <c r="AB30" s="4">
        <f t="shared" si="223"/>
        <v>0.1895494305756722</v>
      </c>
      <c r="AC30" s="4">
        <f t="shared" si="223"/>
        <v>0.20569190812610194</v>
      </c>
      <c r="AD30" s="4">
        <f t="shared" si="223"/>
        <v>0.2963665781115794</v>
      </c>
      <c r="AE30" s="4">
        <f t="shared" si="223"/>
        <v>0.30443334446783554</v>
      </c>
      <c r="AF30" s="4">
        <f t="shared" si="223"/>
        <v>0.36400712868859286</v>
      </c>
      <c r="AG30" s="4">
        <f t="shared" si="223"/>
        <v>0.30000000000000004</v>
      </c>
      <c r="AH30" s="4">
        <f t="shared" si="223"/>
        <v>0.30000000000000004</v>
      </c>
      <c r="AI30" s="4">
        <f t="shared" si="223"/>
        <v>0.30000000000000004</v>
      </c>
      <c r="AJ30" s="4">
        <f t="shared" si="223"/>
        <v>0.30000000000000004</v>
      </c>
      <c r="AK30" s="4">
        <f t="shared" si="223"/>
        <v>0.30000000000000004</v>
      </c>
      <c r="AL30" s="4">
        <f t="shared" si="223"/>
        <v>0.30000000000000004</v>
      </c>
      <c r="BQ30" s="15">
        <f>BQ29/BQ28-1</f>
        <v>0.28750175332198236</v>
      </c>
    </row>
    <row r="31" spans="2:188" s="8" customFormat="1" x14ac:dyDescent="0.2">
      <c r="B31" s="8" t="s">
        <v>59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10">
        <f t="shared" ref="P31:AL31" si="224">P6/L6-1</f>
        <v>0.32374100719424459</v>
      </c>
      <c r="Q31" s="10">
        <f t="shared" si="224"/>
        <v>0.27789934354485779</v>
      </c>
      <c r="R31" s="10">
        <f t="shared" si="224"/>
        <v>0.27950310559006208</v>
      </c>
      <c r="S31" s="10">
        <f t="shared" si="224"/>
        <v>0.26425855513307983</v>
      </c>
      <c r="T31" s="10">
        <f t="shared" si="224"/>
        <v>0.26630434782608692</v>
      </c>
      <c r="U31" s="10">
        <f t="shared" si="224"/>
        <v>0.24657534246575352</v>
      </c>
      <c r="V31" s="10">
        <f t="shared" si="224"/>
        <v>0.22491909385113273</v>
      </c>
      <c r="W31" s="10">
        <f t="shared" si="224"/>
        <v>0.20601503759398487</v>
      </c>
      <c r="X31" s="10">
        <f t="shared" si="224"/>
        <v>0.18597997138769662</v>
      </c>
      <c r="Y31" s="10">
        <f t="shared" si="224"/>
        <v>0.18681318681318682</v>
      </c>
      <c r="Z31" s="10">
        <f t="shared" si="224"/>
        <v>0.17422574489945686</v>
      </c>
      <c r="AA31" s="10">
        <f t="shared" si="224"/>
        <v>0.16708229426433907</v>
      </c>
      <c r="AB31" s="10">
        <f t="shared" si="224"/>
        <v>0.16767189384800973</v>
      </c>
      <c r="AC31" s="10">
        <f t="shared" si="224"/>
        <v>0.1655092592592593</v>
      </c>
      <c r="AD31" s="10">
        <f t="shared" si="224"/>
        <v>0.16999999999999993</v>
      </c>
      <c r="AE31" s="10">
        <f t="shared" si="224"/>
        <v>0.16452991452991461</v>
      </c>
      <c r="AF31" s="10">
        <f t="shared" si="224"/>
        <v>0.1673553719008265</v>
      </c>
      <c r="AG31" s="10">
        <f t="shared" si="224"/>
        <v>0.13336643495531275</v>
      </c>
      <c r="AH31" s="10">
        <f t="shared" si="224"/>
        <v>0.10837788461538467</v>
      </c>
      <c r="AI31" s="10">
        <f t="shared" si="224"/>
        <v>6.8110211009174249E-2</v>
      </c>
      <c r="AJ31" s="10">
        <f t="shared" si="224"/>
        <v>4.0604010000000024E-2</v>
      </c>
      <c r="AK31" s="10">
        <f t="shared" si="224"/>
        <v>4.0604010000000024E-2</v>
      </c>
      <c r="AL31" s="10">
        <f t="shared" si="224"/>
        <v>4.0604010000000024E-2</v>
      </c>
      <c r="AY31" s="12">
        <f t="shared" ref="AY31:BN31" si="225">AY6/AX6-1</f>
        <v>0.16985376827896514</v>
      </c>
      <c r="AZ31" s="12">
        <f t="shared" si="225"/>
        <v>8.5099278846153759E-2</v>
      </c>
      <c r="BA31" s="12">
        <f t="shared" si="225"/>
        <v>2.0000000000000018E-2</v>
      </c>
      <c r="BB31" s="12">
        <f t="shared" si="225"/>
        <v>2.0000000000000018E-2</v>
      </c>
      <c r="BC31" s="12">
        <f t="shared" si="225"/>
        <v>2.0000000000000018E-2</v>
      </c>
      <c r="BD31" s="12">
        <f t="shared" si="225"/>
        <v>0</v>
      </c>
      <c r="BE31" s="12">
        <f t="shared" si="225"/>
        <v>0</v>
      </c>
      <c r="BF31" s="12">
        <f t="shared" si="225"/>
        <v>0</v>
      </c>
      <c r="BG31" s="12">
        <f t="shared" si="225"/>
        <v>0</v>
      </c>
      <c r="BH31" s="12">
        <f t="shared" si="225"/>
        <v>0</v>
      </c>
      <c r="BI31" s="12">
        <f t="shared" si="225"/>
        <v>0</v>
      </c>
      <c r="BJ31" s="12">
        <f t="shared" si="225"/>
        <v>0</v>
      </c>
      <c r="BK31" s="12">
        <f t="shared" si="225"/>
        <v>0</v>
      </c>
      <c r="BL31" s="12">
        <f t="shared" si="225"/>
        <v>0</v>
      </c>
      <c r="BM31" s="12">
        <f t="shared" si="225"/>
        <v>0</v>
      </c>
      <c r="BN31" s="12">
        <f t="shared" si="225"/>
        <v>0</v>
      </c>
    </row>
    <row r="32" spans="2:188" x14ac:dyDescent="0.2">
      <c r="B32" t="s">
        <v>60</v>
      </c>
      <c r="M32" s="4">
        <f t="shared" ref="M32:AF32" si="226">M6/L6-1</f>
        <v>9.592326139088736E-2</v>
      </c>
      <c r="N32" s="4">
        <f t="shared" si="226"/>
        <v>5.6892778993435478E-2</v>
      </c>
      <c r="O32" s="4">
        <f t="shared" si="226"/>
        <v>8.9026915113871619E-2</v>
      </c>
      <c r="P32" s="4">
        <f t="shared" si="226"/>
        <v>4.9429657794676896E-2</v>
      </c>
      <c r="Q32" s="4">
        <f t="shared" si="226"/>
        <v>5.7971014492753659E-2</v>
      </c>
      <c r="R32" s="4">
        <f t="shared" si="226"/>
        <v>5.821917808219168E-2</v>
      </c>
      <c r="S32" s="4">
        <f t="shared" si="226"/>
        <v>7.6051779935275121E-2</v>
      </c>
      <c r="T32" s="4">
        <f t="shared" si="226"/>
        <v>5.1127819548872244E-2</v>
      </c>
      <c r="U32" s="4">
        <f t="shared" si="226"/>
        <v>4.1487839771101598E-2</v>
      </c>
      <c r="V32" s="4">
        <f t="shared" si="226"/>
        <v>3.9835164835164916E-2</v>
      </c>
      <c r="W32" s="4">
        <f t="shared" si="226"/>
        <v>5.9445178335534976E-2</v>
      </c>
      <c r="X32" s="4">
        <f t="shared" si="226"/>
        <v>3.366583541147139E-2</v>
      </c>
      <c r="Y32" s="4">
        <f t="shared" si="226"/>
        <v>4.2219541616405287E-2</v>
      </c>
      <c r="Z32" s="4">
        <f t="shared" si="226"/>
        <v>2.8806584362139898E-2</v>
      </c>
      <c r="AA32" s="4">
        <f t="shared" si="226"/>
        <v>5.2999999999999936E-2</v>
      </c>
      <c r="AB32" s="4">
        <f t="shared" si="226"/>
        <v>3.4188034188034289E-2</v>
      </c>
      <c r="AC32" s="4">
        <f t="shared" si="226"/>
        <v>4.0289256198347001E-2</v>
      </c>
      <c r="AD32" s="4">
        <f t="shared" si="226"/>
        <v>3.2770605759682159E-2</v>
      </c>
      <c r="AE32" s="4">
        <f t="shared" si="226"/>
        <v>4.8076923076923128E-2</v>
      </c>
      <c r="AF32" s="4">
        <f t="shared" si="226"/>
        <v>3.669724770642202E-2</v>
      </c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</row>
    <row r="33" spans="2:66" s="8" customFormat="1" x14ac:dyDescent="0.2">
      <c r="B33" s="8" t="s">
        <v>63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10">
        <f t="shared" ref="P33:AD33" si="227">P4/L4-1</f>
        <v>0.11111111111111116</v>
      </c>
      <c r="Q33" s="10">
        <f t="shared" si="227"/>
        <v>6.4516129032258007E-2</v>
      </c>
      <c r="R33" s="10">
        <f t="shared" si="227"/>
        <v>7.1428571428571397E-2</v>
      </c>
      <c r="S33" s="10">
        <f t="shared" si="227"/>
        <v>7.7519379844961156E-2</v>
      </c>
      <c r="T33" s="10">
        <f t="shared" si="227"/>
        <v>9.2307692307692202E-2</v>
      </c>
      <c r="U33" s="10">
        <f t="shared" si="227"/>
        <v>9.0909090909090828E-2</v>
      </c>
      <c r="V33" s="10">
        <f t="shared" si="227"/>
        <v>8.8888888888888795E-2</v>
      </c>
      <c r="W33" s="10">
        <f t="shared" si="227"/>
        <v>7.9136690647481966E-2</v>
      </c>
      <c r="X33" s="10">
        <f t="shared" si="227"/>
        <v>7.0422535211267512E-2</v>
      </c>
      <c r="Y33" s="10">
        <f t="shared" si="227"/>
        <v>7.638888888888884E-2</v>
      </c>
      <c r="Z33" s="10">
        <f t="shared" si="227"/>
        <v>6.8027210884353817E-2</v>
      </c>
      <c r="AA33" s="10">
        <f t="shared" si="227"/>
        <v>7.333333333333325E-2</v>
      </c>
      <c r="AB33" s="10">
        <f t="shared" si="227"/>
        <v>7.8947368421052655E-2</v>
      </c>
      <c r="AC33" s="10">
        <f t="shared" si="227"/>
        <v>7.7419354838709653E-2</v>
      </c>
      <c r="AD33" s="10">
        <f t="shared" si="227"/>
        <v>7.6433121019108263E-2</v>
      </c>
      <c r="AE33" s="9"/>
      <c r="AF33" s="10"/>
      <c r="AG33" s="9"/>
      <c r="AH33" s="9"/>
      <c r="AI33" s="9"/>
      <c r="AJ33" s="9"/>
      <c r="AK33" s="9"/>
      <c r="AL33" s="9"/>
      <c r="AT33" s="12">
        <f t="shared" ref="AT33:AY33" si="228">AT4/AS4-1</f>
        <v>0.86458333333333326</v>
      </c>
      <c r="AU33" s="12">
        <f t="shared" si="228"/>
        <v>0.31843575418994408</v>
      </c>
      <c r="AV33" s="12">
        <f t="shared" si="228"/>
        <v>0.11440677966101687</v>
      </c>
      <c r="AW33" s="12">
        <f t="shared" si="228"/>
        <v>8.7452471482889704E-2</v>
      </c>
      <c r="AX33" s="12">
        <f t="shared" si="228"/>
        <v>7.3426573426573327E-2</v>
      </c>
      <c r="AY33" s="12">
        <f t="shared" si="228"/>
        <v>7.654723127035834E-2</v>
      </c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</row>
    <row r="34" spans="2:66" x14ac:dyDescent="0.2">
      <c r="B34" t="s">
        <v>64</v>
      </c>
      <c r="M34" s="4">
        <f t="shared" ref="M34:AD34" si="229">M4/L4-1</f>
        <v>5.9829059829059839E-2</v>
      </c>
      <c r="N34" s="4">
        <f t="shared" si="229"/>
        <v>1.6129032258064502E-2</v>
      </c>
      <c r="O34" s="4">
        <f t="shared" si="229"/>
        <v>2.3809523809523725E-2</v>
      </c>
      <c r="P34" s="4">
        <f t="shared" si="229"/>
        <v>7.7519379844961378E-3</v>
      </c>
      <c r="Q34" s="4">
        <f t="shared" si="229"/>
        <v>1.538461538461533E-2</v>
      </c>
      <c r="R34" s="4">
        <f t="shared" si="229"/>
        <v>2.2727272727272707E-2</v>
      </c>
      <c r="S34" s="4">
        <f t="shared" si="229"/>
        <v>2.9629629629629672E-2</v>
      </c>
      <c r="T34" s="4">
        <f t="shared" si="229"/>
        <v>2.1582733812949728E-2</v>
      </c>
      <c r="U34" s="4">
        <f t="shared" si="229"/>
        <v>1.4084507042253502E-2</v>
      </c>
      <c r="V34" s="4">
        <f t="shared" si="229"/>
        <v>2.0833333333333259E-2</v>
      </c>
      <c r="W34" s="4">
        <f t="shared" si="229"/>
        <v>2.0408163265306145E-2</v>
      </c>
      <c r="X34" s="4">
        <f t="shared" si="229"/>
        <v>1.3333333333333419E-2</v>
      </c>
      <c r="Y34" s="4">
        <f t="shared" si="229"/>
        <v>1.9736842105263053E-2</v>
      </c>
      <c r="Z34" s="4">
        <f t="shared" si="229"/>
        <v>1.2903225806451646E-2</v>
      </c>
      <c r="AA34" s="4">
        <f t="shared" si="229"/>
        <v>2.5477707006369421E-2</v>
      </c>
      <c r="AB34" s="4">
        <f t="shared" si="229"/>
        <v>1.8633540372670732E-2</v>
      </c>
      <c r="AC34" s="4">
        <f t="shared" si="229"/>
        <v>1.8292682926829285E-2</v>
      </c>
      <c r="AD34" s="4">
        <f t="shared" si="229"/>
        <v>1.1976047904191711E-2</v>
      </c>
      <c r="AF34" s="4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</row>
    <row r="35" spans="2:66" s="8" customFormat="1" x14ac:dyDescent="0.2">
      <c r="B35" s="8" t="s">
        <v>19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10">
        <f>AA9/W9-1</f>
        <v>0.4160671462829737</v>
      </c>
      <c r="AB35" s="10">
        <f>AB9/X9-1</f>
        <v>0.38900343642611679</v>
      </c>
      <c r="AC35" s="10">
        <f>AC9/Y9-1</f>
        <v>0.40524508273493609</v>
      </c>
      <c r="AD35" s="10">
        <f>AD9/Z9-1</f>
        <v>0.516748896390548</v>
      </c>
      <c r="AE35" s="10">
        <f>AE9/AA9-1</f>
        <v>0.51905165114309915</v>
      </c>
      <c r="AF35" s="10">
        <f t="shared" ref="AF35:AL35" si="230">AF9/AB9-1</f>
        <v>0.5922810489856507</v>
      </c>
      <c r="AG35" s="10">
        <f t="shared" si="230"/>
        <v>0.47337636544190653</v>
      </c>
      <c r="AH35" s="10">
        <f t="shared" si="230"/>
        <v>0.44089124999999996</v>
      </c>
      <c r="AI35" s="10">
        <f t="shared" si="230"/>
        <v>0.38854327431192659</v>
      </c>
      <c r="AJ35" s="10">
        <f t="shared" si="230"/>
        <v>0.35278521299999999</v>
      </c>
      <c r="AK35" s="10">
        <f t="shared" si="230"/>
        <v>0.35278521299999999</v>
      </c>
      <c r="AL35" s="10">
        <f t="shared" si="230"/>
        <v>0.35278521299999999</v>
      </c>
      <c r="AU35" s="12">
        <f t="shared" ref="AU35:BB35" si="231">AU9/AT9-1</f>
        <v>0.87993920972644379</v>
      </c>
      <c r="AV35" s="12">
        <f t="shared" si="231"/>
        <v>0.37132848288870934</v>
      </c>
      <c r="AW35" s="12">
        <f t="shared" si="231"/>
        <v>0.5468657889565729</v>
      </c>
      <c r="AX35" s="12">
        <f t="shared" si="231"/>
        <v>0.58358739837398366</v>
      </c>
      <c r="AY35" s="12">
        <f t="shared" si="231"/>
        <v>0.43815177282207607</v>
      </c>
      <c r="AZ35" s="12">
        <f t="shared" si="231"/>
        <v>0.49854489134895275</v>
      </c>
      <c r="BA35" s="12">
        <f t="shared" si="231"/>
        <v>0.62667932854520902</v>
      </c>
      <c r="BB35" s="12">
        <f t="shared" si="231"/>
        <v>0.32599999999999985</v>
      </c>
      <c r="BC35" s="12">
        <f t="shared" ref="BC35" si="232">BC9/BB9-1</f>
        <v>5.06000000000002E-2</v>
      </c>
      <c r="BD35" s="12">
        <f t="shared" ref="BD35:BN35" si="233">BD9/BC9-1</f>
        <v>3.0000000000000027E-2</v>
      </c>
      <c r="BE35" s="12">
        <f t="shared" si="233"/>
        <v>3.0000000000000027E-2</v>
      </c>
      <c r="BF35" s="12">
        <f t="shared" si="233"/>
        <v>3.0000000000000027E-2</v>
      </c>
      <c r="BG35" s="12">
        <f t="shared" si="233"/>
        <v>2.9999999999999805E-2</v>
      </c>
      <c r="BH35" s="12">
        <f t="shared" si="233"/>
        <v>3.0000000000000249E-2</v>
      </c>
      <c r="BI35" s="12">
        <f t="shared" si="233"/>
        <v>2.9999999999999805E-2</v>
      </c>
      <c r="BJ35" s="12">
        <f t="shared" si="233"/>
        <v>3.0000000000000249E-2</v>
      </c>
      <c r="BK35" s="12">
        <f t="shared" si="233"/>
        <v>3.0000000000000027E-2</v>
      </c>
      <c r="BL35" s="12">
        <f t="shared" si="233"/>
        <v>2.9999999999999805E-2</v>
      </c>
      <c r="BM35" s="12">
        <f t="shared" si="233"/>
        <v>3.0000000000000027E-2</v>
      </c>
      <c r="BN35" s="12">
        <f t="shared" si="233"/>
        <v>2.9999999999999805E-2</v>
      </c>
    </row>
    <row r="38" spans="2:66" s="2" customFormat="1" x14ac:dyDescent="0.2">
      <c r="B38" s="2" t="s">
        <v>3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>
        <f>4907+13527</f>
        <v>18434</v>
      </c>
      <c r="AE38" s="5">
        <f>6456+14165</f>
        <v>20621</v>
      </c>
      <c r="AF38" s="5">
        <f>5108+18185</f>
        <v>23293</v>
      </c>
      <c r="AG38" s="5">
        <f t="shared" ref="AG38:AH38" si="234">+AF38+AG20</f>
        <v>25964.600228450843</v>
      </c>
      <c r="AH38" s="5">
        <f t="shared" si="234"/>
        <v>29638.416263807092</v>
      </c>
      <c r="AI38" s="5"/>
      <c r="AJ38" s="5"/>
      <c r="AK38" s="5"/>
      <c r="AL38" s="5"/>
      <c r="AZ38" s="2">
        <f>+AH38</f>
        <v>29638.416263807092</v>
      </c>
      <c r="BA38" s="2">
        <f>+AZ38+BA20</f>
        <v>48335.787835198622</v>
      </c>
      <c r="BB38" s="2">
        <f t="shared" ref="BB38:BN38" si="235">+BA38+BB20</f>
        <v>73806.125101363781</v>
      </c>
      <c r="BC38" s="2">
        <f t="shared" si="235"/>
        <v>99384.787438623607</v>
      </c>
      <c r="BD38" s="2">
        <f t="shared" si="235"/>
        <v>127228.50143413953</v>
      </c>
      <c r="BE38" s="2">
        <f t="shared" si="235"/>
        <v>157370.32278401253</v>
      </c>
      <c r="BF38" s="2">
        <f t="shared" si="235"/>
        <v>189846.64347894539</v>
      </c>
      <c r="BG38" s="2">
        <f t="shared" si="235"/>
        <v>224697.18365936031</v>
      </c>
      <c r="BH38" s="2">
        <f t="shared" si="235"/>
        <v>261964.98877281812</v>
      </c>
      <c r="BI38" s="2">
        <f t="shared" si="235"/>
        <v>301696.4319175001</v>
      </c>
      <c r="BJ38" s="2">
        <f t="shared" si="235"/>
        <v>343941.22126582201</v>
      </c>
      <c r="BK38" s="2">
        <f t="shared" si="235"/>
        <v>388752.41247217864</v>
      </c>
      <c r="BL38" s="2">
        <f t="shared" si="235"/>
        <v>436186.4259783887</v>
      </c>
      <c r="BM38" s="2">
        <f t="shared" si="235"/>
        <v>486303.0691396459</v>
      </c>
      <c r="BN38" s="2">
        <f t="shared" si="235"/>
        <v>539165.56310270552</v>
      </c>
    </row>
    <row r="39" spans="2:66" s="2" customFormat="1" x14ac:dyDescent="0.2">
      <c r="B39" s="2" t="s">
        <v>67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>
        <v>2559</v>
      </c>
      <c r="AE39" s="5">
        <v>2348</v>
      </c>
      <c r="AF39" s="5">
        <v>2801</v>
      </c>
      <c r="AG39" s="5"/>
      <c r="AH39" s="5"/>
      <c r="AI39" s="5"/>
      <c r="AJ39" s="5"/>
      <c r="AK39" s="5"/>
      <c r="AL39" s="5"/>
    </row>
    <row r="40" spans="2:66" s="2" customFormat="1" x14ac:dyDescent="0.2">
      <c r="B40" s="2" t="s">
        <v>68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>
        <v>659</v>
      </c>
      <c r="AE40" s="5">
        <v>843</v>
      </c>
      <c r="AF40" s="5">
        <v>916</v>
      </c>
      <c r="AG40" s="5"/>
      <c r="AH40" s="5"/>
      <c r="AI40" s="5"/>
      <c r="AJ40" s="5"/>
      <c r="AK40" s="5"/>
      <c r="AL40" s="5"/>
    </row>
    <row r="41" spans="2:66" s="2" customFormat="1" x14ac:dyDescent="0.2">
      <c r="B41" s="2" t="s">
        <v>69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>
        <v>5687</v>
      </c>
      <c r="AE41" s="5">
        <v>6467</v>
      </c>
      <c r="AF41" s="5">
        <v>7104</v>
      </c>
      <c r="AG41" s="5"/>
      <c r="AH41" s="5"/>
      <c r="AI41" s="5"/>
      <c r="AJ41" s="5"/>
      <c r="AK41" s="5"/>
      <c r="AL41" s="5"/>
    </row>
    <row r="42" spans="2:66" s="2" customFormat="1" x14ac:dyDescent="0.2">
      <c r="B42" s="2" t="s">
        <v>70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17"/>
      <c r="Z42" s="5"/>
      <c r="AA42" s="5"/>
      <c r="AB42" s="5"/>
      <c r="AC42" s="5"/>
      <c r="AD42" s="5">
        <f>3246+18026</f>
        <v>21272</v>
      </c>
      <c r="AE42" s="5">
        <f>3067+18029</f>
        <v>21096</v>
      </c>
      <c r="AF42" s="5">
        <f>2879+18043</f>
        <v>20922</v>
      </c>
      <c r="AG42" s="5"/>
      <c r="AH42" s="5"/>
      <c r="AI42" s="5"/>
      <c r="AJ42" s="5"/>
      <c r="AK42" s="5"/>
      <c r="AL42" s="5"/>
    </row>
    <row r="43" spans="2:66" s="2" customFormat="1" x14ac:dyDescent="0.2">
      <c r="B43" s="2" t="s">
        <v>71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>
        <v>796</v>
      </c>
      <c r="AE43" s="5">
        <v>700</v>
      </c>
      <c r="AF43" s="5">
        <v>703</v>
      </c>
      <c r="AG43" s="5"/>
      <c r="AH43" s="5"/>
      <c r="AI43" s="5"/>
      <c r="AJ43" s="5"/>
      <c r="AK43" s="5"/>
      <c r="AL43" s="5"/>
    </row>
    <row r="44" spans="2:66" s="2" customFormat="1" x14ac:dyDescent="0.2">
      <c r="B44" s="2" t="s">
        <v>72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>
        <f>SUM(AD38:AD43)</f>
        <v>49407</v>
      </c>
      <c r="AE44" s="5">
        <f>SUM(AE38:AE43)</f>
        <v>52075</v>
      </c>
      <c r="AF44" s="5">
        <f>SUM(AF38:AF43)</f>
        <v>55739</v>
      </c>
      <c r="AG44" s="5"/>
      <c r="AH44" s="5"/>
      <c r="AI44" s="5"/>
      <c r="AJ44" s="5"/>
      <c r="AK44" s="5"/>
      <c r="AL44" s="5"/>
    </row>
    <row r="45" spans="2:66" s="2" customFormat="1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2:66" s="2" customFormat="1" x14ac:dyDescent="0.2">
      <c r="B46" s="2" t="s">
        <v>73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>
        <v>196</v>
      </c>
      <c r="AE46" s="5">
        <v>149</v>
      </c>
      <c r="AF46" s="5">
        <v>130</v>
      </c>
      <c r="AG46" s="5"/>
      <c r="AH46" s="5"/>
      <c r="AI46" s="5"/>
      <c r="AJ46" s="5"/>
      <c r="AK46" s="5"/>
      <c r="AL46" s="5"/>
    </row>
    <row r="47" spans="2:66" s="2" customFormat="1" x14ac:dyDescent="0.2">
      <c r="B47" s="2" t="s">
        <v>74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>
        <v>217</v>
      </c>
      <c r="AE47" s="5">
        <v>216</v>
      </c>
      <c r="AF47" s="5">
        <v>232</v>
      </c>
      <c r="AG47" s="5"/>
      <c r="AH47" s="5"/>
      <c r="AI47" s="5"/>
      <c r="AJ47" s="5"/>
      <c r="AK47" s="5"/>
      <c r="AL47" s="5"/>
    </row>
    <row r="48" spans="2:66" s="2" customFormat="1" x14ac:dyDescent="0.2">
      <c r="B48" s="2" t="s">
        <v>75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>
        <v>1449</v>
      </c>
      <c r="AE48" s="5">
        <v>1389</v>
      </c>
      <c r="AF48" s="5">
        <v>1770</v>
      </c>
      <c r="AG48" s="5"/>
      <c r="AH48" s="5"/>
      <c r="AI48" s="5"/>
      <c r="AJ48" s="5"/>
      <c r="AK48" s="5"/>
      <c r="AL48" s="5"/>
    </row>
    <row r="49" spans="2:38" s="2" customFormat="1" x14ac:dyDescent="0.2">
      <c r="B49" s="2" t="s">
        <v>76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>
        <v>56</v>
      </c>
      <c r="AE49" s="5">
        <v>55</v>
      </c>
      <c r="AF49" s="5">
        <v>79</v>
      </c>
      <c r="AG49" s="5"/>
      <c r="AH49" s="5"/>
      <c r="AI49" s="5"/>
      <c r="AJ49" s="5"/>
      <c r="AK49" s="5"/>
      <c r="AL49" s="5"/>
    </row>
    <row r="50" spans="2:38" s="2" customFormat="1" x14ac:dyDescent="0.2">
      <c r="B50" s="2" t="s">
        <v>77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>
        <f>7+107</f>
        <v>114</v>
      </c>
      <c r="AE50" s="5">
        <v>0</v>
      </c>
      <c r="AF50" s="5">
        <v>0</v>
      </c>
      <c r="AG50" s="5"/>
      <c r="AH50" s="5"/>
      <c r="AI50" s="5"/>
      <c r="AJ50" s="5"/>
      <c r="AK50" s="5"/>
      <c r="AL50" s="5"/>
    </row>
    <row r="51" spans="2:38" s="2" customFormat="1" x14ac:dyDescent="0.2">
      <c r="B51" s="2" t="s">
        <v>78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>
        <v>3157</v>
      </c>
      <c r="AE51" s="5">
        <v>3116</v>
      </c>
      <c r="AF51" s="5">
        <v>3145</v>
      </c>
      <c r="AG51" s="5"/>
      <c r="AH51" s="5"/>
      <c r="AI51" s="5"/>
      <c r="AJ51" s="5"/>
      <c r="AK51" s="5"/>
      <c r="AL51" s="5"/>
    </row>
    <row r="52" spans="2:38" s="2" customFormat="1" x14ac:dyDescent="0.2">
      <c r="B52" s="2" t="s">
        <v>79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>
        <v>44218</v>
      </c>
      <c r="AE52" s="5">
        <v>47150</v>
      </c>
      <c r="AF52" s="5">
        <v>50383</v>
      </c>
      <c r="AG52" s="5"/>
      <c r="AH52" s="5"/>
      <c r="AI52" s="5"/>
      <c r="AJ52" s="5"/>
      <c r="AK52" s="5"/>
      <c r="AL52" s="5"/>
    </row>
    <row r="53" spans="2:38" s="2" customFormat="1" x14ac:dyDescent="0.2">
      <c r="B53" s="2" t="s">
        <v>80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>
        <f>SUM(AD46:AD52)</f>
        <v>49407</v>
      </c>
      <c r="AE53" s="5">
        <f>SUM(AE46:AE52)</f>
        <v>52075</v>
      </c>
      <c r="AF53" s="5">
        <f>SUM(AF46:AF52)</f>
        <v>55739</v>
      </c>
      <c r="AG53" s="5"/>
      <c r="AH53" s="5"/>
      <c r="AI53" s="5"/>
      <c r="AJ53" s="5"/>
      <c r="AK53" s="5"/>
      <c r="AL53" s="5"/>
    </row>
    <row r="54" spans="2:38" x14ac:dyDescent="0.2">
      <c r="AL54" s="4"/>
    </row>
    <row r="56" spans="2:38" x14ac:dyDescent="0.2">
      <c r="B56" s="2" t="s">
        <v>87</v>
      </c>
      <c r="AE56" s="5">
        <f>AE20</f>
        <v>1510</v>
      </c>
      <c r="AF56" s="5">
        <f>AF20</f>
        <v>2055</v>
      </c>
      <c r="AL56" s="22"/>
    </row>
    <row r="57" spans="2:38" x14ac:dyDescent="0.2">
      <c r="B57" s="2" t="s">
        <v>88</v>
      </c>
      <c r="AE57" s="5">
        <f>+AE20</f>
        <v>1510</v>
      </c>
      <c r="AF57" s="5">
        <f>+AF20</f>
        <v>2055</v>
      </c>
    </row>
    <row r="58" spans="2:38" x14ac:dyDescent="0.2">
      <c r="B58" s="2" t="s">
        <v>90</v>
      </c>
      <c r="AE58" s="3">
        <v>552</v>
      </c>
      <c r="AF58" s="3">
        <v>585</v>
      </c>
    </row>
    <row r="59" spans="2:38" x14ac:dyDescent="0.2">
      <c r="B59" s="2" t="s">
        <v>91</v>
      </c>
      <c r="AE59" s="3">
        <v>747</v>
      </c>
      <c r="AF59" s="3">
        <v>805</v>
      </c>
    </row>
    <row r="60" spans="2:38" x14ac:dyDescent="0.2">
      <c r="B60" s="2" t="s">
        <v>92</v>
      </c>
      <c r="AE60" s="3">
        <v>-65</v>
      </c>
      <c r="AF60" s="3">
        <v>-77</v>
      </c>
    </row>
    <row r="61" spans="2:38" x14ac:dyDescent="0.2">
      <c r="B61" s="2" t="s">
        <v>93</v>
      </c>
      <c r="AE61" s="3">
        <v>494</v>
      </c>
      <c r="AF61" s="3">
        <v>467</v>
      </c>
    </row>
    <row r="62" spans="2:38" x14ac:dyDescent="0.2">
      <c r="B62" s="2" t="s">
        <v>94</v>
      </c>
      <c r="AE62" s="3">
        <v>-494</v>
      </c>
      <c r="AF62" s="3">
        <v>-467</v>
      </c>
    </row>
    <row r="63" spans="2:38" x14ac:dyDescent="0.2">
      <c r="B63" s="2" t="s">
        <v>94</v>
      </c>
      <c r="AE63" s="3">
        <v>13</v>
      </c>
      <c r="AF63" s="3">
        <v>6</v>
      </c>
    </row>
    <row r="64" spans="2:38" x14ac:dyDescent="0.2">
      <c r="B64" s="2" t="s">
        <v>95</v>
      </c>
      <c r="AE64" s="3">
        <v>267</v>
      </c>
      <c r="AF64" s="3">
        <v>-492</v>
      </c>
    </row>
    <row r="65" spans="2:38" x14ac:dyDescent="0.2">
      <c r="B65" s="2" t="s">
        <v>96</v>
      </c>
      <c r="AE65" s="5">
        <f>SUM(AE57:AE64)</f>
        <v>3024</v>
      </c>
      <c r="AF65" s="5">
        <f>SUM(AF57:AF64)</f>
        <v>2882</v>
      </c>
    </row>
    <row r="67" spans="2:38" s="2" customFormat="1" x14ac:dyDescent="0.2">
      <c r="B67" s="2" t="s">
        <v>89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>
        <v>-1132</v>
      </c>
      <c r="AF67" s="5">
        <v>-995</v>
      </c>
      <c r="AG67" s="5"/>
      <c r="AH67" s="5"/>
      <c r="AI67" s="5"/>
      <c r="AJ67" s="5"/>
      <c r="AK67" s="5"/>
      <c r="AL67" s="5"/>
    </row>
    <row r="68" spans="2:38" s="2" customFormat="1" x14ac:dyDescent="0.2">
      <c r="B68" s="2" t="s">
        <v>97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>
        <f>-3126+2013+537</f>
        <v>-576</v>
      </c>
      <c r="AF68" s="5">
        <f>-6509+2145+366</f>
        <v>-3998</v>
      </c>
      <c r="AG68" s="5"/>
      <c r="AH68" s="5"/>
      <c r="AI68" s="5"/>
      <c r="AJ68" s="5"/>
      <c r="AK68" s="5"/>
      <c r="AL68" s="5"/>
    </row>
    <row r="69" spans="2:38" s="2" customFormat="1" x14ac:dyDescent="0.2">
      <c r="B69" s="2" t="s">
        <v>98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>
        <v>-1</v>
      </c>
      <c r="AF69" s="5">
        <v>-19</v>
      </c>
      <c r="AG69" s="5"/>
      <c r="AH69" s="5"/>
      <c r="AI69" s="5"/>
      <c r="AJ69" s="5"/>
      <c r="AK69" s="5"/>
      <c r="AL69" s="5"/>
    </row>
    <row r="70" spans="2:38" s="2" customFormat="1" x14ac:dyDescent="0.2">
      <c r="B70" s="2" t="s">
        <v>99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>
        <v>33</v>
      </c>
      <c r="AF70" s="5">
        <v>41</v>
      </c>
      <c r="AG70" s="5"/>
      <c r="AH70" s="5"/>
      <c r="AI70" s="5"/>
      <c r="AJ70" s="5"/>
      <c r="AK70" s="5"/>
      <c r="AL70" s="5"/>
    </row>
    <row r="71" spans="2:38" s="2" customFormat="1" x14ac:dyDescent="0.2">
      <c r="B71" s="2" t="s">
        <v>100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>
        <f>SUM(AE67:AE70)</f>
        <v>-1676</v>
      </c>
      <c r="AF71" s="5">
        <f>SUM(AF67:AF70)</f>
        <v>-4971</v>
      </c>
      <c r="AG71" s="5"/>
      <c r="AH71" s="5"/>
      <c r="AI71" s="5"/>
      <c r="AJ71" s="5"/>
      <c r="AK71" s="5"/>
      <c r="AL71" s="5"/>
    </row>
    <row r="73" spans="2:38" x14ac:dyDescent="0.2">
      <c r="B73" s="2" t="s">
        <v>102</v>
      </c>
      <c r="AE73" s="3">
        <v>-312</v>
      </c>
      <c r="AF73" s="3">
        <v>-312</v>
      </c>
    </row>
    <row r="74" spans="2:38" x14ac:dyDescent="0.2">
      <c r="B74" s="2" t="s">
        <v>93</v>
      </c>
      <c r="AE74" s="3">
        <v>494</v>
      </c>
      <c r="AF74" s="3">
        <v>494</v>
      </c>
    </row>
    <row r="75" spans="2:38" x14ac:dyDescent="0.2">
      <c r="B75" t="s">
        <v>94</v>
      </c>
      <c r="AE75" s="3">
        <v>2</v>
      </c>
      <c r="AF75" s="3">
        <v>2</v>
      </c>
    </row>
    <row r="76" spans="2:38" x14ac:dyDescent="0.2">
      <c r="B76" t="s">
        <v>101</v>
      </c>
      <c r="AE76" s="3">
        <f>SUM(AE73:AE75)</f>
        <v>184</v>
      </c>
      <c r="AF76" s="3">
        <f>SUM(AF73:AF75)</f>
        <v>184</v>
      </c>
    </row>
    <row r="78" spans="2:38" x14ac:dyDescent="0.2">
      <c r="B78" t="s">
        <v>104</v>
      </c>
      <c r="AE78" s="5">
        <f>AE76+AE71+AE65</f>
        <v>1532</v>
      </c>
      <c r="AF78" s="5">
        <f>AF76+AF71+AF65</f>
        <v>-1905</v>
      </c>
    </row>
    <row r="79" spans="2:38" x14ac:dyDescent="0.2">
      <c r="B79" t="s">
        <v>103</v>
      </c>
      <c r="AE79" s="5">
        <f>AE38-AD38</f>
        <v>2187</v>
      </c>
      <c r="AF79" s="5">
        <f>AF38-AE38</f>
        <v>2672</v>
      </c>
    </row>
    <row r="80" spans="2:38" x14ac:dyDescent="0.2">
      <c r="B80" t="s">
        <v>105</v>
      </c>
      <c r="AE80" s="5">
        <f>AE65+AE67</f>
        <v>1892</v>
      </c>
      <c r="AF80" s="5">
        <f>AF65+AF67</f>
        <v>1887</v>
      </c>
    </row>
    <row r="81" spans="2:32" x14ac:dyDescent="0.2">
      <c r="B81" t="s">
        <v>106</v>
      </c>
      <c r="AE81" s="5">
        <f>AE80-AE59</f>
        <v>1145</v>
      </c>
      <c r="AF81" s="5">
        <f>AF80-AF59</f>
        <v>1082</v>
      </c>
    </row>
  </sheetData>
  <hyperlinks>
    <hyperlink ref="A1" location="Main!A1" display="Main"/>
  </hyperlinks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LOOK</cp:lastModifiedBy>
  <dcterms:created xsi:type="dcterms:W3CDTF">2016-03-08T02:28:14Z</dcterms:created>
  <dcterms:modified xsi:type="dcterms:W3CDTF">2016-10-16T11:01:43Z</dcterms:modified>
</cp:coreProperties>
</file>