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3920" windowHeight="14385" activeTab="1"/>
  </bookViews>
  <sheets>
    <sheet name="Main" sheetId="1" r:id="rId1"/>
    <sheet name="Model" sheetId="2" r:id="rId2"/>
  </sheets>
  <calcPr calcId="144525"/>
</workbook>
</file>

<file path=xl/calcChain.xml><?xml version="1.0" encoding="utf-8"?>
<calcChain xmlns="http://schemas.openxmlformats.org/spreadsheetml/2006/main">
  <c r="T38" i="2" l="1"/>
  <c r="S38" i="2"/>
  <c r="R38" i="2"/>
  <c r="U38" i="2"/>
  <c r="U41" i="2"/>
  <c r="U40" i="2"/>
  <c r="U39" i="2"/>
  <c r="T41" i="2"/>
  <c r="T40" i="2"/>
  <c r="T39" i="2"/>
  <c r="S41" i="2"/>
  <c r="S40" i="2"/>
  <c r="S39" i="2"/>
  <c r="R41" i="2"/>
  <c r="R40" i="2"/>
  <c r="R39" i="2"/>
  <c r="K41" i="2"/>
  <c r="J41" i="2"/>
  <c r="I41" i="2"/>
  <c r="H41" i="2"/>
  <c r="G41" i="2"/>
  <c r="F41" i="2"/>
  <c r="K40" i="2"/>
  <c r="J40" i="2"/>
  <c r="I40" i="2"/>
  <c r="H40" i="2"/>
  <c r="G40" i="2"/>
  <c r="F40" i="2"/>
  <c r="K39" i="2"/>
  <c r="J39" i="2"/>
  <c r="I39" i="2"/>
  <c r="H39" i="2"/>
  <c r="G39" i="2"/>
  <c r="F39" i="2"/>
  <c r="K38" i="2"/>
  <c r="J38" i="2"/>
  <c r="I38" i="2"/>
  <c r="H38" i="2"/>
  <c r="G38" i="2"/>
  <c r="F38" i="2"/>
  <c r="R24" i="2"/>
  <c r="R21" i="2"/>
  <c r="R22" i="2"/>
  <c r="R10" i="2"/>
  <c r="Q21" i="2"/>
  <c r="Q24" i="2"/>
  <c r="Q22" i="2"/>
  <c r="Q10" i="2"/>
  <c r="S24" i="2"/>
  <c r="S21" i="2"/>
  <c r="S22" i="2"/>
  <c r="S10" i="2"/>
  <c r="T29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U28" i="2"/>
  <c r="U29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R2" i="2"/>
  <c r="Q2" i="2"/>
  <c r="C24" i="2"/>
  <c r="C21" i="2"/>
  <c r="C22" i="2"/>
  <c r="C10" i="2"/>
  <c r="D24" i="2"/>
  <c r="D21" i="2"/>
  <c r="D22" i="2"/>
  <c r="D10" i="2"/>
  <c r="H21" i="2"/>
  <c r="H22" i="2" s="1"/>
  <c r="H24" i="2"/>
  <c r="H10" i="2"/>
  <c r="E24" i="2"/>
  <c r="E21" i="2"/>
  <c r="E22" i="2"/>
  <c r="E10" i="2"/>
  <c r="I24" i="2"/>
  <c r="I21" i="2"/>
  <c r="I22" i="2"/>
  <c r="I10" i="2"/>
  <c r="J55" i="2"/>
  <c r="J62" i="2" s="1"/>
  <c r="J64" i="2" s="1"/>
  <c r="J50" i="2"/>
  <c r="J45" i="2"/>
  <c r="J53" i="2" s="1"/>
  <c r="F24" i="2"/>
  <c r="F21" i="2"/>
  <c r="F22" i="2" s="1"/>
  <c r="F10" i="2"/>
  <c r="J24" i="2"/>
  <c r="J23" i="2"/>
  <c r="J21" i="2"/>
  <c r="I62" i="2"/>
  <c r="I64" i="2" s="1"/>
  <c r="I53" i="2"/>
  <c r="I50" i="2"/>
  <c r="I45" i="2"/>
  <c r="J22" i="2"/>
  <c r="J10" i="2"/>
  <c r="G24" i="2"/>
  <c r="G21" i="2"/>
  <c r="G22" i="2" s="1"/>
  <c r="G10" i="2"/>
  <c r="K24" i="2"/>
  <c r="K21" i="2"/>
  <c r="K22" i="2" s="1"/>
  <c r="K10" i="2"/>
  <c r="K55" i="2"/>
  <c r="K62" i="2" s="1"/>
  <c r="K64" i="2" s="1"/>
  <c r="J6" i="1"/>
  <c r="K45" i="2"/>
  <c r="K50" i="2"/>
  <c r="K53" i="2" s="1"/>
  <c r="J7" i="1"/>
  <c r="J5" i="1"/>
  <c r="J4" i="1"/>
  <c r="T28" i="2" l="1"/>
  <c r="R23" i="2"/>
  <c r="R25" i="2" s="1"/>
  <c r="R27" i="2" s="1"/>
  <c r="R28" i="2" s="1"/>
  <c r="Q23" i="2"/>
  <c r="Q25" i="2" s="1"/>
  <c r="Q27" i="2" s="1"/>
  <c r="Q28" i="2" s="1"/>
  <c r="S23" i="2"/>
  <c r="S25" i="2" s="1"/>
  <c r="S27" i="2" s="1"/>
  <c r="S28" i="2" s="1"/>
  <c r="C23" i="2"/>
  <c r="C25" i="2" s="1"/>
  <c r="C27" i="2" s="1"/>
  <c r="C28" i="2" s="1"/>
  <c r="D23" i="2"/>
  <c r="D25" i="2" s="1"/>
  <c r="D27" i="2" s="1"/>
  <c r="D28" i="2" s="1"/>
  <c r="H23" i="2"/>
  <c r="H25" i="2" s="1"/>
  <c r="H27" i="2" s="1"/>
  <c r="H28" i="2" s="1"/>
  <c r="E23" i="2"/>
  <c r="E25" i="2" s="1"/>
  <c r="E27" i="2" s="1"/>
  <c r="E28" i="2" s="1"/>
  <c r="I23" i="2"/>
  <c r="I25" i="2" s="1"/>
  <c r="I27" i="2" s="1"/>
  <c r="I28" i="2" s="1"/>
  <c r="F23" i="2"/>
  <c r="F25" i="2" s="1"/>
  <c r="F27" i="2" s="1"/>
  <c r="F28" i="2" s="1"/>
  <c r="J25" i="2"/>
  <c r="J27" i="2" s="1"/>
  <c r="J28" i="2" s="1"/>
  <c r="K23" i="2"/>
  <c r="K25" i="2" s="1"/>
  <c r="K27" i="2" s="1"/>
  <c r="K28" i="2" s="1"/>
  <c r="G23" i="2"/>
  <c r="G25" i="2" s="1"/>
  <c r="G27" i="2" s="1"/>
  <c r="G28" i="2" s="1"/>
</calcChain>
</file>

<file path=xl/sharedStrings.xml><?xml version="1.0" encoding="utf-8"?>
<sst xmlns="http://schemas.openxmlformats.org/spreadsheetml/2006/main" count="68" uniqueCount="58">
  <si>
    <t>Price</t>
  </si>
  <si>
    <t>Shares</t>
  </si>
  <si>
    <t>MC</t>
  </si>
  <si>
    <t>Cash</t>
  </si>
  <si>
    <t>Debt</t>
  </si>
  <si>
    <t>EV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</si>
  <si>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</si>
  <si>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</si>
  <si>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</si>
  <si>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</si>
  <si>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</si>
  <si>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</si>
  <si>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</si>
  <si>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</si>
  <si>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</si>
  <si>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</si>
  <si>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</si>
  <si>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</si>
  <si>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A/R</t>
  </si>
  <si>
    <t>Inventories</t>
  </si>
  <si>
    <t>Prepaids</t>
  </si>
  <si>
    <t>PP&amp;E</t>
  </si>
  <si>
    <t>Intangible + Goodwill</t>
  </si>
  <si>
    <t>DT</t>
  </si>
  <si>
    <t>Assets</t>
  </si>
  <si>
    <t>Other Assets</t>
  </si>
  <si>
    <t>A/P</t>
  </si>
  <si>
    <t>Compensation</t>
  </si>
  <si>
    <t>D/R</t>
  </si>
  <si>
    <t>OCL</t>
  </si>
  <si>
    <t>Taxes</t>
  </si>
  <si>
    <t>ONCL</t>
  </si>
  <si>
    <t>S/E</t>
  </si>
  <si>
    <t>L+S/E</t>
  </si>
  <si>
    <t>Liabilities</t>
  </si>
  <si>
    <t>Cloud SaaS</t>
  </si>
  <si>
    <t>Cloud IaaS</t>
  </si>
  <si>
    <t>Updates and support</t>
  </si>
  <si>
    <t>Hardware products</t>
  </si>
  <si>
    <t>Hardware support</t>
  </si>
  <si>
    <t>Software licenses</t>
  </si>
  <si>
    <t>Revenue</t>
  </si>
  <si>
    <t>S&amp;M</t>
  </si>
  <si>
    <t>R&amp;D</t>
  </si>
  <si>
    <t>G&amp;A</t>
  </si>
  <si>
    <t>Amortization</t>
  </si>
  <si>
    <t>Acquisition + restructuring</t>
  </si>
  <si>
    <t>Operating Expenses</t>
  </si>
  <si>
    <t>Operating Income</t>
  </si>
  <si>
    <t>Services</t>
  </si>
  <si>
    <t>Interest Income</t>
  </si>
  <si>
    <t>Pretax Income</t>
  </si>
  <si>
    <t>Net Income</t>
  </si>
  <si>
    <t>EPS</t>
  </si>
  <si>
    <t>Revenue y/y</t>
  </si>
  <si>
    <t>Operating Margin</t>
  </si>
  <si>
    <t>Net Margin</t>
  </si>
  <si>
    <t>Cloud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</si>
</sst>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4" fontId="3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76</xdr:row>
      <xdr:rowOff>47625</xdr:rowOff>
    </xdr:to>
    <xdr:cxnSp macro="">
      <xdr:nvCxnSpPr>
        <xdr:cNvPr id="3" name="Straight Connector 2"/>
        <xdr:cNvCxnSpPr/>
      </xdr:nvCxnSpPr>
      <xdr:spPr>
        <a:xfrm>
          <a:off x="8429625" y="0"/>
          <a:ext cx="0" cy="10410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0</xdr:row>
      <xdr:rowOff>0</xdr:rowOff>
    </xdr:from>
    <xdr:to>
      <xdr:col>21</xdr:col>
      <xdr:colOff>28575</xdr:colOff>
      <xdr:row>76</xdr:row>
      <xdr:rowOff>47625</xdr:rowOff>
    </xdr:to>
    <xdr:cxnSp macro="">
      <xdr:nvCxnSpPr>
        <xdr:cNvPr id="4" name="Straight Connector 3"/>
        <xdr:cNvCxnSpPr/>
      </xdr:nvCxnSpPr>
      <xdr:spPr>
        <a:xfrm>
          <a:off x="15278100" y="0"/>
          <a:ext cx="0" cy="1122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7"/>
  <sheetViews>
    <sheetView workbookViewId="0">
      <selection activeCell="J6" sqref="J6"/>
    </sheetView>
  </sheetViews>
  <sheetFormatPr defaultRowHeight="12.75" x14ac:dyDescent="0.2"/>
  <cols>
    <col min="1" max="16384" width="9" style="1"/>
  </cols>
  <sheetData>
    <row r="2" spans="9:10" x14ac:dyDescent="0.2">
      <c r="I2" s="1" t="s">
        <v>0</v>
      </c>
      <c r="J2" s="4">
        <v>38.409999999999997</v>
      </c>
    </row>
    <row r="3" spans="9:10" x14ac:dyDescent="0.2">
      <c r="I3" s="1" t="s">
        <v>1</v>
      </c>
      <c r="J3" s="2">
        <v>4105.67</v>
      </c>
    </row>
    <row r="4" spans="9:10" x14ac:dyDescent="0.2">
      <c r="I4" s="1" t="s">
        <v>2</v>
      </c>
      <c r="J4" s="2">
        <f>J2*J3</f>
        <v>157698.78469999999</v>
      </c>
    </row>
    <row r="5" spans="9:10" x14ac:dyDescent="0.2">
      <c r="I5" s="1" t="s">
        <v>3</v>
      </c>
      <c r="J5" s="2">
        <f>28614+39782</f>
        <v>68396</v>
      </c>
    </row>
    <row r="6" spans="9:10" x14ac:dyDescent="0.2">
      <c r="I6" s="1" t="s">
        <v>4</v>
      </c>
      <c r="J6" s="2">
        <f>999+53057</f>
        <v>54056</v>
      </c>
    </row>
    <row r="7" spans="9:10" x14ac:dyDescent="0.2">
      <c r="I7" s="1" t="s">
        <v>5</v>
      </c>
      <c r="J7" s="2">
        <f>J4-J5+J6</f>
        <v>143358.78469999999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1" sqref="F41"/>
    </sheetView>
  </sheetViews>
  <sheetFormatPr defaultRowHeight="12.75" x14ac:dyDescent="0.2"/>
  <cols>
    <col min="1" max="1" width="9" style="1"/>
    <col min="2" max="2" width="20.125" style="1" bestFit="1" customWidth="1"/>
    <col min="3" max="16384" width="9" style="1"/>
  </cols>
  <sheetData>
    <row r="1" spans="2:37" x14ac:dyDescent="0.2">
      <c r="C1" s="5">
        <v>41882</v>
      </c>
      <c r="G1" s="5">
        <v>42247</v>
      </c>
      <c r="H1" s="5">
        <v>42338</v>
      </c>
      <c r="I1" s="5">
        <v>42429</v>
      </c>
      <c r="J1" s="5">
        <v>42521</v>
      </c>
      <c r="K1" s="5">
        <v>42613</v>
      </c>
    </row>
    <row r="2" spans="2:37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P2" s="1">
        <v>2011</v>
      </c>
      <c r="Q2" s="1">
        <f>P2+1</f>
        <v>2012</v>
      </c>
      <c r="R2" s="1">
        <f t="shared" ref="R2:AK2" si="0">Q2+1</f>
        <v>2013</v>
      </c>
      <c r="S2" s="1">
        <f t="shared" si="0"/>
        <v>2014</v>
      </c>
      <c r="T2" s="1">
        <f t="shared" si="0"/>
        <v>2015</v>
      </c>
      <c r="U2" s="1">
        <f t="shared" si="0"/>
        <v>2016</v>
      </c>
      <c r="V2" s="1">
        <f t="shared" si="0"/>
        <v>2017</v>
      </c>
      <c r="W2" s="1">
        <f t="shared" si="0"/>
        <v>2018</v>
      </c>
      <c r="X2" s="1">
        <f t="shared" si="0"/>
        <v>2019</v>
      </c>
      <c r="Y2" s="1">
        <f t="shared" si="0"/>
        <v>2020</v>
      </c>
      <c r="Z2" s="1">
        <f t="shared" si="0"/>
        <v>2021</v>
      </c>
      <c r="AA2" s="1">
        <f t="shared" si="0"/>
        <v>2022</v>
      </c>
      <c r="AB2" s="1">
        <f t="shared" si="0"/>
        <v>2023</v>
      </c>
      <c r="AC2" s="1">
        <f t="shared" si="0"/>
        <v>2024</v>
      </c>
      <c r="AD2" s="1">
        <f t="shared" si="0"/>
        <v>2025</v>
      </c>
      <c r="AE2" s="1">
        <f t="shared" si="0"/>
        <v>2026</v>
      </c>
      <c r="AF2" s="1">
        <f t="shared" si="0"/>
        <v>2027</v>
      </c>
      <c r="AG2" s="1">
        <f t="shared" si="0"/>
        <v>2028</v>
      </c>
      <c r="AH2" s="1">
        <f t="shared" si="0"/>
        <v>2029</v>
      </c>
      <c r="AI2" s="1">
        <f t="shared" si="0"/>
        <v>2030</v>
      </c>
      <c r="AJ2" s="1">
        <f t="shared" si="0"/>
        <v>2031</v>
      </c>
      <c r="AK2" s="1">
        <f t="shared" si="0"/>
        <v>2032</v>
      </c>
    </row>
    <row r="3" spans="2:37" s="2" customFormat="1" x14ac:dyDescent="0.2"/>
    <row r="4" spans="2:37" s="2" customFormat="1" x14ac:dyDescent="0.2">
      <c r="B4" s="2" t="s">
        <v>35</v>
      </c>
      <c r="C4" s="2">
        <v>337</v>
      </c>
      <c r="D4" s="2">
        <v>361</v>
      </c>
      <c r="E4" s="2">
        <v>372</v>
      </c>
      <c r="F4" s="2">
        <v>416</v>
      </c>
      <c r="G4" s="2">
        <v>451</v>
      </c>
      <c r="H4" s="2">
        <v>484</v>
      </c>
      <c r="I4" s="2">
        <v>583</v>
      </c>
      <c r="J4" s="2">
        <v>690</v>
      </c>
      <c r="K4" s="2">
        <v>798</v>
      </c>
      <c r="Q4" s="2">
        <v>455</v>
      </c>
      <c r="R4" s="2">
        <v>910</v>
      </c>
      <c r="S4" s="2">
        <v>1121</v>
      </c>
      <c r="T4" s="2">
        <f>SUM(C4:F4)</f>
        <v>1486</v>
      </c>
      <c r="U4" s="2">
        <f>SUM(G4:J4)</f>
        <v>2208</v>
      </c>
    </row>
    <row r="5" spans="2:37" s="2" customFormat="1" x14ac:dyDescent="0.2">
      <c r="B5" s="2" t="s">
        <v>36</v>
      </c>
      <c r="C5" s="2">
        <v>138</v>
      </c>
      <c r="D5" s="2">
        <v>155</v>
      </c>
      <c r="E5" s="2">
        <v>155</v>
      </c>
      <c r="F5" s="2">
        <v>160</v>
      </c>
      <c r="G5" s="2">
        <v>160</v>
      </c>
      <c r="H5" s="2">
        <v>165</v>
      </c>
      <c r="I5" s="2">
        <v>152</v>
      </c>
      <c r="J5" s="2">
        <v>169</v>
      </c>
      <c r="K5" s="2">
        <v>171</v>
      </c>
      <c r="Q5" s="2">
        <v>444</v>
      </c>
      <c r="R5" s="2">
        <v>457</v>
      </c>
      <c r="S5" s="2">
        <v>456</v>
      </c>
      <c r="T5" s="2">
        <f t="shared" ref="T5:T27" si="1">SUM(C5:F5)</f>
        <v>608</v>
      </c>
      <c r="U5" s="2">
        <f>SUM(G5:J5)</f>
        <v>646</v>
      </c>
    </row>
    <row r="6" spans="2:37" s="2" customFormat="1" x14ac:dyDescent="0.2">
      <c r="B6" s="2" t="s">
        <v>40</v>
      </c>
      <c r="C6" s="2">
        <v>1370</v>
      </c>
      <c r="D6" s="2">
        <v>2045</v>
      </c>
      <c r="E6" s="2">
        <v>1982</v>
      </c>
      <c r="F6" s="2">
        <v>3138</v>
      </c>
      <c r="G6" s="2">
        <v>1151</v>
      </c>
      <c r="H6" s="2">
        <v>1677</v>
      </c>
      <c r="I6" s="2">
        <v>1680</v>
      </c>
      <c r="J6" s="2">
        <v>2766</v>
      </c>
      <c r="K6" s="2">
        <v>1030</v>
      </c>
      <c r="Q6" s="2">
        <v>9451</v>
      </c>
      <c r="R6" s="2">
        <v>9411</v>
      </c>
      <c r="S6" s="2">
        <v>9416</v>
      </c>
      <c r="T6" s="2">
        <f t="shared" si="1"/>
        <v>8535</v>
      </c>
      <c r="U6" s="2">
        <f>SUM(G6:J6)</f>
        <v>7274</v>
      </c>
    </row>
    <row r="7" spans="2:37" s="2" customFormat="1" x14ac:dyDescent="0.2">
      <c r="B7" s="2" t="s">
        <v>37</v>
      </c>
      <c r="C7" s="2">
        <v>4731</v>
      </c>
      <c r="D7" s="2">
        <v>4768</v>
      </c>
      <c r="E7" s="2">
        <v>4661</v>
      </c>
      <c r="F7" s="2">
        <v>4686</v>
      </c>
      <c r="G7" s="2">
        <v>4696</v>
      </c>
      <c r="H7" s="2">
        <v>4683</v>
      </c>
      <c r="I7" s="2">
        <v>4669</v>
      </c>
      <c r="J7" s="2">
        <v>4814</v>
      </c>
      <c r="K7" s="2">
        <v>4792</v>
      </c>
      <c r="Q7" s="2">
        <v>16210</v>
      </c>
      <c r="R7" s="2">
        <v>17142</v>
      </c>
      <c r="S7" s="2">
        <v>18206</v>
      </c>
      <c r="T7" s="2">
        <f t="shared" si="1"/>
        <v>18846</v>
      </c>
      <c r="U7" s="2">
        <f>SUM(G7:J7)</f>
        <v>18862</v>
      </c>
    </row>
    <row r="8" spans="2:37" s="2" customFormat="1" x14ac:dyDescent="0.2">
      <c r="B8" s="2" t="s">
        <v>38</v>
      </c>
      <c r="C8" s="2">
        <v>1165</v>
      </c>
      <c r="D8" s="2">
        <v>1334</v>
      </c>
      <c r="E8" s="2">
        <v>1299</v>
      </c>
      <c r="F8" s="2">
        <v>1407</v>
      </c>
      <c r="G8" s="2">
        <v>1128</v>
      </c>
      <c r="H8" s="2">
        <v>1123</v>
      </c>
      <c r="I8" s="2">
        <v>1135</v>
      </c>
      <c r="J8" s="2">
        <v>1283</v>
      </c>
      <c r="K8" s="2">
        <v>996</v>
      </c>
      <c r="Q8" s="2">
        <v>6302</v>
      </c>
      <c r="R8" s="2">
        <v>5346</v>
      </c>
      <c r="S8" s="2">
        <v>5372</v>
      </c>
      <c r="T8" s="2">
        <f t="shared" si="1"/>
        <v>5205</v>
      </c>
      <c r="U8" s="2">
        <f>SUM(G8:J8)</f>
        <v>4669</v>
      </c>
    </row>
    <row r="9" spans="2:37" s="2" customFormat="1" x14ac:dyDescent="0.2">
      <c r="B9" s="2" t="s">
        <v>39</v>
      </c>
      <c r="C9" s="2">
        <v>855</v>
      </c>
      <c r="D9" s="2">
        <v>935</v>
      </c>
      <c r="E9" s="2">
        <v>858</v>
      </c>
      <c r="F9" s="2">
        <v>899</v>
      </c>
      <c r="G9" s="2">
        <v>862</v>
      </c>
      <c r="H9" s="2">
        <v>861</v>
      </c>
      <c r="I9" s="2">
        <v>793</v>
      </c>
      <c r="J9" s="2">
        <v>872</v>
      </c>
      <c r="K9" s="2">
        <v>808</v>
      </c>
      <c r="Q9" s="2">
        <v>4259</v>
      </c>
      <c r="R9" s="2">
        <v>3914</v>
      </c>
      <c r="S9" s="2">
        <v>3704</v>
      </c>
      <c r="T9" s="2">
        <f t="shared" si="1"/>
        <v>3547</v>
      </c>
      <c r="U9" s="2">
        <f>SUM(G9:J9)</f>
        <v>3388</v>
      </c>
    </row>
    <row r="10" spans="2:37" s="3" customFormat="1" x14ac:dyDescent="0.2">
      <c r="B10" s="3" t="s">
        <v>41</v>
      </c>
      <c r="C10" s="3">
        <f>SUM(C4:C9)</f>
        <v>8596</v>
      </c>
      <c r="D10" s="3">
        <f>SUM(D4:D9)</f>
        <v>9598</v>
      </c>
      <c r="E10" s="3">
        <f>SUM(E4:E9)</f>
        <v>9327</v>
      </c>
      <c r="F10" s="3">
        <f>SUM(F4:F9)</f>
        <v>10706</v>
      </c>
      <c r="G10" s="3">
        <f>SUM(G4:G9)</f>
        <v>8448</v>
      </c>
      <c r="H10" s="3">
        <f>SUM(H4:H9)</f>
        <v>8993</v>
      </c>
      <c r="I10" s="3">
        <f>SUM(I4:I9)</f>
        <v>9012</v>
      </c>
      <c r="J10" s="3">
        <f>SUM(J4:J9)</f>
        <v>10594</v>
      </c>
      <c r="K10" s="3">
        <f>SUM(K4:K9)</f>
        <v>8595</v>
      </c>
      <c r="Q10" s="3">
        <f>SUM(Q4:Q9)</f>
        <v>37121</v>
      </c>
      <c r="R10" s="3">
        <f>SUM(R4:R9)</f>
        <v>37180</v>
      </c>
      <c r="S10" s="3">
        <f>SUM(S4:S9)</f>
        <v>38275</v>
      </c>
      <c r="T10" s="3">
        <f t="shared" si="1"/>
        <v>38227</v>
      </c>
      <c r="U10" s="3">
        <f>SUM(G10:J10)</f>
        <v>37047</v>
      </c>
    </row>
    <row r="11" spans="2:37" s="2" customFormat="1" x14ac:dyDescent="0.2">
      <c r="B11" s="2" t="s">
        <v>42</v>
      </c>
      <c r="C11" s="2">
        <v>1706</v>
      </c>
      <c r="D11" s="2">
        <v>1897</v>
      </c>
      <c r="E11" s="2">
        <v>1839</v>
      </c>
      <c r="F11" s="2">
        <v>2212</v>
      </c>
      <c r="G11" s="2">
        <v>1731</v>
      </c>
      <c r="H11" s="2">
        <v>1945</v>
      </c>
      <c r="I11" s="2">
        <v>1903</v>
      </c>
      <c r="J11" s="2">
        <v>2306</v>
      </c>
      <c r="K11" s="2">
        <v>1919</v>
      </c>
      <c r="Q11" s="2">
        <v>6990</v>
      </c>
      <c r="R11" s="2">
        <v>7062</v>
      </c>
      <c r="S11" s="2">
        <v>7567</v>
      </c>
      <c r="T11" s="2">
        <f t="shared" si="1"/>
        <v>7654</v>
      </c>
      <c r="U11" s="2">
        <f>SUM(G11:J11)</f>
        <v>7885</v>
      </c>
    </row>
    <row r="12" spans="2:37" s="2" customFormat="1" x14ac:dyDescent="0.2">
      <c r="B12" s="2" t="s">
        <v>35</v>
      </c>
      <c r="C12" s="2">
        <v>149</v>
      </c>
      <c r="D12" s="2">
        <v>165</v>
      </c>
      <c r="E12" s="2">
        <v>203</v>
      </c>
      <c r="F12" s="2">
        <v>256</v>
      </c>
      <c r="G12" s="2">
        <v>276</v>
      </c>
      <c r="H12" s="2">
        <v>280</v>
      </c>
      <c r="I12" s="2">
        <v>292</v>
      </c>
      <c r="J12" s="2">
        <v>304</v>
      </c>
      <c r="K12" s="2">
        <v>319</v>
      </c>
      <c r="Q12" s="2">
        <v>209</v>
      </c>
      <c r="R12" s="2">
        <v>327</v>
      </c>
      <c r="S12" s="2">
        <v>455</v>
      </c>
      <c r="T12" s="2">
        <f t="shared" si="1"/>
        <v>773</v>
      </c>
      <c r="U12" s="2">
        <f>SUM(G12:J12)</f>
        <v>1152</v>
      </c>
    </row>
    <row r="13" spans="2:37" s="2" customFormat="1" x14ac:dyDescent="0.2">
      <c r="B13" s="2" t="s">
        <v>36</v>
      </c>
      <c r="C13" s="2">
        <v>79</v>
      </c>
      <c r="D13" s="2">
        <v>87</v>
      </c>
      <c r="E13" s="2">
        <v>88</v>
      </c>
      <c r="F13" s="2">
        <v>90</v>
      </c>
      <c r="G13" s="2">
        <v>89</v>
      </c>
      <c r="H13" s="2">
        <v>91</v>
      </c>
      <c r="I13" s="2">
        <v>88</v>
      </c>
      <c r="J13" s="2">
        <v>99</v>
      </c>
      <c r="K13" s="2">
        <v>96</v>
      </c>
      <c r="Q13" s="2">
        <v>289</v>
      </c>
      <c r="R13" s="2">
        <v>304</v>
      </c>
      <c r="S13" s="2">
        <v>308</v>
      </c>
      <c r="T13" s="2">
        <f t="shared" si="1"/>
        <v>344</v>
      </c>
      <c r="U13" s="2">
        <f>SUM(G13:J13)</f>
        <v>367</v>
      </c>
    </row>
    <row r="14" spans="2:37" s="2" customFormat="1" x14ac:dyDescent="0.2">
      <c r="B14" s="2" t="s">
        <v>40</v>
      </c>
      <c r="C14" s="2">
        <v>272</v>
      </c>
      <c r="D14" s="2">
        <v>296</v>
      </c>
      <c r="E14" s="2">
        <v>300</v>
      </c>
      <c r="F14" s="2">
        <v>331</v>
      </c>
      <c r="G14" s="2">
        <v>291</v>
      </c>
      <c r="H14" s="2">
        <v>293</v>
      </c>
      <c r="I14" s="2">
        <v>293</v>
      </c>
      <c r="J14" s="2">
        <v>268</v>
      </c>
      <c r="K14" s="2">
        <v>275</v>
      </c>
      <c r="Q14" s="2">
        <v>1226</v>
      </c>
      <c r="R14" s="2">
        <v>1175</v>
      </c>
      <c r="S14" s="2">
        <v>1162</v>
      </c>
      <c r="T14" s="2">
        <f t="shared" si="1"/>
        <v>1199</v>
      </c>
      <c r="U14" s="2">
        <f>SUM(G14:J14)</f>
        <v>1145</v>
      </c>
    </row>
    <row r="15" spans="2:37" s="2" customFormat="1" x14ac:dyDescent="0.2">
      <c r="B15" s="2" t="s">
        <v>38</v>
      </c>
      <c r="C15" s="2">
        <v>298</v>
      </c>
      <c r="D15" s="2">
        <v>369</v>
      </c>
      <c r="E15" s="2">
        <v>367</v>
      </c>
      <c r="F15" s="2">
        <v>438</v>
      </c>
      <c r="G15" s="2">
        <v>303</v>
      </c>
      <c r="H15" s="2">
        <v>325</v>
      </c>
      <c r="I15" s="2">
        <v>338</v>
      </c>
      <c r="J15" s="2">
        <v>405</v>
      </c>
      <c r="K15" s="2">
        <v>242</v>
      </c>
      <c r="Q15" s="2">
        <v>1843</v>
      </c>
      <c r="R15" s="2">
        <v>1501</v>
      </c>
      <c r="S15" s="2">
        <v>1521</v>
      </c>
      <c r="T15" s="2">
        <f t="shared" si="1"/>
        <v>1472</v>
      </c>
      <c r="U15" s="2">
        <f t="shared" ref="U15:U27" si="2">SUM(G15:J15)</f>
        <v>1371</v>
      </c>
    </row>
    <row r="16" spans="2:37" s="2" customFormat="1" x14ac:dyDescent="0.2">
      <c r="B16" s="2" t="s">
        <v>39</v>
      </c>
      <c r="C16" s="2">
        <v>192</v>
      </c>
      <c r="D16" s="2">
        <v>218</v>
      </c>
      <c r="E16" s="2">
        <v>218</v>
      </c>
      <c r="F16" s="2">
        <v>188</v>
      </c>
      <c r="G16" s="2">
        <v>180</v>
      </c>
      <c r="H16" s="2">
        <v>174</v>
      </c>
      <c r="I16" s="2">
        <v>171</v>
      </c>
      <c r="J16" s="2">
        <v>168</v>
      </c>
      <c r="K16" s="2">
        <v>149</v>
      </c>
      <c r="Q16" s="2">
        <v>1046</v>
      </c>
      <c r="R16" s="2">
        <v>890</v>
      </c>
      <c r="S16" s="2">
        <v>836</v>
      </c>
      <c r="T16" s="2">
        <f t="shared" si="1"/>
        <v>816</v>
      </c>
      <c r="U16" s="2">
        <f t="shared" si="2"/>
        <v>693</v>
      </c>
    </row>
    <row r="17" spans="2:21" s="2" customFormat="1" x14ac:dyDescent="0.2">
      <c r="B17" s="2" t="s">
        <v>49</v>
      </c>
      <c r="C17" s="2">
        <v>691</v>
      </c>
      <c r="D17" s="2">
        <v>764</v>
      </c>
      <c r="E17" s="2">
        <v>724</v>
      </c>
      <c r="F17" s="2">
        <v>750</v>
      </c>
      <c r="G17" s="2">
        <v>711</v>
      </c>
      <c r="H17" s="2">
        <v>690</v>
      </c>
      <c r="I17" s="2">
        <v>657</v>
      </c>
      <c r="J17" s="2">
        <v>692</v>
      </c>
      <c r="K17" s="2">
        <v>695</v>
      </c>
      <c r="Q17" s="2">
        <v>3382</v>
      </c>
      <c r="R17" s="2">
        <v>3182</v>
      </c>
      <c r="S17" s="2">
        <v>2954</v>
      </c>
      <c r="T17" s="2">
        <f t="shared" si="1"/>
        <v>2929</v>
      </c>
      <c r="U17" s="2">
        <f t="shared" si="2"/>
        <v>2750</v>
      </c>
    </row>
    <row r="18" spans="2:21" s="2" customFormat="1" x14ac:dyDescent="0.2">
      <c r="B18" s="2" t="s">
        <v>43</v>
      </c>
      <c r="C18" s="2">
        <v>1329</v>
      </c>
      <c r="D18" s="2">
        <v>1389</v>
      </c>
      <c r="E18" s="2">
        <v>1370</v>
      </c>
      <c r="F18" s="2">
        <v>1435</v>
      </c>
      <c r="G18" s="2">
        <v>1390</v>
      </c>
      <c r="H18" s="2">
        <v>1444</v>
      </c>
      <c r="I18" s="2">
        <v>1419</v>
      </c>
      <c r="J18" s="2">
        <v>1534</v>
      </c>
      <c r="K18" s="2">
        <v>1520</v>
      </c>
      <c r="Q18" s="2">
        <v>4523</v>
      </c>
      <c r="R18" s="2">
        <v>4850</v>
      </c>
      <c r="S18" s="2">
        <v>5151</v>
      </c>
      <c r="T18" s="2">
        <f t="shared" si="1"/>
        <v>5523</v>
      </c>
      <c r="U18" s="2">
        <f t="shared" si="2"/>
        <v>5787</v>
      </c>
    </row>
    <row r="19" spans="2:21" s="2" customFormat="1" x14ac:dyDescent="0.2">
      <c r="B19" s="2" t="s">
        <v>44</v>
      </c>
      <c r="C19" s="2">
        <v>276</v>
      </c>
      <c r="D19" s="2">
        <v>272</v>
      </c>
      <c r="E19" s="2">
        <v>252</v>
      </c>
      <c r="F19" s="2">
        <v>278</v>
      </c>
      <c r="G19" s="2">
        <v>257</v>
      </c>
      <c r="H19" s="2">
        <v>285</v>
      </c>
      <c r="I19" s="2">
        <v>290</v>
      </c>
      <c r="J19" s="2">
        <v>323</v>
      </c>
      <c r="K19" s="2">
        <v>315</v>
      </c>
      <c r="Q19" s="2">
        <v>1126</v>
      </c>
      <c r="R19" s="2">
        <v>1072</v>
      </c>
      <c r="S19" s="2">
        <v>1038</v>
      </c>
      <c r="T19" s="2">
        <f t="shared" si="1"/>
        <v>1078</v>
      </c>
      <c r="U19" s="2">
        <f t="shared" si="2"/>
        <v>1155</v>
      </c>
    </row>
    <row r="20" spans="2:21" s="2" customFormat="1" x14ac:dyDescent="0.2">
      <c r="B20" s="2" t="s">
        <v>45</v>
      </c>
      <c r="C20" s="2">
        <v>547</v>
      </c>
      <c r="D20" s="2">
        <v>568</v>
      </c>
      <c r="E20" s="2">
        <v>527</v>
      </c>
      <c r="F20" s="2">
        <v>507</v>
      </c>
      <c r="G20" s="2">
        <v>452</v>
      </c>
      <c r="H20" s="2">
        <v>423</v>
      </c>
      <c r="I20" s="2">
        <v>408</v>
      </c>
      <c r="J20" s="2">
        <v>355</v>
      </c>
      <c r="K20" s="2">
        <v>311</v>
      </c>
      <c r="Q20" s="2">
        <v>2430</v>
      </c>
      <c r="R20" s="2">
        <v>2385</v>
      </c>
      <c r="S20" s="2">
        <v>2300</v>
      </c>
      <c r="T20" s="2">
        <f t="shared" si="1"/>
        <v>2149</v>
      </c>
      <c r="U20" s="2">
        <f t="shared" si="2"/>
        <v>1638</v>
      </c>
    </row>
    <row r="21" spans="2:21" s="2" customFormat="1" x14ac:dyDescent="0.2">
      <c r="B21" s="2" t="s">
        <v>46</v>
      </c>
      <c r="C21" s="2">
        <f>25+69</f>
        <v>94</v>
      </c>
      <c r="D21" s="2">
        <f>-20+51</f>
        <v>31</v>
      </c>
      <c r="E21" s="2">
        <f>8+48</f>
        <v>56</v>
      </c>
      <c r="F21" s="2">
        <f>200+39</f>
        <v>239</v>
      </c>
      <c r="G21" s="2">
        <f>31+83</f>
        <v>114</v>
      </c>
      <c r="H21" s="2">
        <f>-7+95</f>
        <v>88</v>
      </c>
      <c r="I21" s="2">
        <f>11+115</f>
        <v>126</v>
      </c>
      <c r="J21" s="2">
        <f>7+165</f>
        <v>172</v>
      </c>
      <c r="K21" s="2">
        <f>14+99</f>
        <v>113</v>
      </c>
      <c r="Q21" s="2">
        <f>56+295</f>
        <v>351</v>
      </c>
      <c r="R21" s="2">
        <f>-604+352</f>
        <v>-252</v>
      </c>
      <c r="S21" s="2">
        <f>41+183</f>
        <v>224</v>
      </c>
      <c r="T21" s="2">
        <f t="shared" si="1"/>
        <v>420</v>
      </c>
      <c r="U21" s="2">
        <f t="shared" si="2"/>
        <v>500</v>
      </c>
    </row>
    <row r="22" spans="2:21" s="2" customFormat="1" x14ac:dyDescent="0.2">
      <c r="B22" s="2" t="s">
        <v>47</v>
      </c>
      <c r="C22" s="2">
        <f>SUM(C11:C21)</f>
        <v>5633</v>
      </c>
      <c r="D22" s="2">
        <f>SUM(D11:D21)</f>
        <v>6056</v>
      </c>
      <c r="E22" s="2">
        <f>SUM(E11:E21)</f>
        <v>5944</v>
      </c>
      <c r="F22" s="2">
        <f>SUM(F11:F21)</f>
        <v>6724</v>
      </c>
      <c r="G22" s="2">
        <f>SUM(G11:G21)</f>
        <v>5794</v>
      </c>
      <c r="H22" s="2">
        <f>SUM(H11:H21)</f>
        <v>6038</v>
      </c>
      <c r="I22" s="2">
        <f>SUM(I11:I21)</f>
        <v>5985</v>
      </c>
      <c r="J22" s="2">
        <f>SUM(J11:J21)</f>
        <v>6626</v>
      </c>
      <c r="K22" s="2">
        <f>SUM(K11:K21)</f>
        <v>5954</v>
      </c>
      <c r="Q22" s="2">
        <f>SUM(Q11:Q21)</f>
        <v>23415</v>
      </c>
      <c r="R22" s="2">
        <f>SUM(R11:R21)</f>
        <v>22496</v>
      </c>
      <c r="S22" s="2">
        <f>SUM(S11:S21)</f>
        <v>23516</v>
      </c>
      <c r="T22" s="2">
        <f t="shared" si="1"/>
        <v>24357</v>
      </c>
      <c r="U22" s="2">
        <f t="shared" si="2"/>
        <v>24443</v>
      </c>
    </row>
    <row r="23" spans="2:21" s="2" customFormat="1" x14ac:dyDescent="0.2">
      <c r="B23" s="2" t="s">
        <v>48</v>
      </c>
      <c r="C23" s="2">
        <f>C10-C22</f>
        <v>2963</v>
      </c>
      <c r="D23" s="2">
        <f>D10-D22</f>
        <v>3542</v>
      </c>
      <c r="E23" s="2">
        <f>E10-E22</f>
        <v>3383</v>
      </c>
      <c r="F23" s="2">
        <f>F10-F22</f>
        <v>3982</v>
      </c>
      <c r="G23" s="2">
        <f>G10-G22</f>
        <v>2654</v>
      </c>
      <c r="H23" s="2">
        <f>H10-H22</f>
        <v>2955</v>
      </c>
      <c r="I23" s="2">
        <f>I10-I22</f>
        <v>3027</v>
      </c>
      <c r="J23" s="2">
        <f>J10-J22</f>
        <v>3968</v>
      </c>
      <c r="K23" s="2">
        <f>K10-K22</f>
        <v>2641</v>
      </c>
      <c r="Q23" s="2">
        <f>Q10-Q22</f>
        <v>13706</v>
      </c>
      <c r="R23" s="2">
        <f>R10-R22</f>
        <v>14684</v>
      </c>
      <c r="S23" s="2">
        <f>S10-S22</f>
        <v>14759</v>
      </c>
      <c r="T23" s="2">
        <f t="shared" si="1"/>
        <v>13870</v>
      </c>
      <c r="U23" s="2">
        <f t="shared" si="2"/>
        <v>12604</v>
      </c>
    </row>
    <row r="24" spans="2:21" s="2" customFormat="1" x14ac:dyDescent="0.2">
      <c r="B24" s="2" t="s">
        <v>50</v>
      </c>
      <c r="C24" s="2">
        <f>-261+16</f>
        <v>-245</v>
      </c>
      <c r="D24" s="2">
        <f>-282+9</f>
        <v>-273</v>
      </c>
      <c r="E24" s="2">
        <f>-273+40</f>
        <v>-233</v>
      </c>
      <c r="F24" s="2">
        <f>-325+40</f>
        <v>-285</v>
      </c>
      <c r="G24" s="2">
        <f>-374+30</f>
        <v>-344</v>
      </c>
      <c r="H24" s="2">
        <f>-371+84</f>
        <v>-287</v>
      </c>
      <c r="I24" s="2">
        <f>-360+65</f>
        <v>-295</v>
      </c>
      <c r="J24" s="2">
        <f>-362+126</f>
        <v>-236</v>
      </c>
      <c r="K24" s="2">
        <f>-416+148</f>
        <v>-268</v>
      </c>
      <c r="Q24" s="2">
        <f>-766+22</f>
        <v>-744</v>
      </c>
      <c r="R24" s="2">
        <f>-797+11</f>
        <v>-786</v>
      </c>
      <c r="S24" s="2">
        <f>-914-141</f>
        <v>-1055</v>
      </c>
      <c r="T24" s="2">
        <f t="shared" si="1"/>
        <v>-1036</v>
      </c>
      <c r="U24" s="2">
        <f t="shared" si="2"/>
        <v>-1162</v>
      </c>
    </row>
    <row r="25" spans="2:21" s="2" customFormat="1" x14ac:dyDescent="0.2">
      <c r="B25" s="2" t="s">
        <v>51</v>
      </c>
      <c r="C25" s="2">
        <f>C23+C24</f>
        <v>2718</v>
      </c>
      <c r="D25" s="2">
        <f>D23+D24</f>
        <v>3269</v>
      </c>
      <c r="E25" s="2">
        <f>E23+E24</f>
        <v>3150</v>
      </c>
      <c r="F25" s="2">
        <f>F23+F24</f>
        <v>3697</v>
      </c>
      <c r="G25" s="2">
        <f>G23+G24</f>
        <v>2310</v>
      </c>
      <c r="H25" s="2">
        <f>H23+H24</f>
        <v>2668</v>
      </c>
      <c r="I25" s="2">
        <f>I23+I24</f>
        <v>2732</v>
      </c>
      <c r="J25" s="2">
        <f>J23+J24</f>
        <v>3732</v>
      </c>
      <c r="K25" s="2">
        <f>K23+K24</f>
        <v>2373</v>
      </c>
      <c r="Q25" s="2">
        <f>Q23+Q24</f>
        <v>12962</v>
      </c>
      <c r="R25" s="2">
        <f>R23+R24</f>
        <v>13898</v>
      </c>
      <c r="S25" s="2">
        <f>S23+S24</f>
        <v>13704</v>
      </c>
      <c r="T25" s="2">
        <f t="shared" si="1"/>
        <v>12834</v>
      </c>
      <c r="U25" s="2">
        <f t="shared" si="2"/>
        <v>11442</v>
      </c>
    </row>
    <row r="26" spans="2:21" s="2" customFormat="1" x14ac:dyDescent="0.2">
      <c r="B26" s="2" t="s">
        <v>30</v>
      </c>
      <c r="C26" s="2">
        <v>534</v>
      </c>
      <c r="D26" s="2">
        <v>767</v>
      </c>
      <c r="E26" s="2">
        <v>655</v>
      </c>
      <c r="F26" s="2">
        <v>939</v>
      </c>
      <c r="G26" s="2">
        <v>563</v>
      </c>
      <c r="H26" s="2">
        <v>471</v>
      </c>
      <c r="I26" s="2">
        <v>590</v>
      </c>
      <c r="J26" s="2">
        <v>918</v>
      </c>
      <c r="K26" s="2">
        <v>541</v>
      </c>
      <c r="Q26" s="2">
        <v>2981</v>
      </c>
      <c r="R26" s="2">
        <v>2973</v>
      </c>
      <c r="S26" s="2">
        <v>2749</v>
      </c>
      <c r="T26" s="2">
        <f t="shared" si="1"/>
        <v>2895</v>
      </c>
      <c r="U26" s="2">
        <f t="shared" si="2"/>
        <v>2542</v>
      </c>
    </row>
    <row r="27" spans="2:21" s="2" customFormat="1" x14ac:dyDescent="0.2">
      <c r="B27" s="2" t="s">
        <v>52</v>
      </c>
      <c r="C27" s="2">
        <f>C25-C26</f>
        <v>2184</v>
      </c>
      <c r="D27" s="2">
        <f>D25-D26</f>
        <v>2502</v>
      </c>
      <c r="E27" s="2">
        <f>E25-E26</f>
        <v>2495</v>
      </c>
      <c r="F27" s="2">
        <f>F25-F26</f>
        <v>2758</v>
      </c>
      <c r="G27" s="2">
        <f>G25-G26</f>
        <v>1747</v>
      </c>
      <c r="H27" s="2">
        <f>H25-H26</f>
        <v>2197</v>
      </c>
      <c r="I27" s="2">
        <f>I25-I26</f>
        <v>2142</v>
      </c>
      <c r="J27" s="2">
        <f>J25-J26</f>
        <v>2814</v>
      </c>
      <c r="K27" s="2">
        <f>K25-K26</f>
        <v>1832</v>
      </c>
      <c r="Q27" s="2">
        <f>Q25-Q26</f>
        <v>9981</v>
      </c>
      <c r="R27" s="2">
        <f>R25-R26</f>
        <v>10925</v>
      </c>
      <c r="S27" s="2">
        <f>S25-S26</f>
        <v>10955</v>
      </c>
      <c r="T27" s="2">
        <f t="shared" si="1"/>
        <v>9939</v>
      </c>
      <c r="U27" s="2">
        <f t="shared" si="2"/>
        <v>8900</v>
      </c>
    </row>
    <row r="28" spans="2:21" s="4" customFormat="1" x14ac:dyDescent="0.2">
      <c r="B28" s="4" t="s">
        <v>53</v>
      </c>
      <c r="C28" s="4">
        <f>C27/C29</f>
        <v>0.48021108179419525</v>
      </c>
      <c r="D28" s="4">
        <f>D27/D29</f>
        <v>0.55538290788013323</v>
      </c>
      <c r="E28" s="4">
        <f>E27/E29</f>
        <v>0.55518469069870935</v>
      </c>
      <c r="F28" s="4">
        <f>F27/F29</f>
        <v>0.61796997535290166</v>
      </c>
      <c r="G28" s="4">
        <f>G27/G29</f>
        <v>0.39596554850407978</v>
      </c>
      <c r="H28" s="4">
        <f>H27/H29</f>
        <v>0.50903614457831325</v>
      </c>
      <c r="I28" s="4">
        <f>I27/I29</f>
        <v>0.50328947368421051</v>
      </c>
      <c r="J28" s="4">
        <f>J27/J29</f>
        <v>0.66399244926852286</v>
      </c>
      <c r="K28" s="4">
        <f>K27/K29</f>
        <v>0.4340203743188818</v>
      </c>
      <c r="Q28" s="4">
        <f>Q27/Q29</f>
        <v>1.9589793915603533</v>
      </c>
      <c r="R28" s="4">
        <f>R27/R29</f>
        <v>2.2553674649050373</v>
      </c>
      <c r="S28" s="4">
        <f>S27/S29</f>
        <v>2.3794526498696786</v>
      </c>
      <c r="T28" s="4">
        <f>T27/T29</f>
        <v>2.2074403109383676</v>
      </c>
      <c r="U28" s="4">
        <f>U27/U29</f>
        <v>2.0671234467541515</v>
      </c>
    </row>
    <row r="29" spans="2:21" s="2" customFormat="1" x14ac:dyDescent="0.2">
      <c r="B29" s="2" t="s">
        <v>1</v>
      </c>
      <c r="C29" s="2">
        <v>4548</v>
      </c>
      <c r="D29" s="2">
        <v>4505</v>
      </c>
      <c r="E29" s="2">
        <v>4494</v>
      </c>
      <c r="F29" s="2">
        <v>4463</v>
      </c>
      <c r="G29" s="2">
        <v>4412</v>
      </c>
      <c r="H29" s="2">
        <v>4316</v>
      </c>
      <c r="I29" s="2">
        <v>4256</v>
      </c>
      <c r="J29" s="2">
        <v>4238</v>
      </c>
      <c r="K29" s="2">
        <v>4221</v>
      </c>
      <c r="Q29" s="2">
        <v>5095</v>
      </c>
      <c r="R29" s="2">
        <v>4844</v>
      </c>
      <c r="S29" s="2">
        <v>4604</v>
      </c>
      <c r="T29" s="2">
        <f>AVERAGE(C29:F29)</f>
        <v>4502.5</v>
      </c>
      <c r="U29" s="2">
        <f>AVERAGE(G29:J29)</f>
        <v>4305.5</v>
      </c>
    </row>
    <row r="30" spans="2:21" s="2" customFormat="1" x14ac:dyDescent="0.2"/>
    <row r="31" spans="2:21" s="2" customFormat="1" x14ac:dyDescent="0.2">
      <c r="B31" s="2" t="s">
        <v>57</v>
      </c>
    </row>
    <row r="32" spans="2:21" s="2" customFormat="1" x14ac:dyDescent="0.2"/>
    <row r="33" spans="2:21" s="2" customFormat="1" x14ac:dyDescent="0.2"/>
    <row r="34" spans="2:21" s="2" customFormat="1" x14ac:dyDescent="0.2"/>
    <row r="35" spans="2:21" s="2" customFormat="1" x14ac:dyDescent="0.2"/>
    <row r="36" spans="2:21" s="2" customFormat="1" x14ac:dyDescent="0.2"/>
    <row r="37" spans="2:21" s="2" customFormat="1" x14ac:dyDescent="0.2"/>
    <row r="38" spans="2:21" s="6" customFormat="1" x14ac:dyDescent="0.2">
      <c r="B38" s="6" t="s">
        <v>54</v>
      </c>
      <c r="F38" s="6">
        <f>F4/C4-1</f>
        <v>0.23442136498516319</v>
      </c>
      <c r="G38" s="6">
        <f t="shared" ref="G38:J38" si="3">G4/D4-1</f>
        <v>0.24930747922437679</v>
      </c>
      <c r="H38" s="6">
        <f t="shared" si="3"/>
        <v>0.30107526881720426</v>
      </c>
      <c r="I38" s="6">
        <f t="shared" si="3"/>
        <v>0.40144230769230771</v>
      </c>
      <c r="J38" s="6">
        <f t="shared" si="3"/>
        <v>0.52993348115299344</v>
      </c>
      <c r="K38" s="6">
        <f>K4/H4-1</f>
        <v>0.64876033057851235</v>
      </c>
      <c r="R38" s="6">
        <f t="shared" ref="R38:U38" si="4">R10/Q10-1</f>
        <v>1.5893968373696943E-3</v>
      </c>
      <c r="S38" s="6">
        <f t="shared" si="4"/>
        <v>2.9451317912856378E-2</v>
      </c>
      <c r="T38" s="6">
        <f t="shared" si="4"/>
        <v>-1.254082299150916E-3</v>
      </c>
      <c r="U38" s="6">
        <f>U10/T10-1</f>
        <v>-3.0868234493944047E-2</v>
      </c>
    </row>
    <row r="39" spans="2:21" s="6" customFormat="1" x14ac:dyDescent="0.2">
      <c r="B39" s="6" t="s">
        <v>55</v>
      </c>
      <c r="F39" s="6">
        <f>F23/F10</f>
        <v>0.37194096768167384</v>
      </c>
      <c r="G39" s="6">
        <f t="shared" ref="G39:K39" si="5">G23/G10</f>
        <v>0.31415719696969696</v>
      </c>
      <c r="H39" s="6">
        <f t="shared" si="5"/>
        <v>0.32858890247970646</v>
      </c>
      <c r="I39" s="6">
        <f t="shared" si="5"/>
        <v>0.33588548601864182</v>
      </c>
      <c r="J39" s="6">
        <f t="shared" si="5"/>
        <v>0.3745516329998112</v>
      </c>
      <c r="K39" s="6">
        <f t="shared" si="5"/>
        <v>0.30727166957533447</v>
      </c>
      <c r="R39" s="6">
        <f t="shared" ref="R39:U39" si="6">R23/R10</f>
        <v>0.39494351802044109</v>
      </c>
      <c r="S39" s="6">
        <f t="shared" si="6"/>
        <v>0.38560418027433052</v>
      </c>
      <c r="T39" s="6">
        <f t="shared" si="6"/>
        <v>0.36283255290763072</v>
      </c>
      <c r="U39" s="6">
        <f t="shared" si="6"/>
        <v>0.34021648176640484</v>
      </c>
    </row>
    <row r="40" spans="2:21" s="6" customFormat="1" x14ac:dyDescent="0.2">
      <c r="B40" s="6" t="s">
        <v>56</v>
      </c>
      <c r="F40" s="6">
        <f>F27/F10</f>
        <v>0.25761255370820102</v>
      </c>
      <c r="G40" s="6">
        <f t="shared" ref="G40:K40" si="7">G27/G10</f>
        <v>0.20679450757575757</v>
      </c>
      <c r="H40" s="6">
        <f t="shared" si="7"/>
        <v>0.24430112309574112</v>
      </c>
      <c r="I40" s="6">
        <f t="shared" si="7"/>
        <v>0.23768308921438083</v>
      </c>
      <c r="J40" s="6">
        <f t="shared" si="7"/>
        <v>0.265622050217104</v>
      </c>
      <c r="K40" s="6">
        <f t="shared" si="7"/>
        <v>0.21314717859220478</v>
      </c>
      <c r="R40" s="6">
        <f t="shared" ref="R40:U40" si="8">R27/R10</f>
        <v>0.29384077461000541</v>
      </c>
      <c r="S40" s="6">
        <f t="shared" si="8"/>
        <v>0.2862181580666231</v>
      </c>
      <c r="T40" s="6">
        <f t="shared" si="8"/>
        <v>0.25999947680958485</v>
      </c>
      <c r="U40" s="6">
        <f t="shared" si="8"/>
        <v>0.24023537668367209</v>
      </c>
    </row>
    <row r="41" spans="2:21" s="6" customFormat="1" x14ac:dyDescent="0.2">
      <c r="B41" s="6" t="s">
        <v>30</v>
      </c>
      <c r="F41" s="6">
        <f>F26/F25</f>
        <v>0.25398972139572629</v>
      </c>
      <c r="G41" s="6">
        <f t="shared" ref="G41:K41" si="9">G26/G25</f>
        <v>0.24372294372294373</v>
      </c>
      <c r="H41" s="6">
        <f t="shared" si="9"/>
        <v>0.1765367316341829</v>
      </c>
      <c r="I41" s="6">
        <f t="shared" si="9"/>
        <v>0.21595900439238652</v>
      </c>
      <c r="J41" s="6">
        <f t="shared" si="9"/>
        <v>0.2459807073954984</v>
      </c>
      <c r="K41" s="6">
        <f t="shared" si="9"/>
        <v>0.22798145806995365</v>
      </c>
      <c r="R41" s="6">
        <f t="shared" ref="R41:U41" si="10">R26/R25</f>
        <v>0.21391567131961434</v>
      </c>
      <c r="S41" s="6">
        <f t="shared" si="10"/>
        <v>0.20059836544074722</v>
      </c>
      <c r="T41" s="6">
        <f t="shared" si="10"/>
        <v>0.22557269752220663</v>
      </c>
      <c r="U41" s="6">
        <f t="shared" si="10"/>
        <v>0.22216395735011363</v>
      </c>
    </row>
    <row r="42" spans="2:21" s="6" customFormat="1" x14ac:dyDescent="0.2"/>
    <row r="43" spans="2:21" s="6" customFormat="1" x14ac:dyDescent="0.2"/>
    <row r="44" spans="2:21" s="2" customFormat="1" x14ac:dyDescent="0.2"/>
    <row r="45" spans="2:21" s="2" customFormat="1" x14ac:dyDescent="0.2">
      <c r="B45" s="2" t="s">
        <v>3</v>
      </c>
      <c r="I45" s="2">
        <f>15583+35184</f>
        <v>50767</v>
      </c>
      <c r="J45" s="2">
        <f>20152+35973</f>
        <v>56125</v>
      </c>
      <c r="K45" s="2">
        <f>28614+39782</f>
        <v>68396</v>
      </c>
    </row>
    <row r="46" spans="2:21" s="2" customFormat="1" x14ac:dyDescent="0.2">
      <c r="B46" s="2" t="s">
        <v>18</v>
      </c>
      <c r="I46" s="2">
        <v>3844</v>
      </c>
      <c r="J46" s="2">
        <v>5385</v>
      </c>
      <c r="K46" s="2">
        <v>3407</v>
      </c>
    </row>
    <row r="47" spans="2:21" s="2" customFormat="1" x14ac:dyDescent="0.2">
      <c r="B47" s="2" t="s">
        <v>19</v>
      </c>
      <c r="I47" s="2">
        <v>212</v>
      </c>
      <c r="J47" s="2">
        <v>212</v>
      </c>
      <c r="K47" s="2">
        <v>286</v>
      </c>
    </row>
    <row r="48" spans="2:21" s="2" customFormat="1" x14ac:dyDescent="0.2">
      <c r="B48" s="2" t="s">
        <v>20</v>
      </c>
      <c r="I48" s="2">
        <v>2246</v>
      </c>
      <c r="J48" s="2">
        <v>2591</v>
      </c>
      <c r="K48" s="2">
        <v>2362</v>
      </c>
    </row>
    <row r="49" spans="2:11" s="2" customFormat="1" x14ac:dyDescent="0.2">
      <c r="B49" s="2" t="s">
        <v>21</v>
      </c>
      <c r="I49" s="2">
        <v>4011</v>
      </c>
      <c r="J49" s="2">
        <v>4000</v>
      </c>
      <c r="K49" s="2">
        <v>4108</v>
      </c>
    </row>
    <row r="50" spans="2:11" s="2" customFormat="1" x14ac:dyDescent="0.2">
      <c r="B50" s="2" t="s">
        <v>22</v>
      </c>
      <c r="I50" s="2">
        <f>5249+34284</f>
        <v>39533</v>
      </c>
      <c r="J50" s="2">
        <f>4943+34590</f>
        <v>39533</v>
      </c>
      <c r="K50" s="2">
        <f>5091+35350</f>
        <v>40441</v>
      </c>
    </row>
    <row r="51" spans="2:11" s="2" customFormat="1" x14ac:dyDescent="0.2">
      <c r="B51" s="2" t="s">
        <v>23</v>
      </c>
      <c r="I51" s="2">
        <v>1382</v>
      </c>
      <c r="J51" s="2">
        <v>1291</v>
      </c>
      <c r="K51" s="2">
        <v>1142</v>
      </c>
    </row>
    <row r="52" spans="2:11" s="2" customFormat="1" x14ac:dyDescent="0.2">
      <c r="B52" s="2" t="s">
        <v>25</v>
      </c>
      <c r="I52" s="2">
        <v>2899</v>
      </c>
      <c r="J52" s="2">
        <v>3043</v>
      </c>
      <c r="K52" s="2">
        <v>3081</v>
      </c>
    </row>
    <row r="53" spans="2:11" s="2" customFormat="1" x14ac:dyDescent="0.2">
      <c r="B53" s="2" t="s">
        <v>24</v>
      </c>
      <c r="I53" s="2">
        <f>SUM(I45:I52)</f>
        <v>104894</v>
      </c>
      <c r="J53" s="2">
        <f>SUM(J45:J52)</f>
        <v>112180</v>
      </c>
      <c r="K53" s="2">
        <f>SUM(K45:K52)</f>
        <v>123223</v>
      </c>
    </row>
    <row r="54" spans="2:11" s="2" customFormat="1" x14ac:dyDescent="0.2"/>
    <row r="55" spans="2:11" s="2" customFormat="1" x14ac:dyDescent="0.2">
      <c r="B55" s="2" t="s">
        <v>4</v>
      </c>
      <c r="I55" s="2">
        <v>40106</v>
      </c>
      <c r="J55" s="2">
        <f>3750+40105</f>
        <v>43855</v>
      </c>
      <c r="K55" s="2">
        <f>999+53057</f>
        <v>54056</v>
      </c>
    </row>
    <row r="56" spans="2:11" s="2" customFormat="1" x14ac:dyDescent="0.2">
      <c r="B56" s="2" t="s">
        <v>26</v>
      </c>
      <c r="I56" s="2">
        <v>410</v>
      </c>
      <c r="J56" s="2">
        <v>504</v>
      </c>
      <c r="K56" s="2">
        <v>551</v>
      </c>
    </row>
    <row r="57" spans="2:11" s="2" customFormat="1" x14ac:dyDescent="0.2">
      <c r="B57" s="2" t="s">
        <v>27</v>
      </c>
      <c r="I57" s="2">
        <v>1536</v>
      </c>
      <c r="J57" s="2">
        <v>1966</v>
      </c>
      <c r="K57" s="2">
        <v>1419</v>
      </c>
    </row>
    <row r="58" spans="2:11" s="2" customFormat="1" x14ac:dyDescent="0.2">
      <c r="B58" s="2" t="s">
        <v>28</v>
      </c>
      <c r="I58" s="2">
        <v>6912</v>
      </c>
      <c r="J58" s="2">
        <v>7655</v>
      </c>
      <c r="K58" s="2">
        <v>9462</v>
      </c>
    </row>
    <row r="59" spans="2:11" s="2" customFormat="1" x14ac:dyDescent="0.2">
      <c r="B59" s="2" t="s">
        <v>29</v>
      </c>
      <c r="I59" s="2">
        <v>2967</v>
      </c>
      <c r="J59" s="2">
        <v>3333</v>
      </c>
      <c r="K59" s="2">
        <v>2711</v>
      </c>
    </row>
    <row r="60" spans="2:11" s="2" customFormat="1" x14ac:dyDescent="0.2">
      <c r="B60" s="2" t="s">
        <v>30</v>
      </c>
      <c r="I60" s="2">
        <v>4418</v>
      </c>
      <c r="J60" s="2">
        <v>4908</v>
      </c>
      <c r="K60" s="2">
        <v>5031</v>
      </c>
    </row>
    <row r="61" spans="2:11" s="2" customFormat="1" x14ac:dyDescent="0.2">
      <c r="B61" s="2" t="s">
        <v>31</v>
      </c>
      <c r="I61" s="2">
        <v>2209</v>
      </c>
      <c r="J61" s="2">
        <v>2169</v>
      </c>
      <c r="K61" s="2">
        <v>2161</v>
      </c>
    </row>
    <row r="62" spans="2:11" s="2" customFormat="1" x14ac:dyDescent="0.2">
      <c r="B62" s="2" t="s">
        <v>34</v>
      </c>
      <c r="I62" s="2">
        <f>SUM(I55:I61)</f>
        <v>58558</v>
      </c>
      <c r="J62" s="2">
        <f>SUM(J55:J61)</f>
        <v>64390</v>
      </c>
      <c r="K62" s="2">
        <f>SUM(K55:K61)</f>
        <v>75391</v>
      </c>
    </row>
    <row r="63" spans="2:11" s="2" customFormat="1" x14ac:dyDescent="0.2">
      <c r="B63" s="2" t="s">
        <v>32</v>
      </c>
      <c r="I63" s="2">
        <v>46336</v>
      </c>
      <c r="J63" s="2">
        <v>47790</v>
      </c>
      <c r="K63" s="2">
        <v>47832</v>
      </c>
    </row>
    <row r="64" spans="2:11" s="2" customFormat="1" x14ac:dyDescent="0.2">
      <c r="B64" s="2" t="s">
        <v>33</v>
      </c>
      <c r="I64" s="2">
        <f>+I62+I63</f>
        <v>104894</v>
      </c>
      <c r="J64" s="2">
        <f>+J62+J63</f>
        <v>112180</v>
      </c>
      <c r="K64" s="2">
        <f>+K62+K63</f>
        <v>123223</v>
      </c>
    </row>
    <row r="65" s="2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LOOK</cp:lastModifiedBy>
  <dcterms:created xsi:type="dcterms:W3CDTF">2016-10-17T00:20:34Z</dcterms:created>
  <dcterms:modified xsi:type="dcterms:W3CDTF">2016-10-17T01:25:46Z</dcterms:modified>
</cp:coreProperties>
</file>