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autoCompressPictures="0"/>
  <bookViews>
    <workbookView xWindow="3405" yWindow="-15" windowWidth="30120" windowHeight="20535" tabRatio="500" activeTab="1"/>
  </bookViews>
  <sheets>
    <sheet name="Main" sheetId="1" r:id="rId1"/>
    <sheet name="Model" sheetId="2" r:id="rId2"/>
  </sheets>
  <calcPr calcId="1445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3" i="2" l="1"/>
  <c r="Z3" i="2"/>
  <c r="N4" i="2"/>
  <c r="Z4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O9" i="2"/>
  <c r="N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N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O12" i="2"/>
  <c r="AO13" i="2"/>
  <c r="N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O16" i="2"/>
  <c r="AN9" i="2"/>
  <c r="AN12" i="2"/>
  <c r="AN13" i="2"/>
  <c r="AN16" i="2"/>
  <c r="AM9" i="2"/>
  <c r="AM12" i="2"/>
  <c r="AM13" i="2"/>
  <c r="AM16" i="2"/>
  <c r="AL9" i="2"/>
  <c r="AL12" i="2"/>
  <c r="AL13" i="2"/>
  <c r="AL16" i="2"/>
  <c r="AK9" i="2"/>
  <c r="AK12" i="2"/>
  <c r="AK13" i="2"/>
  <c r="AK16" i="2"/>
  <c r="AJ9" i="2"/>
  <c r="AJ12" i="2"/>
  <c r="AJ13" i="2"/>
  <c r="AJ16" i="2"/>
  <c r="AI9" i="2"/>
  <c r="AI12" i="2"/>
  <c r="AI13" i="2"/>
  <c r="AI16" i="2"/>
  <c r="AH9" i="2"/>
  <c r="AH12" i="2"/>
  <c r="AH13" i="2"/>
  <c r="AH16" i="2"/>
  <c r="AG9" i="2"/>
  <c r="AG12" i="2"/>
  <c r="AG13" i="2"/>
  <c r="AG16" i="2"/>
  <c r="AF9" i="2"/>
  <c r="AF12" i="2"/>
  <c r="AF13" i="2"/>
  <c r="AF16" i="2"/>
  <c r="AE9" i="2"/>
  <c r="AE12" i="2"/>
  <c r="AE13" i="2"/>
  <c r="AE16" i="2"/>
  <c r="AD9" i="2"/>
  <c r="AD12" i="2"/>
  <c r="AD13" i="2"/>
  <c r="AD16" i="2"/>
  <c r="AC9" i="2"/>
  <c r="AC12" i="2"/>
  <c r="AC13" i="2"/>
  <c r="AC16" i="2"/>
  <c r="AB9" i="2"/>
  <c r="AB12" i="2"/>
  <c r="AB13" i="2"/>
  <c r="AB16" i="2"/>
  <c r="AA9" i="2"/>
  <c r="AA12" i="2"/>
  <c r="AA13" i="2"/>
  <c r="AA16" i="2"/>
  <c r="N6" i="2"/>
  <c r="Z6" i="2"/>
  <c r="N7" i="2"/>
  <c r="Z7" i="2"/>
  <c r="Z8" i="2"/>
  <c r="Z9" i="2"/>
  <c r="Z12" i="2"/>
  <c r="Z13" i="2"/>
  <c r="Z16" i="2"/>
  <c r="G5" i="2"/>
  <c r="G8" i="2"/>
  <c r="G9" i="2"/>
  <c r="G12" i="2"/>
  <c r="G13" i="2"/>
  <c r="H5" i="2"/>
  <c r="H8" i="2"/>
  <c r="H9" i="2"/>
  <c r="H12" i="2"/>
  <c r="H13" i="2"/>
  <c r="I5" i="2"/>
  <c r="I8" i="2"/>
  <c r="I9" i="2"/>
  <c r="I12" i="2"/>
  <c r="I13" i="2"/>
  <c r="J3" i="2"/>
  <c r="J4" i="2"/>
  <c r="J5" i="2"/>
  <c r="J6" i="2"/>
  <c r="J7" i="2"/>
  <c r="J8" i="2"/>
  <c r="J9" i="2"/>
  <c r="J10" i="2"/>
  <c r="J11" i="2"/>
  <c r="J12" i="2"/>
  <c r="J13" i="2"/>
  <c r="Y13" i="2"/>
  <c r="J15" i="2"/>
  <c r="Y15" i="2"/>
  <c r="Y16" i="2"/>
  <c r="C5" i="2"/>
  <c r="C8" i="2"/>
  <c r="C9" i="2"/>
  <c r="C12" i="2"/>
  <c r="C13" i="2"/>
  <c r="D5" i="2"/>
  <c r="D8" i="2"/>
  <c r="D9" i="2"/>
  <c r="D12" i="2"/>
  <c r="D13" i="2"/>
  <c r="E5" i="2"/>
  <c r="E8" i="2"/>
  <c r="E9" i="2"/>
  <c r="E12" i="2"/>
  <c r="E13" i="2"/>
  <c r="F3" i="2"/>
  <c r="F4" i="2"/>
  <c r="F5" i="2"/>
  <c r="F6" i="2"/>
  <c r="F7" i="2"/>
  <c r="F8" i="2"/>
  <c r="F9" i="2"/>
  <c r="F10" i="2"/>
  <c r="F11" i="2"/>
  <c r="F12" i="2"/>
  <c r="F13" i="2"/>
  <c r="X13" i="2"/>
  <c r="F15" i="2"/>
  <c r="X15" i="2"/>
  <c r="X16" i="2"/>
  <c r="W5" i="2"/>
  <c r="W8" i="2"/>
  <c r="W9" i="2"/>
  <c r="W12" i="2"/>
  <c r="W13" i="2"/>
  <c r="W16" i="2"/>
  <c r="V5" i="2"/>
  <c r="V8" i="2"/>
  <c r="V9" i="2"/>
  <c r="V12" i="2"/>
  <c r="V13" i="2"/>
  <c r="V16" i="2"/>
  <c r="U5" i="2"/>
  <c r="U8" i="2"/>
  <c r="U9" i="2"/>
  <c r="U12" i="2"/>
  <c r="U13" i="2"/>
  <c r="U16" i="2"/>
  <c r="P5" i="2"/>
  <c r="P8" i="2"/>
  <c r="P9" i="2"/>
  <c r="P12" i="2"/>
  <c r="P13" i="2"/>
  <c r="P16" i="2"/>
  <c r="Q5" i="2"/>
  <c r="Q8" i="2"/>
  <c r="Q9" i="2"/>
  <c r="Q12" i="2"/>
  <c r="Q13" i="2"/>
  <c r="Q16" i="2"/>
  <c r="O5" i="2"/>
  <c r="O8" i="2"/>
  <c r="O9" i="2"/>
  <c r="O12" i="2"/>
  <c r="O13" i="2"/>
  <c r="O16" i="2"/>
  <c r="N5" i="2"/>
  <c r="N8" i="2"/>
  <c r="N9" i="2"/>
  <c r="N12" i="2"/>
  <c r="N13" i="2"/>
  <c r="N16" i="2"/>
  <c r="M5" i="2"/>
  <c r="M8" i="2"/>
  <c r="M9" i="2"/>
  <c r="M12" i="2"/>
  <c r="M13" i="2"/>
  <c r="M16" i="2"/>
  <c r="L5" i="2"/>
  <c r="L8" i="2"/>
  <c r="L9" i="2"/>
  <c r="L12" i="2"/>
  <c r="L13" i="2"/>
  <c r="L16" i="2"/>
  <c r="K5" i="2"/>
  <c r="K8" i="2"/>
  <c r="K9" i="2"/>
  <c r="K12" i="2"/>
  <c r="K13" i="2"/>
  <c r="K16" i="2"/>
  <c r="J16" i="2"/>
  <c r="I16" i="2"/>
  <c r="H16" i="2"/>
  <c r="G16" i="2"/>
  <c r="F16" i="2"/>
  <c r="E16" i="2"/>
  <c r="D16" i="2"/>
  <c r="C16" i="2"/>
  <c r="M18" i="2"/>
  <c r="K18" i="2"/>
  <c r="L18" i="2"/>
  <c r="N18" i="2"/>
  <c r="O18" i="2"/>
  <c r="P18" i="2"/>
  <c r="P51" i="2"/>
  <c r="Q54" i="2"/>
  <c r="Q28" i="2"/>
  <c r="Q29" i="2"/>
  <c r="Q30" i="2"/>
  <c r="Q36" i="2"/>
  <c r="Q53" i="2"/>
  <c r="Q18" i="2"/>
  <c r="Q52" i="2"/>
  <c r="Q46" i="2"/>
  <c r="Q38" i="2"/>
  <c r="Q40" i="2"/>
  <c r="Q43" i="2"/>
  <c r="Q49" i="2"/>
  <c r="AO17" i="2"/>
  <c r="AO26" i="2"/>
  <c r="AN17" i="2"/>
  <c r="AN26" i="2"/>
  <c r="AM17" i="2"/>
  <c r="AM26" i="2"/>
  <c r="AL17" i="2"/>
  <c r="AL26" i="2"/>
  <c r="AK17" i="2"/>
  <c r="AK26" i="2"/>
  <c r="AJ17" i="2"/>
  <c r="AJ26" i="2"/>
  <c r="AO25" i="2"/>
  <c r="AN25" i="2"/>
  <c r="AM25" i="2"/>
  <c r="AL25" i="2"/>
  <c r="AK25" i="2"/>
  <c r="AJ25" i="2"/>
  <c r="AI17" i="2"/>
  <c r="AI26" i="2"/>
  <c r="AH17" i="2"/>
  <c r="AH26" i="2"/>
  <c r="AG17" i="2"/>
  <c r="AG26" i="2"/>
  <c r="AF17" i="2"/>
  <c r="AF26" i="2"/>
  <c r="AE17" i="2"/>
  <c r="AE26" i="2"/>
  <c r="AD17" i="2"/>
  <c r="AD26" i="2"/>
  <c r="AC17" i="2"/>
  <c r="AC26" i="2"/>
  <c r="AB17" i="2"/>
  <c r="AB26" i="2"/>
  <c r="AA17" i="2"/>
  <c r="AA26" i="2"/>
  <c r="AI25" i="2"/>
  <c r="AH25" i="2"/>
  <c r="AG25" i="2"/>
  <c r="AF25" i="2"/>
  <c r="AE25" i="2"/>
  <c r="AD25" i="2"/>
  <c r="AC25" i="2"/>
  <c r="AB25" i="2"/>
  <c r="AA25" i="2"/>
  <c r="N17" i="2"/>
  <c r="K19" i="2"/>
  <c r="Z17" i="2"/>
  <c r="Z26" i="2"/>
  <c r="J17" i="2"/>
  <c r="Y17" i="2"/>
  <c r="Y26" i="2"/>
  <c r="F17" i="2"/>
  <c r="X17" i="2"/>
  <c r="X26" i="2"/>
  <c r="W26" i="2"/>
  <c r="V26" i="2"/>
  <c r="Z25" i="2"/>
  <c r="Y9" i="2"/>
  <c r="Y5" i="2"/>
  <c r="Y25" i="2"/>
  <c r="X9" i="2"/>
  <c r="X5" i="2"/>
  <c r="X25" i="2"/>
  <c r="W25" i="2"/>
  <c r="V25" i="2"/>
  <c r="V18" i="2"/>
  <c r="U18" i="2"/>
  <c r="V23" i="2"/>
  <c r="V22" i="2"/>
  <c r="U19" i="2"/>
  <c r="Q23" i="2"/>
  <c r="P23" i="2"/>
  <c r="O23" i="2"/>
  <c r="G18" i="2"/>
  <c r="H18" i="2"/>
  <c r="I18" i="2"/>
  <c r="J18" i="2"/>
  <c r="N23" i="2"/>
  <c r="M23" i="2"/>
  <c r="L23" i="2"/>
  <c r="K23" i="2"/>
  <c r="C18" i="2"/>
  <c r="D18" i="2"/>
  <c r="E18" i="2"/>
  <c r="F18" i="2"/>
  <c r="J23" i="2"/>
  <c r="I23" i="2"/>
  <c r="H23" i="2"/>
  <c r="G23" i="2"/>
  <c r="AO18" i="2"/>
  <c r="AN18" i="2"/>
  <c r="AO23" i="2"/>
  <c r="AM18" i="2"/>
  <c r="AN23" i="2"/>
  <c r="AL18" i="2"/>
  <c r="AM23" i="2"/>
  <c r="AK18" i="2"/>
  <c r="AL23" i="2"/>
  <c r="AJ18" i="2"/>
  <c r="AK23" i="2"/>
  <c r="AI18" i="2"/>
  <c r="AJ23" i="2"/>
  <c r="AH18" i="2"/>
  <c r="AI23" i="2"/>
  <c r="AG18" i="2"/>
  <c r="AH23" i="2"/>
  <c r="AF18" i="2"/>
  <c r="AG23" i="2"/>
  <c r="AE18" i="2"/>
  <c r="AF23" i="2"/>
  <c r="AD18" i="2"/>
  <c r="AE23" i="2"/>
  <c r="AC18" i="2"/>
  <c r="AD23" i="2"/>
  <c r="AB18" i="2"/>
  <c r="AC23" i="2"/>
  <c r="AA18" i="2"/>
  <c r="AB23" i="2"/>
  <c r="Z18" i="2"/>
  <c r="AA23" i="2"/>
  <c r="Y18" i="2"/>
  <c r="Z23" i="2"/>
  <c r="X18" i="2"/>
  <c r="Y23" i="2"/>
  <c r="W18" i="2"/>
  <c r="X23" i="2"/>
  <c r="W23" i="2"/>
  <c r="K5" i="1"/>
  <c r="K6" i="1"/>
  <c r="AR26" i="2"/>
  <c r="AP18" i="2"/>
  <c r="AQ18" i="2"/>
  <c r="AR18" i="2"/>
  <c r="AS18" i="2"/>
  <c r="AT18" i="2"/>
  <c r="AU18" i="2"/>
  <c r="AV18" i="2"/>
  <c r="AW18" i="2"/>
  <c r="AX18" i="2"/>
  <c r="AY18" i="2"/>
  <c r="AZ18" i="2"/>
  <c r="BA18" i="2"/>
  <c r="BB18" i="2"/>
  <c r="BC18" i="2"/>
  <c r="BD18" i="2"/>
  <c r="BE18" i="2"/>
  <c r="BF18" i="2"/>
  <c r="BG18" i="2"/>
  <c r="BH18" i="2"/>
  <c r="BI18" i="2"/>
  <c r="BJ18" i="2"/>
  <c r="BK18" i="2"/>
  <c r="BL18" i="2"/>
  <c r="BM18" i="2"/>
  <c r="BN18" i="2"/>
  <c r="BO18" i="2"/>
  <c r="BP18" i="2"/>
  <c r="BQ18" i="2"/>
  <c r="BR18" i="2"/>
  <c r="BS18" i="2"/>
  <c r="BT18" i="2"/>
  <c r="BU18" i="2"/>
  <c r="BV18" i="2"/>
  <c r="BW18" i="2"/>
  <c r="BX18" i="2"/>
  <c r="BY18" i="2"/>
  <c r="BZ18" i="2"/>
  <c r="CA18" i="2"/>
  <c r="CB18" i="2"/>
  <c r="CC18" i="2"/>
  <c r="CD18" i="2"/>
  <c r="CE18" i="2"/>
  <c r="CF18" i="2"/>
  <c r="CG18" i="2"/>
  <c r="CH18" i="2"/>
  <c r="CI18" i="2"/>
  <c r="CJ18" i="2"/>
  <c r="CK18" i="2"/>
  <c r="CL18" i="2"/>
  <c r="CM18" i="2"/>
  <c r="CN18" i="2"/>
  <c r="CO18" i="2"/>
  <c r="CP18" i="2"/>
  <c r="CQ18" i="2"/>
  <c r="CR18" i="2"/>
  <c r="CS18" i="2"/>
  <c r="CT18" i="2"/>
  <c r="CU18" i="2"/>
  <c r="CV18" i="2"/>
  <c r="CW18" i="2"/>
  <c r="CX18" i="2"/>
  <c r="CY18" i="2"/>
  <c r="CZ18" i="2"/>
  <c r="DA18" i="2"/>
  <c r="DB18" i="2"/>
  <c r="DC18" i="2"/>
  <c r="DD18" i="2"/>
  <c r="DE18" i="2"/>
  <c r="DF18" i="2"/>
  <c r="DG18" i="2"/>
  <c r="DH18" i="2"/>
  <c r="DI18" i="2"/>
  <c r="DJ18" i="2"/>
  <c r="DK18" i="2"/>
  <c r="DL18" i="2"/>
  <c r="DM18" i="2"/>
  <c r="DN18" i="2"/>
  <c r="DO18" i="2"/>
  <c r="DP18" i="2"/>
  <c r="DQ18" i="2"/>
  <c r="DR18" i="2"/>
  <c r="DS18" i="2"/>
  <c r="DT18" i="2"/>
  <c r="DU18" i="2"/>
  <c r="DV18" i="2"/>
  <c r="DW18" i="2"/>
  <c r="DX18" i="2"/>
  <c r="DY18" i="2"/>
  <c r="DZ18" i="2"/>
  <c r="EA18" i="2"/>
  <c r="EB18" i="2"/>
  <c r="EC18" i="2"/>
  <c r="ED18" i="2"/>
  <c r="EE18" i="2"/>
  <c r="EF18" i="2"/>
  <c r="EG18" i="2"/>
  <c r="EH18" i="2"/>
  <c r="EI18" i="2"/>
  <c r="EJ18" i="2"/>
  <c r="EK18" i="2"/>
  <c r="EL18" i="2"/>
  <c r="EM18" i="2"/>
  <c r="EN18" i="2"/>
  <c r="EO18" i="2"/>
  <c r="EP18" i="2"/>
  <c r="EQ18" i="2"/>
  <c r="ER18" i="2"/>
  <c r="ES18" i="2"/>
  <c r="ET18" i="2"/>
  <c r="EU18" i="2"/>
  <c r="EV18" i="2"/>
  <c r="EW18" i="2"/>
  <c r="EX18" i="2"/>
  <c r="EY18" i="2"/>
  <c r="EZ18" i="2"/>
  <c r="FA18" i="2"/>
  <c r="FB18" i="2"/>
  <c r="FC18" i="2"/>
  <c r="FD18" i="2"/>
  <c r="FE18" i="2"/>
  <c r="FF18" i="2"/>
  <c r="FG18" i="2"/>
  <c r="FH18" i="2"/>
  <c r="FI18" i="2"/>
  <c r="FJ18" i="2"/>
  <c r="FK18" i="2"/>
  <c r="FL18" i="2"/>
  <c r="FM18" i="2"/>
  <c r="FN18" i="2"/>
  <c r="FO18" i="2"/>
  <c r="FP18" i="2"/>
  <c r="FQ18" i="2"/>
  <c r="FR18" i="2"/>
  <c r="FS18" i="2"/>
  <c r="FT18" i="2"/>
  <c r="FU18" i="2"/>
  <c r="FV18" i="2"/>
  <c r="FW18" i="2"/>
  <c r="FX18" i="2"/>
  <c r="FY18" i="2"/>
  <c r="FZ18" i="2"/>
  <c r="GA18" i="2"/>
  <c r="GB18" i="2"/>
  <c r="GC18" i="2"/>
  <c r="GD18" i="2"/>
  <c r="GE18" i="2"/>
  <c r="GF18" i="2"/>
  <c r="GG18" i="2"/>
  <c r="GH18" i="2"/>
  <c r="GI18" i="2"/>
  <c r="GJ18" i="2"/>
  <c r="GK18" i="2"/>
  <c r="GL18" i="2"/>
  <c r="GM18" i="2"/>
  <c r="GN18" i="2"/>
  <c r="AR25" i="2"/>
  <c r="AR27" i="2"/>
  <c r="AR29" i="2"/>
  <c r="AR30" i="2"/>
  <c r="AR32" i="2"/>
  <c r="W22" i="2"/>
  <c r="X22" i="2"/>
  <c r="V19" i="2"/>
  <c r="W19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AO22" i="2"/>
  <c r="AA22" i="2"/>
  <c r="X12" i="2"/>
  <c r="Y12" i="2"/>
  <c r="Y22" i="2"/>
  <c r="Z22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C26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C25" i="2"/>
  <c r="G22" i="2"/>
  <c r="X19" i="2"/>
  <c r="Y19" i="2"/>
  <c r="X4" i="2"/>
  <c r="X6" i="2"/>
  <c r="X7" i="2"/>
  <c r="X8" i="2"/>
  <c r="X10" i="2"/>
  <c r="X11" i="2"/>
  <c r="X3" i="2"/>
  <c r="F19" i="2"/>
  <c r="C19" i="2"/>
  <c r="Y6" i="2"/>
  <c r="Y7" i="2"/>
  <c r="Y8" i="2"/>
  <c r="Y10" i="2"/>
  <c r="Y11" i="2"/>
  <c r="Y4" i="2"/>
  <c r="J19" i="2"/>
  <c r="Y3" i="2"/>
  <c r="Z19" i="2"/>
  <c r="H22" i="2"/>
  <c r="I22" i="2"/>
  <c r="J22" i="2"/>
  <c r="K22" i="2"/>
  <c r="L22" i="2"/>
  <c r="M22" i="2"/>
  <c r="N22" i="2"/>
  <c r="N19" i="2"/>
  <c r="D19" i="2"/>
  <c r="E19" i="2"/>
  <c r="G19" i="2"/>
  <c r="H19" i="2"/>
  <c r="I19" i="2"/>
  <c r="O22" i="2"/>
  <c r="O19" i="2"/>
  <c r="P22" i="2"/>
  <c r="L19" i="2"/>
  <c r="P19" i="2"/>
  <c r="Q22" i="2"/>
  <c r="M19" i="2"/>
  <c r="Q19" i="2"/>
  <c r="K4" i="1"/>
  <c r="K7" i="1"/>
</calcChain>
</file>

<file path=xl/sharedStrings.xml><?xml version="1.0" encoding="utf-8"?>
<sst xmlns="http://schemas.openxmlformats.org/spreadsheetml/2006/main" count="89" uniqueCount="83">
  <si>
    <t>Name</t>
  </si>
  <si>
    <t>Description</t>
  </si>
  <si>
    <t>% of Revenue</t>
  </si>
  <si>
    <t>Notes</t>
  </si>
  <si>
    <t>Competition</t>
  </si>
  <si>
    <t>Price</t>
  </si>
  <si>
    <t>Shares</t>
  </si>
  <si>
    <t>MC</t>
  </si>
  <si>
    <t>Cash</t>
  </si>
  <si>
    <t>Debt</t>
  </si>
  <si>
    <t>EV</t>
  </si>
  <si>
    <t>Q113</t>
  </si>
  <si>
    <t>Q213</t>
  </si>
  <si>
    <t>Q313</t>
  </si>
  <si>
    <t>Q413</t>
  </si>
  <si>
    <t>Q114</t>
  </si>
  <si>
    <t>Q214</t>
  </si>
  <si>
    <t>Q314</t>
  </si>
  <si>
    <t>Q414</t>
  </si>
  <si>
    <t>Q115</t>
  </si>
  <si>
    <t>Q215</t>
  </si>
  <si>
    <t>Q315</t>
  </si>
  <si>
    <t>Q415</t>
  </si>
  <si>
    <t>Q116</t>
  </si>
  <si>
    <t>Q216</t>
  </si>
  <si>
    <t>Q316</t>
  </si>
  <si>
    <t>Q416</t>
  </si>
  <si>
    <t>Revenues before reimbursements</t>
  </si>
  <si>
    <t>Reimbursements</t>
  </si>
  <si>
    <t>Cost of Services</t>
  </si>
  <si>
    <t>Cost of Services before reimbursable expenses</t>
  </si>
  <si>
    <t>Reimbursable expenses</t>
  </si>
  <si>
    <t>Sales and marketing</t>
  </si>
  <si>
    <t>G&amp;A</t>
  </si>
  <si>
    <t>Interest Income</t>
  </si>
  <si>
    <t>Operating Income</t>
  </si>
  <si>
    <t>Other Expense</t>
  </si>
  <si>
    <t>Pretax Income</t>
  </si>
  <si>
    <t>Taxes</t>
  </si>
  <si>
    <t>Net Income</t>
  </si>
  <si>
    <t>Revenue</t>
  </si>
  <si>
    <t>EPS</t>
  </si>
  <si>
    <t>Operating Expenses</t>
  </si>
  <si>
    <t>Gross Profit</t>
  </si>
  <si>
    <t>Revenue Y/Y</t>
  </si>
  <si>
    <t>Net Income Y/Y</t>
  </si>
  <si>
    <t>Gross Margin</t>
  </si>
  <si>
    <t>Tax Rate</t>
  </si>
  <si>
    <t>ROIC</t>
  </si>
  <si>
    <t>Maturity</t>
  </si>
  <si>
    <t>Discount</t>
  </si>
  <si>
    <t>NPV</t>
  </si>
  <si>
    <t>Net</t>
  </si>
  <si>
    <t>Share</t>
  </si>
  <si>
    <t>Current</t>
  </si>
  <si>
    <t>A/R</t>
  </si>
  <si>
    <t>DT</t>
  </si>
  <si>
    <t>OCA</t>
  </si>
  <si>
    <t>PP&amp;E</t>
  </si>
  <si>
    <t>Goodwill</t>
  </si>
  <si>
    <t>ONCA</t>
  </si>
  <si>
    <t>Assets</t>
  </si>
  <si>
    <t>A/P</t>
  </si>
  <si>
    <t>D/R</t>
  </si>
  <si>
    <t>Retirement</t>
  </si>
  <si>
    <t>Income Taxes Payable</t>
  </si>
  <si>
    <t>ONCL</t>
  </si>
  <si>
    <t>S/E</t>
  </si>
  <si>
    <t>L+S/E</t>
  </si>
  <si>
    <t>Deferred Contract Costs</t>
  </si>
  <si>
    <t>Accrued payroll</t>
  </si>
  <si>
    <t>Accrued consumption taxes</t>
  </si>
  <si>
    <t>Other accrued liabilities</t>
  </si>
  <si>
    <t>TTM Cash Flow</t>
  </si>
  <si>
    <t>ROE</t>
  </si>
  <si>
    <t>ROA</t>
  </si>
  <si>
    <t>ROTB</t>
  </si>
  <si>
    <t>Model NI</t>
  </si>
  <si>
    <t>Reported NI</t>
  </si>
  <si>
    <t>D&amp;A</t>
  </si>
  <si>
    <t>SBC</t>
  </si>
  <si>
    <t>Gain on sale of business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</si>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</sst>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0" xfId="0" applyFont="1"/>
    <xf numFmtId="0" fontId="0" fillId="0" borderId="0" xfId="0" applyAlignment="1">
      <alignment horizontal="center"/>
    </xf>
    <xf numFmtId="3" fontId="0" fillId="0" borderId="0" xfId="0" applyNumberFormat="1"/>
    <xf numFmtId="3" fontId="0" fillId="0" borderId="0" xfId="0" applyNumberFormat="1" applyFont="1"/>
    <xf numFmtId="14" fontId="3" fillId="0" borderId="0" xfId="0" applyNumberFormat="1" applyFont="1"/>
    <xf numFmtId="14" fontId="3" fillId="0" borderId="0" xfId="0" applyNumberFormat="1" applyFont="1" applyAlignment="1">
      <alignment horizontal="right" vertical="center"/>
    </xf>
    <xf numFmtId="14" fontId="3" fillId="0" borderId="0" xfId="0" applyNumberFormat="1" applyFont="1" applyFill="1" applyAlignment="1">
      <alignment horizontal="right" vertical="center"/>
    </xf>
    <xf numFmtId="14" fontId="3" fillId="0" borderId="0" xfId="0" applyNumberFormat="1" applyFont="1" applyFill="1"/>
    <xf numFmtId="0" fontId="4" fillId="0" borderId="0" xfId="0" applyFont="1" applyAlignment="1">
      <alignment horizontal="right" vertical="center"/>
    </xf>
    <xf numFmtId="0" fontId="4" fillId="0" borderId="0" xfId="0" applyFont="1"/>
    <xf numFmtId="0" fontId="4" fillId="0" borderId="0" xfId="0" applyFont="1" applyFill="1"/>
    <xf numFmtId="3" fontId="4" fillId="0" borderId="0" xfId="0" applyNumberFormat="1" applyFont="1"/>
    <xf numFmtId="3" fontId="3" fillId="0" borderId="0" xfId="0" applyNumberFormat="1" applyFont="1" applyFill="1"/>
    <xf numFmtId="3" fontId="4" fillId="0" borderId="0" xfId="0" applyNumberFormat="1" applyFont="1" applyFill="1"/>
    <xf numFmtId="3" fontId="5" fillId="0" borderId="0" xfId="0" applyNumberFormat="1" applyFont="1"/>
    <xf numFmtId="3" fontId="5" fillId="0" borderId="0" xfId="0" applyNumberFormat="1" applyFont="1" applyFill="1"/>
    <xf numFmtId="4" fontId="4" fillId="0" borderId="0" xfId="0" applyNumberFormat="1" applyFont="1"/>
    <xf numFmtId="4" fontId="4" fillId="0" borderId="0" xfId="0" applyNumberFormat="1" applyFont="1" applyFill="1"/>
    <xf numFmtId="9" fontId="5" fillId="0" borderId="0" xfId="0" applyNumberFormat="1" applyFont="1"/>
    <xf numFmtId="9" fontId="4" fillId="0" borderId="0" xfId="0" applyNumberFormat="1" applyFont="1"/>
    <xf numFmtId="9" fontId="3" fillId="0" borderId="0" xfId="0" applyNumberFormat="1" applyFont="1"/>
    <xf numFmtId="164" fontId="4" fillId="0" borderId="0" xfId="0" applyNumberFormat="1" applyFont="1"/>
    <xf numFmtId="38" fontId="5" fillId="0" borderId="0" xfId="0" applyNumberFormat="1" applyFont="1"/>
    <xf numFmtId="0" fontId="5" fillId="0" borderId="0" xfId="0" applyFont="1"/>
  </cellXfs>
  <cellStyles count="4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138953</xdr:colOff>
      <xdr:row>1</xdr:row>
      <xdr:rowOff>9525</xdr:rowOff>
    </xdr:from>
    <xdr:to>
      <xdr:col>17</xdr:col>
      <xdr:colOff>138953</xdr:colOff>
      <xdr:row>75</xdr:row>
      <xdr:rowOff>155201</xdr:rowOff>
    </xdr:to>
    <xdr:cxnSp macro="">
      <xdr:nvCxnSpPr>
        <xdr:cNvPr id="3" name="Straight Connector 2"/>
        <xdr:cNvCxnSpPr/>
      </xdr:nvCxnSpPr>
      <xdr:spPr>
        <a:xfrm>
          <a:off x="16464803" y="171450"/>
          <a:ext cx="0" cy="11804276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51546</xdr:colOff>
      <xdr:row>0</xdr:row>
      <xdr:rowOff>0</xdr:rowOff>
    </xdr:from>
    <xdr:to>
      <xdr:col>26</xdr:col>
      <xdr:colOff>51546</xdr:colOff>
      <xdr:row>74</xdr:row>
      <xdr:rowOff>145676</xdr:rowOff>
    </xdr:to>
    <xdr:cxnSp macro="">
      <xdr:nvCxnSpPr>
        <xdr:cNvPr id="5" name="Straight Connector 4"/>
        <xdr:cNvCxnSpPr/>
      </xdr:nvCxnSpPr>
      <xdr:spPr>
        <a:xfrm>
          <a:off x="23987311" y="0"/>
          <a:ext cx="0" cy="15027088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7"/>
  <sheetViews>
    <sheetView topLeftCell="D1" workbookViewId="0">
      <selection activeCell="D45" sqref="D45"/>
    </sheetView>
  </sheetViews>
  <sheetFormatPr defaultColWidth="11" defaultRowHeight="15.75" x14ac:dyDescent="0.25"/>
  <cols>
    <col min="2" max="2" width="22" customWidth="1"/>
    <col min="3" max="3" width="20.625" customWidth="1"/>
    <col min="4" max="4" width="18" customWidth="1"/>
    <col min="6" max="6" width="14.625" customWidth="1"/>
  </cols>
  <sheetData>
    <row r="2" spans="2:11" x14ac:dyDescent="0.25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J2" t="s">
        <v>5</v>
      </c>
      <c r="K2">
        <v>110.53</v>
      </c>
    </row>
    <row r="3" spans="2:11" x14ac:dyDescent="0.25">
      <c r="D3" s="1"/>
      <c r="J3" t="s">
        <v>6</v>
      </c>
      <c r="K3">
        <v>644.73</v>
      </c>
    </row>
    <row r="4" spans="2:11" x14ac:dyDescent="0.25">
      <c r="J4" t="s">
        <v>7</v>
      </c>
      <c r="K4" s="3">
        <f>(K2*K3)</f>
        <v>71262.006900000008</v>
      </c>
    </row>
    <row r="5" spans="2:11" x14ac:dyDescent="0.25">
      <c r="J5" t="s">
        <v>8</v>
      </c>
      <c r="K5" s="4">
        <f>3497.878+2.869+132.427</f>
        <v>3633.1740000000004</v>
      </c>
    </row>
    <row r="6" spans="2:11" x14ac:dyDescent="0.25">
      <c r="J6" t="s">
        <v>9</v>
      </c>
      <c r="K6" s="3">
        <f>2.072+26.801</f>
        <v>28.872999999999998</v>
      </c>
    </row>
    <row r="7" spans="2:11" x14ac:dyDescent="0.25">
      <c r="J7" t="s">
        <v>10</v>
      </c>
      <c r="K7" s="3">
        <f>(K4-K5+K6)</f>
        <v>67657.705900000015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N62"/>
  <sheetViews>
    <sheetView tabSelected="1" zoomScaleNormal="100" zoomScalePageLayoutView="11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D23" sqref="D23"/>
    </sheetView>
  </sheetViews>
  <sheetFormatPr defaultColWidth="11" defaultRowHeight="12.75" x14ac:dyDescent="0.2"/>
  <cols>
    <col min="1" max="1" width="11" style="10"/>
    <col min="2" max="2" width="39.125" style="10" bestFit="1" customWidth="1"/>
    <col min="3" max="3" width="10.125" style="10" customWidth="1"/>
    <col min="4" max="43" width="11" style="10"/>
    <col min="44" max="44" width="12" style="10" bestFit="1" customWidth="1"/>
    <col min="45" max="16384" width="11" style="10"/>
  </cols>
  <sheetData>
    <row r="1" spans="2:41" s="9" customFormat="1" x14ac:dyDescent="0.2">
      <c r="C1" s="5">
        <v>41243</v>
      </c>
      <c r="D1" s="5">
        <v>41333</v>
      </c>
      <c r="E1" s="5">
        <v>41425</v>
      </c>
      <c r="F1" s="8">
        <v>41517</v>
      </c>
      <c r="G1" s="5">
        <v>41607</v>
      </c>
      <c r="H1" s="6">
        <v>41698</v>
      </c>
      <c r="I1" s="6">
        <v>41790</v>
      </c>
      <c r="J1" s="8">
        <v>41882</v>
      </c>
      <c r="K1" s="7">
        <v>41973</v>
      </c>
      <c r="L1" s="7">
        <v>42086</v>
      </c>
      <c r="M1" s="7">
        <v>42155</v>
      </c>
      <c r="N1" s="8">
        <v>42247</v>
      </c>
      <c r="O1" s="6">
        <v>42338</v>
      </c>
      <c r="P1" s="6">
        <v>42453</v>
      </c>
      <c r="Q1" s="6">
        <v>42521</v>
      </c>
    </row>
    <row r="2" spans="2:41" x14ac:dyDescent="0.2">
      <c r="C2" s="10" t="s">
        <v>11</v>
      </c>
      <c r="D2" s="10" t="s">
        <v>12</v>
      </c>
      <c r="E2" s="10" t="s">
        <v>13</v>
      </c>
      <c r="F2" s="10" t="s">
        <v>14</v>
      </c>
      <c r="G2" s="10" t="s">
        <v>15</v>
      </c>
      <c r="H2" s="10" t="s">
        <v>16</v>
      </c>
      <c r="I2" s="10" t="s">
        <v>17</v>
      </c>
      <c r="J2" s="10" t="s">
        <v>18</v>
      </c>
      <c r="K2" s="11" t="s">
        <v>19</v>
      </c>
      <c r="L2" s="11" t="s">
        <v>20</v>
      </c>
      <c r="M2" s="11" t="s">
        <v>21</v>
      </c>
      <c r="N2" s="11" t="s">
        <v>22</v>
      </c>
      <c r="O2" s="10" t="s">
        <v>23</v>
      </c>
      <c r="P2" s="10" t="s">
        <v>24</v>
      </c>
      <c r="Q2" s="10" t="s">
        <v>25</v>
      </c>
      <c r="R2" s="10" t="s">
        <v>26</v>
      </c>
      <c r="U2" s="10">
        <v>2010</v>
      </c>
      <c r="V2" s="10">
        <v>2011</v>
      </c>
      <c r="W2" s="10">
        <v>2012</v>
      </c>
      <c r="X2" s="10">
        <v>2013</v>
      </c>
      <c r="Y2" s="10">
        <v>2014</v>
      </c>
      <c r="Z2" s="10">
        <v>2015</v>
      </c>
      <c r="AA2" s="10">
        <v>2016</v>
      </c>
      <c r="AB2" s="10">
        <v>2017</v>
      </c>
      <c r="AC2" s="10">
        <v>2018</v>
      </c>
      <c r="AD2" s="10">
        <v>2019</v>
      </c>
      <c r="AE2" s="10">
        <v>2020</v>
      </c>
      <c r="AF2" s="10">
        <v>2021</v>
      </c>
      <c r="AG2" s="10">
        <v>2022</v>
      </c>
      <c r="AH2" s="10">
        <v>2023</v>
      </c>
      <c r="AI2" s="10">
        <v>2024</v>
      </c>
      <c r="AJ2" s="10">
        <v>2025</v>
      </c>
      <c r="AK2" s="10">
        <v>2026</v>
      </c>
      <c r="AL2" s="10">
        <v>2027</v>
      </c>
      <c r="AM2" s="10">
        <v>2028</v>
      </c>
      <c r="AN2" s="10">
        <v>2029</v>
      </c>
      <c r="AO2" s="10">
        <v>2030</v>
      </c>
    </row>
    <row r="3" spans="2:41" s="12" customFormat="1" x14ac:dyDescent="0.2">
      <c r="B3" s="12" t="s">
        <v>27</v>
      </c>
      <c r="C3" s="12">
        <v>7219.9610000000002</v>
      </c>
      <c r="D3" s="12">
        <v>7058.0420000000004</v>
      </c>
      <c r="E3" s="12">
        <v>7198.14</v>
      </c>
      <c r="F3" s="12">
        <f>28562.81-C3-D3-E3</f>
        <v>7086.6670000000004</v>
      </c>
      <c r="G3" s="12">
        <v>7358.7489999999998</v>
      </c>
      <c r="H3" s="12">
        <v>7130.6670000000004</v>
      </c>
      <c r="I3" s="12">
        <v>7735.6379999999999</v>
      </c>
      <c r="J3" s="12">
        <f>30002.394-G3-H3-I3</f>
        <v>7777.3399999999992</v>
      </c>
      <c r="K3" s="13">
        <v>7895.7150000000001</v>
      </c>
      <c r="L3" s="14">
        <v>7493.3289999999997</v>
      </c>
      <c r="M3" s="14">
        <v>7770.3819999999996</v>
      </c>
      <c r="N3" s="14">
        <f>31047.931-M3-L3-K3</f>
        <v>7888.5049999999992</v>
      </c>
      <c r="O3" s="12">
        <v>8013.1620000000003</v>
      </c>
      <c r="P3" s="12">
        <v>7945.5649999999996</v>
      </c>
      <c r="Q3" s="12">
        <v>8434.7569999999996</v>
      </c>
      <c r="U3" s="12">
        <v>21550.567999999999</v>
      </c>
      <c r="V3" s="12">
        <v>25507.036</v>
      </c>
      <c r="W3" s="12">
        <v>27862.33</v>
      </c>
      <c r="X3" s="12">
        <f t="shared" ref="X3:X18" si="0">SUM(C3:F3)</f>
        <v>28562.81</v>
      </c>
      <c r="Y3" s="12">
        <f t="shared" ref="Y3:Y18" si="1">SUM(G3:J3)</f>
        <v>30002.394</v>
      </c>
      <c r="Z3" s="12">
        <f>SUM(K3:N3)</f>
        <v>31047.930999999997</v>
      </c>
    </row>
    <row r="4" spans="2:41" s="12" customFormat="1" x14ac:dyDescent="0.2">
      <c r="B4" s="12" t="s">
        <v>28</v>
      </c>
      <c r="C4" s="12">
        <v>448.07499999999999</v>
      </c>
      <c r="D4" s="12">
        <v>435.27800000000002</v>
      </c>
      <c r="E4" s="12">
        <v>509.79500000000002</v>
      </c>
      <c r="F4" s="12">
        <f>1831.475-C4-D4-E4</f>
        <v>438.32699999999983</v>
      </c>
      <c r="G4" s="12">
        <v>440.947</v>
      </c>
      <c r="H4" s="12">
        <v>436.81599999999997</v>
      </c>
      <c r="I4" s="12">
        <v>504.54199999999997</v>
      </c>
      <c r="J4" s="12">
        <f>1872.284-G4-H4-I4</f>
        <v>489.97899999999998</v>
      </c>
      <c r="K4" s="13">
        <v>447.54199999999997</v>
      </c>
      <c r="L4" s="14">
        <v>438.26100000000002</v>
      </c>
      <c r="M4" s="14">
        <v>504.68400000000003</v>
      </c>
      <c r="N4" s="14">
        <f>1866.493-K4-L4-M4</f>
        <v>476.00600000000003</v>
      </c>
      <c r="O4" s="12">
        <v>452.82100000000003</v>
      </c>
      <c r="P4" s="12">
        <v>451.488</v>
      </c>
      <c r="Q4" s="12">
        <v>534.28700000000003</v>
      </c>
      <c r="U4" s="12">
        <v>1543.51</v>
      </c>
      <c r="V4" s="12">
        <v>1845.8779999999999</v>
      </c>
      <c r="W4" s="12">
        <v>1915.655</v>
      </c>
      <c r="X4" s="12">
        <f t="shared" si="0"/>
        <v>1831.4749999999999</v>
      </c>
      <c r="Y4" s="12">
        <f t="shared" si="1"/>
        <v>1872.2839999999999</v>
      </c>
      <c r="Z4" s="12">
        <f>SUM(K4:N4)</f>
        <v>1866.4930000000002</v>
      </c>
    </row>
    <row r="5" spans="2:41" s="15" customFormat="1" x14ac:dyDescent="0.2">
      <c r="B5" s="15" t="s">
        <v>40</v>
      </c>
      <c r="C5" s="15">
        <f t="shared" ref="C5:Q5" si="2">+C3+C4</f>
        <v>7668.0360000000001</v>
      </c>
      <c r="D5" s="15">
        <f t="shared" si="2"/>
        <v>7493.3200000000006</v>
      </c>
      <c r="E5" s="15">
        <f t="shared" si="2"/>
        <v>7707.9350000000004</v>
      </c>
      <c r="F5" s="15">
        <f t="shared" si="2"/>
        <v>7524.9940000000006</v>
      </c>
      <c r="G5" s="15">
        <f t="shared" si="2"/>
        <v>7799.6959999999999</v>
      </c>
      <c r="H5" s="15">
        <f t="shared" si="2"/>
        <v>7567.4830000000002</v>
      </c>
      <c r="I5" s="15">
        <f t="shared" si="2"/>
        <v>8240.18</v>
      </c>
      <c r="J5" s="15">
        <f t="shared" si="2"/>
        <v>8267.3189999999995</v>
      </c>
      <c r="K5" s="16">
        <f t="shared" si="2"/>
        <v>8343.2569999999996</v>
      </c>
      <c r="L5" s="16">
        <f t="shared" si="2"/>
        <v>7931.59</v>
      </c>
      <c r="M5" s="16">
        <f t="shared" si="2"/>
        <v>8275.0659999999989</v>
      </c>
      <c r="N5" s="16">
        <f t="shared" si="2"/>
        <v>8364.5109999999986</v>
      </c>
      <c r="O5" s="15">
        <f t="shared" si="2"/>
        <v>8465.9830000000002</v>
      </c>
      <c r="P5" s="15">
        <f t="shared" si="2"/>
        <v>8397.0529999999999</v>
      </c>
      <c r="Q5" s="15">
        <f t="shared" si="2"/>
        <v>8969.0439999999999</v>
      </c>
      <c r="U5" s="15">
        <f>+U3+U4</f>
        <v>23094.077999999998</v>
      </c>
      <c r="V5" s="15">
        <f>+V3+V4</f>
        <v>27352.914000000001</v>
      </c>
      <c r="W5" s="15">
        <f>+W3+W4</f>
        <v>29777.985000000001</v>
      </c>
      <c r="X5" s="15">
        <f t="shared" si="0"/>
        <v>30394.285000000003</v>
      </c>
      <c r="Y5" s="15">
        <f t="shared" si="1"/>
        <v>31874.678</v>
      </c>
      <c r="Z5" s="15">
        <f>+Z3+Z4</f>
        <v>32914.423999999999</v>
      </c>
      <c r="AA5" s="15">
        <f>+Z5*1.02</f>
        <v>33572.712480000002</v>
      </c>
      <c r="AB5" s="15">
        <f t="shared" ref="AB5:AO5" si="3">+AA5*1.02</f>
        <v>34244.166729600001</v>
      </c>
      <c r="AC5" s="15">
        <f t="shared" si="3"/>
        <v>34929.050064192001</v>
      </c>
      <c r="AD5" s="15">
        <f t="shared" si="3"/>
        <v>35627.631065475842</v>
      </c>
      <c r="AE5" s="15">
        <f t="shared" si="3"/>
        <v>36340.183686785356</v>
      </c>
      <c r="AF5" s="15">
        <f t="shared" si="3"/>
        <v>37066.987360521067</v>
      </c>
      <c r="AG5" s="15">
        <f t="shared" si="3"/>
        <v>37808.327107731486</v>
      </c>
      <c r="AH5" s="15">
        <f t="shared" si="3"/>
        <v>38564.493649886113</v>
      </c>
      <c r="AI5" s="15">
        <f t="shared" si="3"/>
        <v>39335.783522883838</v>
      </c>
      <c r="AJ5" s="15">
        <f t="shared" si="3"/>
        <v>40122.499193341515</v>
      </c>
      <c r="AK5" s="15">
        <f t="shared" si="3"/>
        <v>40924.949177208349</v>
      </c>
      <c r="AL5" s="15">
        <f t="shared" si="3"/>
        <v>41743.448160752516</v>
      </c>
      <c r="AM5" s="15">
        <f t="shared" si="3"/>
        <v>42578.317123967565</v>
      </c>
      <c r="AN5" s="15">
        <f t="shared" si="3"/>
        <v>43429.883466446918</v>
      </c>
      <c r="AO5" s="15">
        <f t="shared" si="3"/>
        <v>44298.481135775859</v>
      </c>
    </row>
    <row r="6" spans="2:41" s="12" customFormat="1" x14ac:dyDescent="0.2">
      <c r="B6" s="12" t="s">
        <v>30</v>
      </c>
      <c r="C6" s="12">
        <v>4853.768</v>
      </c>
      <c r="D6" s="12">
        <v>4827.6790000000001</v>
      </c>
      <c r="E6" s="12">
        <v>4760.1210000000001</v>
      </c>
      <c r="F6" s="12">
        <f>19178.635-C6-D6-E6</f>
        <v>4737.0669999999982</v>
      </c>
      <c r="G6" s="12">
        <v>4909.402</v>
      </c>
      <c r="H6" s="12">
        <v>4900.5249999999996</v>
      </c>
      <c r="I6" s="12">
        <v>5199.2809999999999</v>
      </c>
      <c r="J6" s="12">
        <f>20317.928-G6-H6-I6</f>
        <v>5308.72</v>
      </c>
      <c r="K6" s="14">
        <v>5356.4250000000002</v>
      </c>
      <c r="L6" s="14">
        <v>5252.69</v>
      </c>
      <c r="M6" s="14">
        <v>5245.4769999999999</v>
      </c>
      <c r="N6" s="14">
        <f>21238.692-K6-L6-M6</f>
        <v>5384.1000000000013</v>
      </c>
      <c r="O6" s="12">
        <v>5450.6440000000002</v>
      </c>
      <c r="P6" s="12">
        <v>5575.7489999999998</v>
      </c>
      <c r="Q6" s="12">
        <v>5745.2049999999999</v>
      </c>
      <c r="U6" s="12">
        <v>14299.821</v>
      </c>
      <c r="V6" s="12">
        <v>17120.316999999999</v>
      </c>
      <c r="W6" s="12">
        <v>18874.629000000001</v>
      </c>
      <c r="X6" s="12">
        <f t="shared" si="0"/>
        <v>19178.634999999998</v>
      </c>
      <c r="Y6" s="12">
        <f t="shared" si="1"/>
        <v>20317.928</v>
      </c>
      <c r="Z6" s="12">
        <f>SUM(K6:N6)</f>
        <v>21238.692000000003</v>
      </c>
    </row>
    <row r="7" spans="2:41" s="12" customFormat="1" x14ac:dyDescent="0.2">
      <c r="B7" s="12" t="s">
        <v>31</v>
      </c>
      <c r="C7" s="12">
        <v>448.07499999999999</v>
      </c>
      <c r="D7" s="12">
        <v>435.27800000000002</v>
      </c>
      <c r="E7" s="12">
        <v>509.79500000000002</v>
      </c>
      <c r="F7" s="12">
        <f>1831.475-C7-D7-E7</f>
        <v>438.32699999999983</v>
      </c>
      <c r="G7" s="12">
        <v>440.947</v>
      </c>
      <c r="H7" s="12">
        <v>436.81599999999997</v>
      </c>
      <c r="I7" s="12">
        <v>504.54199999999997</v>
      </c>
      <c r="J7" s="12">
        <f>1872.284-G7-H7-I7</f>
        <v>489.97899999999998</v>
      </c>
      <c r="K7" s="14">
        <v>447.54199999999997</v>
      </c>
      <c r="L7" s="14">
        <v>438.26100000000002</v>
      </c>
      <c r="M7" s="14">
        <v>504.68400000000003</v>
      </c>
      <c r="N7" s="14">
        <f>1866.493-K7-L7-M7</f>
        <v>476.00600000000003</v>
      </c>
      <c r="O7" s="12">
        <v>452.82100000000003</v>
      </c>
      <c r="P7" s="12">
        <v>451.488</v>
      </c>
      <c r="Q7" s="12">
        <v>534.28700000000003</v>
      </c>
      <c r="U7" s="12">
        <v>1543.51</v>
      </c>
      <c r="V7" s="12">
        <v>1845.8779999999999</v>
      </c>
      <c r="W7" s="12">
        <v>1915.655</v>
      </c>
      <c r="X7" s="12">
        <f t="shared" si="0"/>
        <v>1831.4749999999999</v>
      </c>
      <c r="Y7" s="12">
        <f t="shared" si="1"/>
        <v>1872.2839999999999</v>
      </c>
      <c r="Z7" s="12">
        <f>SUM(K7:N7)</f>
        <v>1866.4930000000002</v>
      </c>
    </row>
    <row r="8" spans="2:41" s="12" customFormat="1" x14ac:dyDescent="0.2">
      <c r="B8" s="12" t="s">
        <v>29</v>
      </c>
      <c r="C8" s="12">
        <f t="shared" ref="C8:Q8" si="4">+C6+C7</f>
        <v>5301.8429999999998</v>
      </c>
      <c r="D8" s="12">
        <f t="shared" si="4"/>
        <v>5262.9570000000003</v>
      </c>
      <c r="E8" s="12">
        <f t="shared" si="4"/>
        <v>5269.9160000000002</v>
      </c>
      <c r="F8" s="12">
        <f t="shared" si="4"/>
        <v>5175.3939999999984</v>
      </c>
      <c r="G8" s="12">
        <f t="shared" si="4"/>
        <v>5350.3490000000002</v>
      </c>
      <c r="H8" s="12">
        <f t="shared" si="4"/>
        <v>5337.3409999999994</v>
      </c>
      <c r="I8" s="12">
        <f t="shared" si="4"/>
        <v>5703.8230000000003</v>
      </c>
      <c r="J8" s="12">
        <f t="shared" si="4"/>
        <v>5798.6990000000005</v>
      </c>
      <c r="K8" s="14">
        <f t="shared" si="4"/>
        <v>5803.9670000000006</v>
      </c>
      <c r="L8" s="14">
        <f t="shared" si="4"/>
        <v>5690.951</v>
      </c>
      <c r="M8" s="14">
        <f t="shared" si="4"/>
        <v>5750.1610000000001</v>
      </c>
      <c r="N8" s="14">
        <f t="shared" si="4"/>
        <v>5860.1060000000016</v>
      </c>
      <c r="O8" s="12">
        <f t="shared" si="4"/>
        <v>5903.4650000000001</v>
      </c>
      <c r="P8" s="12">
        <f t="shared" si="4"/>
        <v>6027.2370000000001</v>
      </c>
      <c r="Q8" s="12">
        <f t="shared" si="4"/>
        <v>6279.4920000000002</v>
      </c>
      <c r="U8" s="12">
        <f>+U6+U7</f>
        <v>15843.331</v>
      </c>
      <c r="V8" s="12">
        <f>+V6+V7</f>
        <v>18966.195</v>
      </c>
      <c r="W8" s="12">
        <f>+W6+W7</f>
        <v>20790.284</v>
      </c>
      <c r="X8" s="12">
        <f t="shared" si="0"/>
        <v>21010.11</v>
      </c>
      <c r="Y8" s="12">
        <f t="shared" si="1"/>
        <v>22190.212</v>
      </c>
      <c r="Z8" s="12">
        <f>+Z6+Z7</f>
        <v>23105.185000000001</v>
      </c>
    </row>
    <row r="9" spans="2:41" s="12" customFormat="1" x14ac:dyDescent="0.2">
      <c r="B9" s="12" t="s">
        <v>43</v>
      </c>
      <c r="C9" s="12">
        <f t="shared" ref="C9:Q9" si="5">+C5-C8</f>
        <v>2366.1930000000002</v>
      </c>
      <c r="D9" s="12">
        <f t="shared" si="5"/>
        <v>2230.3630000000003</v>
      </c>
      <c r="E9" s="12">
        <f t="shared" si="5"/>
        <v>2438.0190000000002</v>
      </c>
      <c r="F9" s="12">
        <f t="shared" si="5"/>
        <v>2349.6000000000022</v>
      </c>
      <c r="G9" s="12">
        <f t="shared" si="5"/>
        <v>2449.3469999999998</v>
      </c>
      <c r="H9" s="12">
        <f t="shared" si="5"/>
        <v>2230.1420000000007</v>
      </c>
      <c r="I9" s="12">
        <f t="shared" si="5"/>
        <v>2536.357</v>
      </c>
      <c r="J9" s="12">
        <f t="shared" si="5"/>
        <v>2468.619999999999</v>
      </c>
      <c r="K9" s="14">
        <f t="shared" si="5"/>
        <v>2539.2899999999991</v>
      </c>
      <c r="L9" s="14">
        <f t="shared" si="5"/>
        <v>2240.6390000000001</v>
      </c>
      <c r="M9" s="14">
        <f t="shared" si="5"/>
        <v>2524.9049999999988</v>
      </c>
      <c r="N9" s="14">
        <f t="shared" si="5"/>
        <v>2504.404999999997</v>
      </c>
      <c r="O9" s="12">
        <f t="shared" si="5"/>
        <v>2562.518</v>
      </c>
      <c r="P9" s="12">
        <f t="shared" si="5"/>
        <v>2369.8159999999998</v>
      </c>
      <c r="Q9" s="12">
        <f t="shared" si="5"/>
        <v>2689.5519999999997</v>
      </c>
      <c r="U9" s="12">
        <f>+U5-U8</f>
        <v>7250.7469999999976</v>
      </c>
      <c r="V9" s="12">
        <f>+V5-V8</f>
        <v>8386.719000000001</v>
      </c>
      <c r="W9" s="12">
        <f>+W5-W8</f>
        <v>8987.7010000000009</v>
      </c>
      <c r="X9" s="12">
        <f t="shared" si="0"/>
        <v>9384.1750000000029</v>
      </c>
      <c r="Y9" s="12">
        <f t="shared" si="1"/>
        <v>9684.4660000000003</v>
      </c>
      <c r="Z9" s="12">
        <f>+Z5-Z8</f>
        <v>9809.2389999999978</v>
      </c>
      <c r="AA9" s="12">
        <f>(AA5*0.295)</f>
        <v>9903.9501815999993</v>
      </c>
      <c r="AB9" s="12">
        <f t="shared" ref="AB9:AO9" si="6">(AB5*0.295)</f>
        <v>10102.029185232001</v>
      </c>
      <c r="AC9" s="12">
        <f t="shared" si="6"/>
        <v>10304.069768936639</v>
      </c>
      <c r="AD9" s="12">
        <f t="shared" si="6"/>
        <v>10510.151164315374</v>
      </c>
      <c r="AE9" s="12">
        <f t="shared" si="6"/>
        <v>10720.354187601679</v>
      </c>
      <c r="AF9" s="12">
        <f t="shared" si="6"/>
        <v>10934.761271353715</v>
      </c>
      <c r="AG9" s="12">
        <f t="shared" si="6"/>
        <v>11153.456496780787</v>
      </c>
      <c r="AH9" s="12">
        <f t="shared" si="6"/>
        <v>11376.525626716402</v>
      </c>
      <c r="AI9" s="12">
        <f t="shared" si="6"/>
        <v>11604.056139250732</v>
      </c>
      <c r="AJ9" s="12">
        <f t="shared" si="6"/>
        <v>11836.137262035747</v>
      </c>
      <c r="AK9" s="12">
        <f t="shared" si="6"/>
        <v>12072.860007276462</v>
      </c>
      <c r="AL9" s="12">
        <f t="shared" si="6"/>
        <v>12314.317207421991</v>
      </c>
      <c r="AM9" s="12">
        <f t="shared" si="6"/>
        <v>12560.603551570432</v>
      </c>
      <c r="AN9" s="12">
        <f t="shared" si="6"/>
        <v>12811.81562260184</v>
      </c>
      <c r="AO9" s="12">
        <f t="shared" si="6"/>
        <v>13068.051935053878</v>
      </c>
    </row>
    <row r="10" spans="2:41" s="12" customFormat="1" x14ac:dyDescent="0.2">
      <c r="B10" s="12" t="s">
        <v>32</v>
      </c>
      <c r="C10" s="12">
        <v>868.202</v>
      </c>
      <c r="D10" s="12">
        <v>834.04700000000003</v>
      </c>
      <c r="E10" s="12">
        <v>886.64099999999996</v>
      </c>
      <c r="F10" s="12">
        <f>3481.891-C10-D10-E10</f>
        <v>893.00100000000032</v>
      </c>
      <c r="G10" s="12">
        <v>928.21</v>
      </c>
      <c r="H10" s="12">
        <v>837.255</v>
      </c>
      <c r="I10" s="12">
        <v>899.25</v>
      </c>
      <c r="J10" s="12">
        <f>3582.833-G10-H10-I10</f>
        <v>918.11799999999994</v>
      </c>
      <c r="K10" s="14">
        <v>907.57399999999996</v>
      </c>
      <c r="L10" s="14">
        <v>798.64400000000001</v>
      </c>
      <c r="M10" s="14">
        <v>874.71299999999997</v>
      </c>
      <c r="N10" s="14">
        <f>3505.045-K10-L10-M10</f>
        <v>924.11400000000003</v>
      </c>
      <c r="O10" s="12">
        <v>875.79300000000001</v>
      </c>
      <c r="P10" s="12">
        <v>830.33199999999999</v>
      </c>
      <c r="Q10" s="12">
        <v>933.77</v>
      </c>
      <c r="U10" s="12">
        <v>2658.058</v>
      </c>
      <c r="V10" s="12">
        <v>3094.4650000000001</v>
      </c>
      <c r="W10" s="12">
        <v>3303.4780000000001</v>
      </c>
      <c r="X10" s="12">
        <f t="shared" si="0"/>
        <v>3481.8910000000001</v>
      </c>
      <c r="Y10" s="12">
        <f t="shared" si="1"/>
        <v>3582.8330000000001</v>
      </c>
      <c r="Z10" s="12">
        <f>SUM(K10:N10)</f>
        <v>3505.0449999999996</v>
      </c>
      <c r="AA10" s="12">
        <f>Z10*0.99</f>
        <v>3469.9945499999994</v>
      </c>
      <c r="AB10" s="12">
        <f t="shared" ref="AB10:AO10" si="7">AA10*0.99</f>
        <v>3435.2946044999994</v>
      </c>
      <c r="AC10" s="12">
        <f t="shared" si="7"/>
        <v>3400.9416584549995</v>
      </c>
      <c r="AD10" s="12">
        <f t="shared" si="7"/>
        <v>3366.9322418704496</v>
      </c>
      <c r="AE10" s="12">
        <f t="shared" si="7"/>
        <v>3333.2629194517449</v>
      </c>
      <c r="AF10" s="12">
        <f t="shared" si="7"/>
        <v>3299.9302902572276</v>
      </c>
      <c r="AG10" s="12">
        <f t="shared" si="7"/>
        <v>3266.9309873546554</v>
      </c>
      <c r="AH10" s="12">
        <f t="shared" si="7"/>
        <v>3234.2616774811086</v>
      </c>
      <c r="AI10" s="12">
        <f t="shared" si="7"/>
        <v>3201.9190607062974</v>
      </c>
      <c r="AJ10" s="12">
        <f t="shared" si="7"/>
        <v>3169.8998700992342</v>
      </c>
      <c r="AK10" s="12">
        <f t="shared" si="7"/>
        <v>3138.2008713982418</v>
      </c>
      <c r="AL10" s="12">
        <f t="shared" si="7"/>
        <v>3106.8188626842593</v>
      </c>
      <c r="AM10" s="12">
        <f t="shared" si="7"/>
        <v>3075.7506740574167</v>
      </c>
      <c r="AN10" s="12">
        <f t="shared" si="7"/>
        <v>3044.9931673168426</v>
      </c>
      <c r="AO10" s="12">
        <f t="shared" si="7"/>
        <v>3014.5432356436741</v>
      </c>
    </row>
    <row r="11" spans="2:41" s="12" customFormat="1" x14ac:dyDescent="0.2">
      <c r="B11" s="12" t="s">
        <v>33</v>
      </c>
      <c r="C11" s="12">
        <v>448.85199999999998</v>
      </c>
      <c r="D11" s="12">
        <v>455.55099999999999</v>
      </c>
      <c r="E11" s="12">
        <v>458.64100000000002</v>
      </c>
      <c r="F11" s="12">
        <f>1835.646-C11-D11-E11</f>
        <v>472.60199999999992</v>
      </c>
      <c r="G11" s="12">
        <v>448.053</v>
      </c>
      <c r="H11" s="12">
        <v>441.60500000000002</v>
      </c>
      <c r="I11" s="12">
        <v>458.34100000000001</v>
      </c>
      <c r="J11" s="12">
        <f>1819.136-G11-H11-I11</f>
        <v>471.13700000000006</v>
      </c>
      <c r="K11" s="14">
        <v>444.00700000000001</v>
      </c>
      <c r="L11" s="14">
        <v>420.96199999999999</v>
      </c>
      <c r="M11" s="14">
        <v>452.291</v>
      </c>
      <c r="N11" s="14">
        <f>1803.493-K11-L11-M11</f>
        <v>486.23299999999989</v>
      </c>
      <c r="O11" s="12">
        <v>465.46600000000001</v>
      </c>
      <c r="P11" s="12">
        <v>451.44</v>
      </c>
      <c r="Q11" s="12">
        <v>449.839</v>
      </c>
      <c r="U11" s="12">
        <v>1668.306</v>
      </c>
      <c r="V11" s="12">
        <v>1820.277</v>
      </c>
      <c r="W11" s="12">
        <v>1810.9839999999999</v>
      </c>
      <c r="X11" s="12">
        <f t="shared" si="0"/>
        <v>1835.646</v>
      </c>
      <c r="Y11" s="12">
        <f t="shared" si="1"/>
        <v>1819.136</v>
      </c>
      <c r="Z11" s="12">
        <f>SUM(K11:N11)</f>
        <v>1803.4929999999999</v>
      </c>
      <c r="AA11" s="12">
        <f>Z11*0.99</f>
        <v>1785.4580699999999</v>
      </c>
      <c r="AB11" s="12">
        <f t="shared" ref="AB11:AO11" si="8">AA11*0.99</f>
        <v>1767.6034892999999</v>
      </c>
      <c r="AC11" s="12">
        <f t="shared" si="8"/>
        <v>1749.9274544069999</v>
      </c>
      <c r="AD11" s="12">
        <f t="shared" si="8"/>
        <v>1732.4281798629299</v>
      </c>
      <c r="AE11" s="12">
        <f t="shared" si="8"/>
        <v>1715.1038980643007</v>
      </c>
      <c r="AF11" s="12">
        <f t="shared" si="8"/>
        <v>1697.9528590836576</v>
      </c>
      <c r="AG11" s="12">
        <f t="shared" si="8"/>
        <v>1680.9733304928211</v>
      </c>
      <c r="AH11" s="12">
        <f t="shared" si="8"/>
        <v>1664.1635971878929</v>
      </c>
      <c r="AI11" s="12">
        <f t="shared" si="8"/>
        <v>1647.521961216014</v>
      </c>
      <c r="AJ11" s="12">
        <f t="shared" si="8"/>
        <v>1631.0467416038539</v>
      </c>
      <c r="AK11" s="12">
        <f t="shared" si="8"/>
        <v>1614.7362741878153</v>
      </c>
      <c r="AL11" s="12">
        <f t="shared" si="8"/>
        <v>1598.5889114459371</v>
      </c>
      <c r="AM11" s="12">
        <f t="shared" si="8"/>
        <v>1582.6030223314776</v>
      </c>
      <c r="AN11" s="12">
        <f t="shared" si="8"/>
        <v>1566.7769921081629</v>
      </c>
      <c r="AO11" s="12">
        <f t="shared" si="8"/>
        <v>1551.1092221870813</v>
      </c>
    </row>
    <row r="12" spans="2:41" s="12" customFormat="1" x14ac:dyDescent="0.2">
      <c r="B12" s="12" t="s">
        <v>42</v>
      </c>
      <c r="C12" s="12">
        <f>+C10+C11+0.465</f>
        <v>1317.519</v>
      </c>
      <c r="D12" s="12">
        <f>+D10+D11-223.767</f>
        <v>1065.8309999999999</v>
      </c>
      <c r="E12" s="12">
        <f>+E10+E11-49.224</f>
        <v>1296.058</v>
      </c>
      <c r="F12" s="12">
        <f>+F10+F11</f>
        <v>1365.6030000000003</v>
      </c>
      <c r="G12" s="12">
        <f>+G10+G11-18.015</f>
        <v>1358.2479999999998</v>
      </c>
      <c r="H12" s="12">
        <f>+H10+H11</f>
        <v>1278.8600000000001</v>
      </c>
      <c r="I12" s="12">
        <f>+I10+I11</f>
        <v>1357.5909999999999</v>
      </c>
      <c r="J12" s="12">
        <f>+J10+J11</f>
        <v>1389.2550000000001</v>
      </c>
      <c r="K12" s="14">
        <f>+K10+K11</f>
        <v>1351.5809999999999</v>
      </c>
      <c r="L12" s="14">
        <f>+L10+L11</f>
        <v>1219.606</v>
      </c>
      <c r="M12" s="14">
        <f>+M10+M11+64.382</f>
        <v>1391.386</v>
      </c>
      <c r="N12" s="14">
        <f>+N10+N11</f>
        <v>1410.347</v>
      </c>
      <c r="O12" s="12">
        <f>+O10+O11</f>
        <v>1341.259</v>
      </c>
      <c r="P12" s="12">
        <f>+P10+P11</f>
        <v>1281.7719999999999</v>
      </c>
      <c r="Q12" s="12">
        <f>+Q10+Q11</f>
        <v>1383.6089999999999</v>
      </c>
      <c r="U12" s="12">
        <f>+U10+U11+9.538</f>
        <v>4335.9019999999991</v>
      </c>
      <c r="V12" s="12">
        <f>+V10+V11+1.52</f>
        <v>4916.2620000000006</v>
      </c>
      <c r="W12" s="12">
        <f>+W10+W11+1.691</f>
        <v>5116.1529999999993</v>
      </c>
      <c r="X12" s="12">
        <f t="shared" si="0"/>
        <v>5045.0110000000004</v>
      </c>
      <c r="Y12" s="12">
        <f t="shared" si="1"/>
        <v>5383.9539999999997</v>
      </c>
      <c r="Z12" s="12">
        <f>+Z10+Z11</f>
        <v>5308.5379999999996</v>
      </c>
      <c r="AA12" s="12">
        <f>+AA10+AA11</f>
        <v>5255.4526199999991</v>
      </c>
      <c r="AB12" s="12">
        <f t="shared" ref="AB12:AO12" si="9">+AB10+AB11</f>
        <v>5202.8980937999995</v>
      </c>
      <c r="AC12" s="12">
        <f t="shared" si="9"/>
        <v>5150.8691128619994</v>
      </c>
      <c r="AD12" s="12">
        <f t="shared" si="9"/>
        <v>5099.3604217333796</v>
      </c>
      <c r="AE12" s="12">
        <f t="shared" si="9"/>
        <v>5048.3668175160456</v>
      </c>
      <c r="AF12" s="12">
        <f t="shared" si="9"/>
        <v>4997.8831493408852</v>
      </c>
      <c r="AG12" s="12">
        <f t="shared" si="9"/>
        <v>4947.9043178474767</v>
      </c>
      <c r="AH12" s="12">
        <f t="shared" si="9"/>
        <v>4898.4252746690017</v>
      </c>
      <c r="AI12" s="12">
        <f t="shared" si="9"/>
        <v>4849.4410219223118</v>
      </c>
      <c r="AJ12" s="12">
        <f t="shared" si="9"/>
        <v>4800.9466117030879</v>
      </c>
      <c r="AK12" s="12">
        <f t="shared" si="9"/>
        <v>4752.9371455860573</v>
      </c>
      <c r="AL12" s="12">
        <f t="shared" si="9"/>
        <v>4705.4077741301962</v>
      </c>
      <c r="AM12" s="12">
        <f t="shared" si="9"/>
        <v>4658.3536963888946</v>
      </c>
      <c r="AN12" s="12">
        <f t="shared" si="9"/>
        <v>4611.7701594250057</v>
      </c>
      <c r="AO12" s="12">
        <f t="shared" si="9"/>
        <v>4565.6524578307553</v>
      </c>
    </row>
    <row r="13" spans="2:41" s="12" customFormat="1" x14ac:dyDescent="0.2">
      <c r="B13" s="12" t="s">
        <v>35</v>
      </c>
      <c r="C13" s="12">
        <f t="shared" ref="C13:Q13" si="10">(C9-C12)</f>
        <v>1048.6740000000002</v>
      </c>
      <c r="D13" s="12">
        <f t="shared" si="10"/>
        <v>1164.5320000000004</v>
      </c>
      <c r="E13" s="12">
        <f t="shared" si="10"/>
        <v>1141.9610000000002</v>
      </c>
      <c r="F13" s="12">
        <f t="shared" si="10"/>
        <v>983.99700000000189</v>
      </c>
      <c r="G13" s="12">
        <f t="shared" si="10"/>
        <v>1091.0989999999999</v>
      </c>
      <c r="H13" s="12">
        <f t="shared" si="10"/>
        <v>951.28200000000061</v>
      </c>
      <c r="I13" s="12">
        <f t="shared" si="10"/>
        <v>1178.7660000000001</v>
      </c>
      <c r="J13" s="12">
        <f t="shared" si="10"/>
        <v>1079.3649999999989</v>
      </c>
      <c r="K13" s="14">
        <f t="shared" si="10"/>
        <v>1187.7089999999992</v>
      </c>
      <c r="L13" s="14">
        <f t="shared" si="10"/>
        <v>1021.0330000000001</v>
      </c>
      <c r="M13" s="14">
        <f t="shared" si="10"/>
        <v>1133.5189999999989</v>
      </c>
      <c r="N13" s="14">
        <f t="shared" si="10"/>
        <v>1094.057999999997</v>
      </c>
      <c r="O13" s="12">
        <f t="shared" si="10"/>
        <v>1221.259</v>
      </c>
      <c r="P13" s="12">
        <f t="shared" si="10"/>
        <v>1088.0439999999999</v>
      </c>
      <c r="Q13" s="12">
        <f t="shared" si="10"/>
        <v>1305.9429999999998</v>
      </c>
      <c r="U13" s="12">
        <f>(U9-U12)</f>
        <v>2914.8449999999984</v>
      </c>
      <c r="V13" s="12">
        <f>(V9-V12)</f>
        <v>3470.4570000000003</v>
      </c>
      <c r="W13" s="12">
        <f>(W9-W12)</f>
        <v>3871.5480000000016</v>
      </c>
      <c r="X13" s="12">
        <f t="shared" si="0"/>
        <v>4339.1640000000025</v>
      </c>
      <c r="Y13" s="12">
        <f t="shared" si="1"/>
        <v>4300.5119999999997</v>
      </c>
      <c r="Z13" s="12">
        <f>(Z9-Z12)</f>
        <v>4500.7009999999982</v>
      </c>
      <c r="AA13" s="12">
        <f>(AA9-AA12)</f>
        <v>4648.4975616000002</v>
      </c>
      <c r="AB13" s="12">
        <f t="shared" ref="AB13:AO13" si="11">(AB9-AB12)</f>
        <v>4899.1310914320011</v>
      </c>
      <c r="AC13" s="12">
        <f t="shared" si="11"/>
        <v>5153.2006560746395</v>
      </c>
      <c r="AD13" s="12">
        <f t="shared" si="11"/>
        <v>5410.790742581994</v>
      </c>
      <c r="AE13" s="12">
        <f t="shared" si="11"/>
        <v>5671.9873700856333</v>
      </c>
      <c r="AF13" s="12">
        <f t="shared" si="11"/>
        <v>5936.8781220128294</v>
      </c>
      <c r="AG13" s="12">
        <f t="shared" si="11"/>
        <v>6205.5521789333106</v>
      </c>
      <c r="AH13" s="12">
        <f t="shared" si="11"/>
        <v>6478.1003520474005</v>
      </c>
      <c r="AI13" s="12">
        <f t="shared" si="11"/>
        <v>6754.6151173284197</v>
      </c>
      <c r="AJ13" s="12">
        <f t="shared" si="11"/>
        <v>7035.1906503326591</v>
      </c>
      <c r="AK13" s="12">
        <f t="shared" si="11"/>
        <v>7319.9228616904047</v>
      </c>
      <c r="AL13" s="12">
        <f t="shared" si="11"/>
        <v>7608.9094332917948</v>
      </c>
      <c r="AM13" s="12">
        <f t="shared" si="11"/>
        <v>7902.249855181537</v>
      </c>
      <c r="AN13" s="12">
        <f t="shared" si="11"/>
        <v>8200.0454631768334</v>
      </c>
      <c r="AO13" s="12">
        <f t="shared" si="11"/>
        <v>8502.3994772231235</v>
      </c>
    </row>
    <row r="14" spans="2:41" s="12" customFormat="1" x14ac:dyDescent="0.2">
      <c r="B14" s="12" t="s">
        <v>34</v>
      </c>
      <c r="C14" s="12">
        <v>4</v>
      </c>
      <c r="D14" s="12">
        <v>6</v>
      </c>
      <c r="E14" s="12">
        <v>3</v>
      </c>
      <c r="F14" s="12">
        <v>5</v>
      </c>
      <c r="G14" s="12">
        <v>3</v>
      </c>
      <c r="H14" s="12">
        <v>4</v>
      </c>
      <c r="I14" s="12">
        <v>4</v>
      </c>
      <c r="J14" s="12">
        <v>3</v>
      </c>
      <c r="K14" s="12">
        <v>7</v>
      </c>
      <c r="L14" s="12">
        <v>2</v>
      </c>
      <c r="M14" s="12">
        <v>2</v>
      </c>
      <c r="N14" s="12">
        <v>-2</v>
      </c>
      <c r="O14" s="12">
        <v>3</v>
      </c>
      <c r="P14" s="12">
        <v>2</v>
      </c>
      <c r="Q14" s="12">
        <v>4</v>
      </c>
      <c r="U14" s="12">
        <v>15</v>
      </c>
      <c r="V14" s="12">
        <v>26</v>
      </c>
      <c r="W14" s="12">
        <v>27</v>
      </c>
      <c r="X14" s="12">
        <v>19</v>
      </c>
      <c r="Y14" s="12">
        <v>13</v>
      </c>
      <c r="Z14" s="12">
        <v>13</v>
      </c>
      <c r="AA14" s="12">
        <v>13</v>
      </c>
      <c r="AB14" s="12">
        <v>13</v>
      </c>
      <c r="AC14" s="12">
        <v>13</v>
      </c>
      <c r="AD14" s="12">
        <v>13</v>
      </c>
      <c r="AE14" s="12">
        <v>13</v>
      </c>
      <c r="AF14" s="12">
        <v>13</v>
      </c>
      <c r="AG14" s="12">
        <v>13</v>
      </c>
      <c r="AH14" s="12">
        <v>13</v>
      </c>
      <c r="AI14" s="12">
        <v>13</v>
      </c>
      <c r="AJ14" s="12">
        <v>13</v>
      </c>
      <c r="AK14" s="12">
        <v>13</v>
      </c>
      <c r="AL14" s="12">
        <v>13</v>
      </c>
      <c r="AM14" s="12">
        <v>13</v>
      </c>
      <c r="AN14" s="12">
        <v>13</v>
      </c>
      <c r="AO14" s="12">
        <v>13</v>
      </c>
    </row>
    <row r="15" spans="2:41" s="12" customFormat="1" x14ac:dyDescent="0.2">
      <c r="B15" s="12" t="s">
        <v>36</v>
      </c>
      <c r="C15" s="12">
        <v>-6.4359999999999999</v>
      </c>
      <c r="D15" s="12">
        <v>10.599</v>
      </c>
      <c r="E15" s="12">
        <v>0.95099999999999996</v>
      </c>
      <c r="F15" s="12">
        <f>-18.244-C15-D15-E15</f>
        <v>-23.358000000000001</v>
      </c>
      <c r="G15" s="12">
        <v>-10.62</v>
      </c>
      <c r="H15" s="12">
        <v>-4.766</v>
      </c>
      <c r="I15" s="12">
        <v>-6.0510000000000002</v>
      </c>
      <c r="J15" s="12">
        <f>-15.56-G15-H15-I15</f>
        <v>5.8769999999999989</v>
      </c>
      <c r="K15" s="14">
        <v>-2.9790000000000001</v>
      </c>
      <c r="L15" s="14">
        <v>-21.597999999999999</v>
      </c>
      <c r="M15" s="14">
        <v>-3.839</v>
      </c>
      <c r="N15" s="14">
        <f>-15.56-K15-L15-M15</f>
        <v>12.856</v>
      </c>
      <c r="O15" s="12">
        <v>4.0289999999999999</v>
      </c>
      <c r="P15" s="12">
        <v>-21.213000000000001</v>
      </c>
      <c r="Q15" s="12">
        <v>-16.207000000000001</v>
      </c>
      <c r="U15" s="12">
        <v>-15.724</v>
      </c>
      <c r="V15" s="12">
        <v>15.481999999999999</v>
      </c>
      <c r="W15" s="12">
        <v>5.1369999999999996</v>
      </c>
      <c r="X15" s="12">
        <f t="shared" si="0"/>
        <v>-18.244</v>
      </c>
      <c r="Y15" s="12">
        <f t="shared" si="1"/>
        <v>-15.559999999999999</v>
      </c>
      <c r="Z15" s="12">
        <f>SUM(K15:N15)</f>
        <v>-15.559999999999997</v>
      </c>
      <c r="AA15" s="12">
        <f>Z15</f>
        <v>-15.559999999999997</v>
      </c>
      <c r="AB15" s="12">
        <f t="shared" ref="AB15:AO15" si="12">AA15</f>
        <v>-15.559999999999997</v>
      </c>
      <c r="AC15" s="12">
        <f t="shared" si="12"/>
        <v>-15.559999999999997</v>
      </c>
      <c r="AD15" s="12">
        <f t="shared" si="12"/>
        <v>-15.559999999999997</v>
      </c>
      <c r="AE15" s="12">
        <f t="shared" si="12"/>
        <v>-15.559999999999997</v>
      </c>
      <c r="AF15" s="12">
        <f t="shared" si="12"/>
        <v>-15.559999999999997</v>
      </c>
      <c r="AG15" s="12">
        <f t="shared" si="12"/>
        <v>-15.559999999999997</v>
      </c>
      <c r="AH15" s="12">
        <f t="shared" si="12"/>
        <v>-15.559999999999997</v>
      </c>
      <c r="AI15" s="12">
        <f t="shared" si="12"/>
        <v>-15.559999999999997</v>
      </c>
      <c r="AJ15" s="12">
        <f t="shared" si="12"/>
        <v>-15.559999999999997</v>
      </c>
      <c r="AK15" s="12">
        <f t="shared" si="12"/>
        <v>-15.559999999999997</v>
      </c>
      <c r="AL15" s="12">
        <f t="shared" si="12"/>
        <v>-15.559999999999997</v>
      </c>
      <c r="AM15" s="12">
        <f t="shared" si="12"/>
        <v>-15.559999999999997</v>
      </c>
      <c r="AN15" s="12">
        <f t="shared" si="12"/>
        <v>-15.559999999999997</v>
      </c>
      <c r="AO15" s="12">
        <f t="shared" si="12"/>
        <v>-15.559999999999997</v>
      </c>
    </row>
    <row r="16" spans="2:41" s="12" customFormat="1" x14ac:dyDescent="0.2">
      <c r="B16" s="12" t="s">
        <v>37</v>
      </c>
      <c r="C16" s="12">
        <f>(C13+C14+C15)</f>
        <v>1046.2380000000003</v>
      </c>
      <c r="D16" s="12">
        <f>(D13+D14+D15)</f>
        <v>1181.1310000000003</v>
      </c>
      <c r="E16" s="12">
        <f>(E13+E14+E15)</f>
        <v>1145.9120000000003</v>
      </c>
      <c r="F16" s="12">
        <f>(F13+F14+F15)</f>
        <v>965.63900000000194</v>
      </c>
      <c r="G16" s="12">
        <f>(G13+G14+G15)</f>
        <v>1083.479</v>
      </c>
      <c r="H16" s="12">
        <f>(H13+H14+H15)</f>
        <v>950.51600000000064</v>
      </c>
      <c r="I16" s="12">
        <f>(I13+I14+I15)</f>
        <v>1176.7150000000001</v>
      </c>
      <c r="J16" s="12">
        <f>(J13+J14+J15)</f>
        <v>1088.2419999999988</v>
      </c>
      <c r="K16" s="12">
        <f>(K13+K14+K15)</f>
        <v>1191.7299999999991</v>
      </c>
      <c r="L16" s="12">
        <f>(L13+L14+L15)</f>
        <v>1001.4350000000002</v>
      </c>
      <c r="M16" s="12">
        <f>(M13+M14+M15)</f>
        <v>1131.6799999999989</v>
      </c>
      <c r="N16" s="12">
        <f>(N13+N14+N15)</f>
        <v>1104.913999999997</v>
      </c>
      <c r="O16" s="12">
        <f>(O13+O14+O15)</f>
        <v>1228.288</v>
      </c>
      <c r="P16" s="12">
        <f>(P13+P14+P15)+553.577</f>
        <v>1622.4079999999999</v>
      </c>
      <c r="Q16" s="12">
        <f>(Q13+Q14+Q15)</f>
        <v>1293.7359999999996</v>
      </c>
      <c r="U16" s="12">
        <f>(U13+U14+U15)</f>
        <v>2914.1209999999983</v>
      </c>
      <c r="V16" s="12">
        <f>(V13+V14+V15)</f>
        <v>3511.9390000000003</v>
      </c>
      <c r="W16" s="12">
        <f>(W13+W14+W15)</f>
        <v>3903.6850000000018</v>
      </c>
      <c r="X16" s="12">
        <f>(X13+X14+X15)</f>
        <v>4339.9200000000028</v>
      </c>
      <c r="Y16" s="12">
        <f>(Y13+Y14+Y15)</f>
        <v>4297.9519999999993</v>
      </c>
      <c r="Z16" s="12">
        <f>(Z13+Z14+Z15)</f>
        <v>4498.1409999999978</v>
      </c>
      <c r="AA16" s="12">
        <f>(AA13+AA14+AA15)</f>
        <v>4645.9375615999998</v>
      </c>
      <c r="AB16" s="12">
        <f>(AB13+AB14+AB15)</f>
        <v>4896.5710914320007</v>
      </c>
      <c r="AC16" s="12">
        <f>(AC13+AC14+AC15)</f>
        <v>5150.6406560746391</v>
      </c>
      <c r="AD16" s="12">
        <f>(AD13+AD14+AD15)</f>
        <v>5408.2307425819936</v>
      </c>
      <c r="AE16" s="12">
        <f>(AE13+AE14+AE15)</f>
        <v>5669.4273700856329</v>
      </c>
      <c r="AF16" s="12">
        <f>(AF13+AF14+AF15)</f>
        <v>5934.318122012829</v>
      </c>
      <c r="AG16" s="12">
        <f>(AG13+AG14+AG15)</f>
        <v>6202.9921789333102</v>
      </c>
      <c r="AH16" s="12">
        <f>(AH13+AH14+AH15)</f>
        <v>6475.5403520474001</v>
      </c>
      <c r="AI16" s="12">
        <f>(AI13+AI14+AI15)</f>
        <v>6752.0551173284193</v>
      </c>
      <c r="AJ16" s="12">
        <f>(AJ13+AJ14+AJ15)</f>
        <v>7032.6306503326587</v>
      </c>
      <c r="AK16" s="12">
        <f>(AK13+AK14+AK15)</f>
        <v>7317.3628616904043</v>
      </c>
      <c r="AL16" s="12">
        <f>(AL13+AL14+AL15)</f>
        <v>7606.3494332917944</v>
      </c>
      <c r="AM16" s="12">
        <f>(AM13+AM14+AM15)</f>
        <v>7899.6898551815366</v>
      </c>
      <c r="AN16" s="12">
        <f>(AN13+AN14+AN15)</f>
        <v>8197.4854631768339</v>
      </c>
      <c r="AO16" s="12">
        <f>(AO13+AO14+AO15)</f>
        <v>8499.839477223124</v>
      </c>
    </row>
    <row r="17" spans="2:196" s="12" customFormat="1" x14ac:dyDescent="0.2">
      <c r="B17" s="12" t="s">
        <v>38</v>
      </c>
      <c r="C17" s="12">
        <v>280.42500000000001</v>
      </c>
      <c r="D17" s="12">
        <v>-5.7489999999999997</v>
      </c>
      <c r="E17" s="12">
        <v>272.52199999999999</v>
      </c>
      <c r="F17" s="12">
        <f>784.775-C17-D17-E17</f>
        <v>237.577</v>
      </c>
      <c r="G17" s="12">
        <v>271.93099999999998</v>
      </c>
      <c r="H17" s="12">
        <v>227.797</v>
      </c>
      <c r="I17" s="12">
        <v>294.125</v>
      </c>
      <c r="J17" s="12">
        <f>1121.743-G17-H17-I17</f>
        <v>327.88999999999987</v>
      </c>
      <c r="K17" s="14">
        <v>299.77600000000001</v>
      </c>
      <c r="L17" s="14">
        <v>261.76799999999997</v>
      </c>
      <c r="M17" s="14">
        <v>281.86099999999999</v>
      </c>
      <c r="N17" s="14">
        <f>1136.741-K17-L17-M17</f>
        <v>293.3359999999999</v>
      </c>
      <c r="O17" s="12">
        <v>359.68200000000002</v>
      </c>
      <c r="P17" s="12">
        <v>222.73400000000001</v>
      </c>
      <c r="Q17" s="12">
        <v>343.42099999999999</v>
      </c>
      <c r="U17" s="12">
        <v>853.91</v>
      </c>
      <c r="V17" s="12">
        <v>958.78200000000004</v>
      </c>
      <c r="W17" s="12">
        <v>1079.241</v>
      </c>
      <c r="X17" s="12">
        <f t="shared" si="0"/>
        <v>784.77499999999998</v>
      </c>
      <c r="Y17" s="12">
        <f t="shared" si="1"/>
        <v>1121.7429999999999</v>
      </c>
      <c r="Z17" s="12">
        <f>SUM(K17:N17)</f>
        <v>1136.741</v>
      </c>
      <c r="AA17" s="12">
        <f>AA16*0.2</f>
        <v>929.18751232</v>
      </c>
      <c r="AB17" s="12">
        <f t="shared" ref="AB17:AO17" si="13">AB16*0.2</f>
        <v>979.31421828640021</v>
      </c>
      <c r="AC17" s="12">
        <f t="shared" si="13"/>
        <v>1030.1281312149279</v>
      </c>
      <c r="AD17" s="12">
        <f t="shared" si="13"/>
        <v>1081.6461485163989</v>
      </c>
      <c r="AE17" s="12">
        <f t="shared" si="13"/>
        <v>1133.8854740171266</v>
      </c>
      <c r="AF17" s="12">
        <f t="shared" si="13"/>
        <v>1186.8636244025658</v>
      </c>
      <c r="AG17" s="12">
        <f t="shared" si="13"/>
        <v>1240.5984357866621</v>
      </c>
      <c r="AH17" s="12">
        <f t="shared" si="13"/>
        <v>1295.1080704094802</v>
      </c>
      <c r="AI17" s="12">
        <f t="shared" si="13"/>
        <v>1350.4110234656839</v>
      </c>
      <c r="AJ17" s="12">
        <f t="shared" si="13"/>
        <v>1406.5261300665318</v>
      </c>
      <c r="AK17" s="12">
        <f t="shared" si="13"/>
        <v>1463.4725723380809</v>
      </c>
      <c r="AL17" s="12">
        <f t="shared" si="13"/>
        <v>1521.2698866583589</v>
      </c>
      <c r="AM17" s="12">
        <f t="shared" si="13"/>
        <v>1579.9379710363073</v>
      </c>
      <c r="AN17" s="12">
        <f t="shared" si="13"/>
        <v>1639.4970926353669</v>
      </c>
      <c r="AO17" s="12">
        <f t="shared" si="13"/>
        <v>1699.9678954446249</v>
      </c>
    </row>
    <row r="18" spans="2:196" s="15" customFormat="1" x14ac:dyDescent="0.2">
      <c r="B18" s="15" t="s">
        <v>39</v>
      </c>
      <c r="C18" s="15">
        <f>(C16-C17)-58.955-8.259</f>
        <v>698.59900000000027</v>
      </c>
      <c r="D18" s="15">
        <f>(D16-D17)-78.363-6.933</f>
        <v>1101.5840000000003</v>
      </c>
      <c r="E18" s="15">
        <f>(E16-E17)-53.177-10.628</f>
        <v>809.58500000000026</v>
      </c>
      <c r="F18" s="15">
        <f>3281.878-C18-D18-E18</f>
        <v>672.10999999999945</v>
      </c>
      <c r="G18" s="15">
        <f>(G16-G17)-49.098-10.702</f>
        <v>751.74800000000005</v>
      </c>
      <c r="H18" s="15">
        <f>(H16-H17)-42.849-8.182</f>
        <v>671.68800000000056</v>
      </c>
      <c r="I18" s="15">
        <f>(I16-I17)-51.523-12.954</f>
        <v>818.11300000000017</v>
      </c>
      <c r="J18" s="15">
        <f>2941.498-G18-H18-I18</f>
        <v>699.94899999999927</v>
      </c>
      <c r="K18" s="16">
        <f>(K16-K17)-50.636-10.076</f>
        <v>831.24199999999905</v>
      </c>
      <c r="L18" s="16">
        <f>(L16-L17)-41.053-11.413</f>
        <v>687.20100000000014</v>
      </c>
      <c r="M18" s="16">
        <f>(M16-M17)-46.283-10.25</f>
        <v>793.28599999999892</v>
      </c>
      <c r="N18" s="16">
        <f>3053.581-K18-L18-M18</f>
        <v>741.85200000000191</v>
      </c>
      <c r="O18" s="15">
        <f>(O16-O17)-39.576-10.206</f>
        <v>818.82399999999996</v>
      </c>
      <c r="P18" s="15">
        <f>(P16-P17)-63.379-9.959</f>
        <v>1326.336</v>
      </c>
      <c r="Q18" s="15">
        <f>(Q16-Q17)-42.574-10.462</f>
        <v>897.27899999999966</v>
      </c>
      <c r="U18" s="15">
        <f>(U16-U17)-257.636-22.167</f>
        <v>1780.4079999999985</v>
      </c>
      <c r="V18" s="15">
        <f>(V16-V17)-243.575-31.988</f>
        <v>2277.5940000000005</v>
      </c>
      <c r="W18" s="15">
        <f>(W16-W17)-237.52-33.903</f>
        <v>2553.021000000002</v>
      </c>
      <c r="X18" s="15">
        <f t="shared" si="0"/>
        <v>3281.8780000000006</v>
      </c>
      <c r="Y18" s="15">
        <f t="shared" si="1"/>
        <v>2941.498</v>
      </c>
      <c r="Z18" s="15">
        <f>SUM(K18:N18)</f>
        <v>3053.5810000000001</v>
      </c>
      <c r="AA18" s="15">
        <f>AA16-AA17</f>
        <v>3716.75004928</v>
      </c>
      <c r="AB18" s="15">
        <f t="shared" ref="AB18:AO18" si="14">AB16-AB17</f>
        <v>3917.2568731456004</v>
      </c>
      <c r="AC18" s="15">
        <f t="shared" si="14"/>
        <v>4120.5125248597114</v>
      </c>
      <c r="AD18" s="15">
        <f t="shared" si="14"/>
        <v>4326.5845940655945</v>
      </c>
      <c r="AE18" s="15">
        <f t="shared" si="14"/>
        <v>4535.5418960685065</v>
      </c>
      <c r="AF18" s="15">
        <f t="shared" si="14"/>
        <v>4747.4544976102634</v>
      </c>
      <c r="AG18" s="15">
        <f t="shared" si="14"/>
        <v>4962.3937431466484</v>
      </c>
      <c r="AH18" s="15">
        <f t="shared" si="14"/>
        <v>5180.4322816379199</v>
      </c>
      <c r="AI18" s="15">
        <f t="shared" si="14"/>
        <v>5401.6440938627356</v>
      </c>
      <c r="AJ18" s="15">
        <f t="shared" si="14"/>
        <v>5626.1045202661271</v>
      </c>
      <c r="AK18" s="15">
        <f t="shared" si="14"/>
        <v>5853.8902893523236</v>
      </c>
      <c r="AL18" s="15">
        <f t="shared" si="14"/>
        <v>6085.0795466334357</v>
      </c>
      <c r="AM18" s="15">
        <f t="shared" si="14"/>
        <v>6319.7518841452293</v>
      </c>
      <c r="AN18" s="15">
        <f t="shared" si="14"/>
        <v>6557.9883705414668</v>
      </c>
      <c r="AO18" s="15">
        <f t="shared" si="14"/>
        <v>6799.8715817784996</v>
      </c>
      <c r="AP18" s="15">
        <f>AO18*(1+$AR$23)</f>
        <v>6595.8754343251449</v>
      </c>
      <c r="AQ18" s="15">
        <f t="shared" ref="AQ18:DB18" si="15">AP18*(1+$AR$23)</f>
        <v>6397.9991712953906</v>
      </c>
      <c r="AR18" s="15">
        <f t="shared" si="15"/>
        <v>6206.0591961565287</v>
      </c>
      <c r="AS18" s="15">
        <f t="shared" si="15"/>
        <v>6019.8774202718323</v>
      </c>
      <c r="AT18" s="15">
        <f t="shared" si="15"/>
        <v>5839.2810976636774</v>
      </c>
      <c r="AU18" s="15">
        <f t="shared" si="15"/>
        <v>5664.1026647337667</v>
      </c>
      <c r="AV18" s="15">
        <f t="shared" si="15"/>
        <v>5494.1795847917538</v>
      </c>
      <c r="AW18" s="15">
        <f t="shared" si="15"/>
        <v>5329.3541972480007</v>
      </c>
      <c r="AX18" s="15">
        <f t="shared" si="15"/>
        <v>5169.4735713305608</v>
      </c>
      <c r="AY18" s="15">
        <f t="shared" si="15"/>
        <v>5014.3893641906443</v>
      </c>
      <c r="AZ18" s="15">
        <f t="shared" si="15"/>
        <v>4863.9576832649245</v>
      </c>
      <c r="BA18" s="15">
        <f t="shared" si="15"/>
        <v>4718.0389527669768</v>
      </c>
      <c r="BB18" s="15">
        <f t="shared" si="15"/>
        <v>4576.4977841839673</v>
      </c>
      <c r="BC18" s="15">
        <f t="shared" si="15"/>
        <v>4439.2028506584484</v>
      </c>
      <c r="BD18" s="15">
        <f t="shared" si="15"/>
        <v>4306.0267651386948</v>
      </c>
      <c r="BE18" s="15">
        <f t="shared" si="15"/>
        <v>4176.8459621845341</v>
      </c>
      <c r="BF18" s="15">
        <f t="shared" si="15"/>
        <v>4051.540583318998</v>
      </c>
      <c r="BG18" s="15">
        <f t="shared" si="15"/>
        <v>3929.9943658194279</v>
      </c>
      <c r="BH18" s="15">
        <f t="shared" si="15"/>
        <v>3812.0945348448449</v>
      </c>
      <c r="BI18" s="15">
        <f t="shared" si="15"/>
        <v>3697.7316987994996</v>
      </c>
      <c r="BJ18" s="15">
        <f t="shared" si="15"/>
        <v>3586.7997478355146</v>
      </c>
      <c r="BK18" s="15">
        <f t="shared" si="15"/>
        <v>3479.1957554004489</v>
      </c>
      <c r="BL18" s="15">
        <f t="shared" si="15"/>
        <v>3374.8198827384354</v>
      </c>
      <c r="BM18" s="15">
        <f t="shared" si="15"/>
        <v>3273.5752862562822</v>
      </c>
      <c r="BN18" s="15">
        <f t="shared" si="15"/>
        <v>3175.3680276685936</v>
      </c>
      <c r="BO18" s="15">
        <f t="shared" si="15"/>
        <v>3080.1069868385357</v>
      </c>
      <c r="BP18" s="15">
        <f t="shared" si="15"/>
        <v>2987.7037772333797</v>
      </c>
      <c r="BQ18" s="15">
        <f t="shared" si="15"/>
        <v>2898.0726639163781</v>
      </c>
      <c r="BR18" s="15">
        <f t="shared" si="15"/>
        <v>2811.1304839988866</v>
      </c>
      <c r="BS18" s="15">
        <f t="shared" si="15"/>
        <v>2726.79656947892</v>
      </c>
      <c r="BT18" s="15">
        <f t="shared" si="15"/>
        <v>2644.9926723945523</v>
      </c>
      <c r="BU18" s="15">
        <f t="shared" si="15"/>
        <v>2565.6428922227155</v>
      </c>
      <c r="BV18" s="15">
        <f t="shared" si="15"/>
        <v>2488.6736054560338</v>
      </c>
      <c r="BW18" s="15">
        <f t="shared" si="15"/>
        <v>2414.0133972923527</v>
      </c>
      <c r="BX18" s="15">
        <f t="shared" si="15"/>
        <v>2341.5929953735822</v>
      </c>
      <c r="BY18" s="15">
        <f t="shared" si="15"/>
        <v>2271.3452055123748</v>
      </c>
      <c r="BZ18" s="15">
        <f t="shared" si="15"/>
        <v>2203.2048493470033</v>
      </c>
      <c r="CA18" s="15">
        <f t="shared" si="15"/>
        <v>2137.1087038665933</v>
      </c>
      <c r="CB18" s="15">
        <f t="shared" si="15"/>
        <v>2072.9954427505954</v>
      </c>
      <c r="CC18" s="15">
        <f t="shared" si="15"/>
        <v>2010.8055794680774</v>
      </c>
      <c r="CD18" s="15">
        <f t="shared" si="15"/>
        <v>1950.4814120840351</v>
      </c>
      <c r="CE18" s="15">
        <f t="shared" si="15"/>
        <v>1891.966969721514</v>
      </c>
      <c r="CF18" s="15">
        <f t="shared" si="15"/>
        <v>1835.2079606298685</v>
      </c>
      <c r="CG18" s="15">
        <f t="shared" si="15"/>
        <v>1780.1517218109723</v>
      </c>
      <c r="CH18" s="15">
        <f t="shared" si="15"/>
        <v>1726.7471701566431</v>
      </c>
      <c r="CI18" s="15">
        <f t="shared" si="15"/>
        <v>1674.9447550519437</v>
      </c>
      <c r="CJ18" s="15">
        <f t="shared" si="15"/>
        <v>1624.6964124003853</v>
      </c>
      <c r="CK18" s="15">
        <f t="shared" si="15"/>
        <v>1575.9555200283737</v>
      </c>
      <c r="CL18" s="15">
        <f t="shared" si="15"/>
        <v>1528.6768544275224</v>
      </c>
      <c r="CM18" s="15">
        <f t="shared" si="15"/>
        <v>1482.8165487946967</v>
      </c>
      <c r="CN18" s="15">
        <f t="shared" si="15"/>
        <v>1438.3320523308557</v>
      </c>
      <c r="CO18" s="15">
        <f t="shared" si="15"/>
        <v>1395.1820907609301</v>
      </c>
      <c r="CP18" s="15">
        <f t="shared" si="15"/>
        <v>1353.3266280381022</v>
      </c>
      <c r="CQ18" s="15">
        <f t="shared" si="15"/>
        <v>1312.726829196959</v>
      </c>
      <c r="CR18" s="15">
        <f t="shared" si="15"/>
        <v>1273.3450243210502</v>
      </c>
      <c r="CS18" s="15">
        <f t="shared" si="15"/>
        <v>1235.1446735914187</v>
      </c>
      <c r="CT18" s="15">
        <f t="shared" si="15"/>
        <v>1198.0903333836761</v>
      </c>
      <c r="CU18" s="15">
        <f t="shared" si="15"/>
        <v>1162.1476233821659</v>
      </c>
      <c r="CV18" s="15">
        <f t="shared" si="15"/>
        <v>1127.2831946807009</v>
      </c>
      <c r="CW18" s="15">
        <f t="shared" si="15"/>
        <v>1093.4646988402799</v>
      </c>
      <c r="CX18" s="15">
        <f t="shared" si="15"/>
        <v>1060.6607578750716</v>
      </c>
      <c r="CY18" s="15">
        <f>CX18*(1+$AR$23)</f>
        <v>1028.8409351388193</v>
      </c>
      <c r="CZ18" s="15">
        <f t="shared" si="15"/>
        <v>997.97570708465469</v>
      </c>
      <c r="DA18" s="15">
        <f t="shared" si="15"/>
        <v>968.03643587211502</v>
      </c>
      <c r="DB18" s="15">
        <f t="shared" si="15"/>
        <v>938.9953427959515</v>
      </c>
      <c r="DC18" s="15">
        <f t="shared" ref="DC18:FN18" si="16">DB18*(1+$AR$23)</f>
        <v>910.82548251207288</v>
      </c>
      <c r="DD18" s="15">
        <f t="shared" si="16"/>
        <v>883.50071803671062</v>
      </c>
      <c r="DE18" s="15">
        <f t="shared" si="16"/>
        <v>856.99569649560931</v>
      </c>
      <c r="DF18" s="15">
        <f t="shared" si="16"/>
        <v>831.28582560074096</v>
      </c>
      <c r="DG18" s="15">
        <f t="shared" si="16"/>
        <v>806.34725083271871</v>
      </c>
      <c r="DH18" s="15">
        <f t="shared" si="16"/>
        <v>782.15683330773709</v>
      </c>
      <c r="DI18" s="15">
        <f t="shared" si="16"/>
        <v>758.69212830850495</v>
      </c>
      <c r="DJ18" s="15">
        <f t="shared" si="16"/>
        <v>735.93136445924983</v>
      </c>
      <c r="DK18" s="15">
        <f t="shared" si="16"/>
        <v>713.85342352547229</v>
      </c>
      <c r="DL18" s="15">
        <f t="shared" si="16"/>
        <v>692.43782081970812</v>
      </c>
      <c r="DM18" s="15">
        <f t="shared" si="16"/>
        <v>671.66468619511681</v>
      </c>
      <c r="DN18" s="15">
        <f t="shared" si="16"/>
        <v>651.51474560926329</v>
      </c>
      <c r="DO18" s="15">
        <f t="shared" si="16"/>
        <v>631.96930324098537</v>
      </c>
      <c r="DP18" s="15">
        <f t="shared" si="16"/>
        <v>613.01022414375575</v>
      </c>
      <c r="DQ18" s="15">
        <f t="shared" si="16"/>
        <v>594.61991741944303</v>
      </c>
      <c r="DR18" s="15">
        <f t="shared" si="16"/>
        <v>576.78131989685971</v>
      </c>
      <c r="DS18" s="15">
        <f t="shared" si="16"/>
        <v>559.47788029995388</v>
      </c>
      <c r="DT18" s="15">
        <f t="shared" si="16"/>
        <v>542.6935438909552</v>
      </c>
      <c r="DU18" s="15">
        <f t="shared" si="16"/>
        <v>526.41273757422653</v>
      </c>
      <c r="DV18" s="15">
        <f t="shared" si="16"/>
        <v>510.62035544699972</v>
      </c>
      <c r="DW18" s="15">
        <f t="shared" si="16"/>
        <v>495.3017447835897</v>
      </c>
      <c r="DX18" s="15">
        <f t="shared" si="16"/>
        <v>480.442692440082</v>
      </c>
      <c r="DY18" s="15">
        <f t="shared" si="16"/>
        <v>466.02941166687953</v>
      </c>
      <c r="DZ18" s="15">
        <f t="shared" si="16"/>
        <v>452.0485293168731</v>
      </c>
      <c r="EA18" s="15">
        <f t="shared" si="16"/>
        <v>438.48707343736692</v>
      </c>
      <c r="EB18" s="15">
        <f t="shared" si="16"/>
        <v>425.3324612342459</v>
      </c>
      <c r="EC18" s="15">
        <f t="shared" si="16"/>
        <v>412.57248739721854</v>
      </c>
      <c r="ED18" s="15">
        <f t="shared" si="16"/>
        <v>400.19531277530194</v>
      </c>
      <c r="EE18" s="15">
        <f t="shared" si="16"/>
        <v>388.18945339204288</v>
      </c>
      <c r="EF18" s="15">
        <f t="shared" si="16"/>
        <v>376.5437697902816</v>
      </c>
      <c r="EG18" s="15">
        <f t="shared" si="16"/>
        <v>365.24745669657312</v>
      </c>
      <c r="EH18" s="15">
        <f t="shared" si="16"/>
        <v>354.29003299567592</v>
      </c>
      <c r="EI18" s="15">
        <f t="shared" si="16"/>
        <v>343.6613320058056</v>
      </c>
      <c r="EJ18" s="15">
        <f t="shared" si="16"/>
        <v>333.3514920456314</v>
      </c>
      <c r="EK18" s="15">
        <f t="shared" si="16"/>
        <v>323.35094728426247</v>
      </c>
      <c r="EL18" s="15">
        <f t="shared" si="16"/>
        <v>313.65041886573459</v>
      </c>
      <c r="EM18" s="15">
        <f t="shared" si="16"/>
        <v>304.24090629976257</v>
      </c>
      <c r="EN18" s="15">
        <f t="shared" si="16"/>
        <v>295.11367911076968</v>
      </c>
      <c r="EO18" s="15">
        <f t="shared" si="16"/>
        <v>286.26026873744661</v>
      </c>
      <c r="EP18" s="15">
        <f t="shared" si="16"/>
        <v>277.67246067532318</v>
      </c>
      <c r="EQ18" s="15">
        <f t="shared" si="16"/>
        <v>269.34228685506349</v>
      </c>
      <c r="ER18" s="15">
        <f t="shared" si="16"/>
        <v>261.2620182494116</v>
      </c>
      <c r="ES18" s="15">
        <f t="shared" si="16"/>
        <v>253.42415770192923</v>
      </c>
      <c r="ET18" s="15">
        <f t="shared" si="16"/>
        <v>245.82143297087134</v>
      </c>
      <c r="EU18" s="15">
        <f t="shared" si="16"/>
        <v>238.44678998174518</v>
      </c>
      <c r="EV18" s="15">
        <f t="shared" si="16"/>
        <v>231.29338628229283</v>
      </c>
      <c r="EW18" s="15">
        <f t="shared" si="16"/>
        <v>224.35458469382405</v>
      </c>
      <c r="EX18" s="15">
        <f t="shared" si="16"/>
        <v>217.62394715300931</v>
      </c>
      <c r="EY18" s="15">
        <f t="shared" si="16"/>
        <v>211.09522873841902</v>
      </c>
      <c r="EZ18" s="15">
        <f t="shared" si="16"/>
        <v>204.76237187626646</v>
      </c>
      <c r="FA18" s="15">
        <f t="shared" si="16"/>
        <v>198.61950071997845</v>
      </c>
      <c r="FB18" s="15">
        <f t="shared" si="16"/>
        <v>192.66091569837909</v>
      </c>
      <c r="FC18" s="15">
        <f t="shared" si="16"/>
        <v>186.88108822742771</v>
      </c>
      <c r="FD18" s="15">
        <f t="shared" si="16"/>
        <v>181.27465558060487</v>
      </c>
      <c r="FE18" s="15">
        <f t="shared" si="16"/>
        <v>175.83641591318673</v>
      </c>
      <c r="FF18" s="15">
        <f t="shared" si="16"/>
        <v>170.56132343579111</v>
      </c>
      <c r="FG18" s="15">
        <f t="shared" si="16"/>
        <v>165.44448373271737</v>
      </c>
      <c r="FH18" s="15">
        <f t="shared" si="16"/>
        <v>160.48114922073586</v>
      </c>
      <c r="FI18" s="15">
        <f t="shared" si="16"/>
        <v>155.66671474411379</v>
      </c>
      <c r="FJ18" s="15">
        <f t="shared" si="16"/>
        <v>150.99671330179038</v>
      </c>
      <c r="FK18" s="15">
        <f t="shared" si="16"/>
        <v>146.46681190273665</v>
      </c>
      <c r="FL18" s="15">
        <f t="shared" si="16"/>
        <v>142.07280754565454</v>
      </c>
      <c r="FM18" s="15">
        <f t="shared" si="16"/>
        <v>137.8106233192849</v>
      </c>
      <c r="FN18" s="15">
        <f t="shared" si="16"/>
        <v>133.67630461970634</v>
      </c>
      <c r="FO18" s="15">
        <f t="shared" ref="FO18:GN18" si="17">FN18*(1+$AR$23)</f>
        <v>129.66601548111515</v>
      </c>
      <c r="FP18" s="15">
        <f t="shared" si="17"/>
        <v>125.77603501668169</v>
      </c>
      <c r="FQ18" s="15">
        <f t="shared" si="17"/>
        <v>122.00275396618123</v>
      </c>
      <c r="FR18" s="15">
        <f t="shared" si="17"/>
        <v>118.34267134719579</v>
      </c>
      <c r="FS18" s="15">
        <f t="shared" si="17"/>
        <v>114.79239120677991</v>
      </c>
      <c r="FT18" s="15">
        <f t="shared" si="17"/>
        <v>111.34861947057651</v>
      </c>
      <c r="FU18" s="15">
        <f t="shared" si="17"/>
        <v>108.00816088645921</v>
      </c>
      <c r="FV18" s="15">
        <f t="shared" si="17"/>
        <v>104.76791605986543</v>
      </c>
      <c r="FW18" s="15">
        <f t="shared" si="17"/>
        <v>101.62487857806946</v>
      </c>
      <c r="FX18" s="15">
        <f t="shared" si="17"/>
        <v>98.576132220727374</v>
      </c>
      <c r="FY18" s="15">
        <f t="shared" si="17"/>
        <v>95.618848254105544</v>
      </c>
      <c r="FZ18" s="15">
        <f t="shared" si="17"/>
        <v>92.750282806482375</v>
      </c>
      <c r="GA18" s="15">
        <f t="shared" si="17"/>
        <v>89.967774322287895</v>
      </c>
      <c r="GB18" s="15">
        <f t="shared" si="17"/>
        <v>87.268741092619251</v>
      </c>
      <c r="GC18" s="15">
        <f t="shared" si="17"/>
        <v>84.650678859840667</v>
      </c>
      <c r="GD18" s="15">
        <f t="shared" si="17"/>
        <v>82.111158494045441</v>
      </c>
      <c r="GE18" s="15">
        <f t="shared" si="17"/>
        <v>79.64782373922408</v>
      </c>
      <c r="GF18" s="15">
        <f t="shared" si="17"/>
        <v>77.258389027047357</v>
      </c>
      <c r="GG18" s="15">
        <f t="shared" si="17"/>
        <v>74.940637356235939</v>
      </c>
      <c r="GH18" s="15">
        <f t="shared" si="17"/>
        <v>72.692418235548857</v>
      </c>
      <c r="GI18" s="15">
        <f t="shared" si="17"/>
        <v>70.511645688482389</v>
      </c>
      <c r="GJ18" s="15">
        <f t="shared" si="17"/>
        <v>68.396296317827918</v>
      </c>
      <c r="GK18" s="15">
        <f t="shared" si="17"/>
        <v>66.344407428293081</v>
      </c>
      <c r="GL18" s="15">
        <f t="shared" si="17"/>
        <v>64.354075205444289</v>
      </c>
      <c r="GM18" s="15">
        <f t="shared" si="17"/>
        <v>62.423452949280957</v>
      </c>
      <c r="GN18" s="15">
        <f t="shared" si="17"/>
        <v>60.550749360802527</v>
      </c>
    </row>
    <row r="19" spans="2:196" s="12" customFormat="1" x14ac:dyDescent="0.2">
      <c r="B19" s="12" t="s">
        <v>41</v>
      </c>
      <c r="C19" s="17">
        <f t="shared" ref="C19:Q19" si="18">(C18/C20)</f>
        <v>1.0921424385025458</v>
      </c>
      <c r="D19" s="17">
        <f t="shared" si="18"/>
        <v>1.6959961640123367</v>
      </c>
      <c r="E19" s="17">
        <f t="shared" si="18"/>
        <v>1.2443171435784661</v>
      </c>
      <c r="F19" s="17">
        <f t="shared" si="18"/>
        <v>1.0411641861052432</v>
      </c>
      <c r="G19" s="17">
        <f t="shared" si="18"/>
        <v>1.1807024658857947</v>
      </c>
      <c r="H19" s="17">
        <f t="shared" si="18"/>
        <v>1.0562305371560063</v>
      </c>
      <c r="I19" s="17">
        <f t="shared" si="18"/>
        <v>1.2921754545097288</v>
      </c>
      <c r="J19" s="17">
        <f t="shared" si="18"/>
        <v>1.1036440646230672</v>
      </c>
      <c r="K19" s="18">
        <f t="shared" si="18"/>
        <v>1.3227086664728156</v>
      </c>
      <c r="L19" s="18">
        <f t="shared" si="18"/>
        <v>1.093825379204171</v>
      </c>
      <c r="M19" s="18">
        <f t="shared" si="18"/>
        <v>1.2672919430067091</v>
      </c>
      <c r="N19" s="18">
        <f t="shared" si="18"/>
        <v>1.1835553445946307</v>
      </c>
      <c r="O19" s="17">
        <f t="shared" si="18"/>
        <v>1.3070606643730627</v>
      </c>
      <c r="P19" s="17">
        <f t="shared" si="18"/>
        <v>2.1169762662150009</v>
      </c>
      <c r="Q19" s="17">
        <f t="shared" si="18"/>
        <v>1.4385789996831504</v>
      </c>
      <c r="U19" s="17">
        <f>(U18/U20)</f>
        <v>2.7942422683856862</v>
      </c>
      <c r="V19" s="17">
        <f>(V18/V20)</f>
        <v>3.5277014274264369</v>
      </c>
      <c r="W19" s="17">
        <f>(W18/W20)</f>
        <v>3.969665036464233</v>
      </c>
      <c r="X19" s="17">
        <f t="shared" ref="X19:Y19" si="19">(X18/X20)</f>
        <v>5.0839503009428615</v>
      </c>
      <c r="Y19" s="17">
        <f t="shared" si="19"/>
        <v>4.6380047814921177</v>
      </c>
      <c r="Z19" s="17">
        <f>(Z18/Z20)</f>
        <v>4.871702324321574</v>
      </c>
    </row>
    <row r="20" spans="2:196" s="12" customFormat="1" x14ac:dyDescent="0.2">
      <c r="B20" s="12" t="s">
        <v>6</v>
      </c>
      <c r="C20" s="12">
        <v>639.65923799999996</v>
      </c>
      <c r="D20" s="12">
        <v>649.52033700000004</v>
      </c>
      <c r="E20" s="12">
        <v>650.62593100000004</v>
      </c>
      <c r="F20" s="12">
        <v>645.53699500000005</v>
      </c>
      <c r="G20" s="12">
        <v>636.69554500000004</v>
      </c>
      <c r="H20" s="12">
        <v>635.929351</v>
      </c>
      <c r="I20" s="12">
        <v>633.12841700000001</v>
      </c>
      <c r="J20" s="12">
        <v>634.21624999999995</v>
      </c>
      <c r="K20" s="14">
        <v>628.43921799999998</v>
      </c>
      <c r="L20" s="14">
        <v>628.25475900000004</v>
      </c>
      <c r="M20" s="14">
        <v>625.96941800000002</v>
      </c>
      <c r="N20" s="14">
        <v>626.79958599999998</v>
      </c>
      <c r="O20" s="12">
        <v>626.46212400000002</v>
      </c>
      <c r="P20" s="12">
        <v>626.52379299999996</v>
      </c>
      <c r="Q20" s="12">
        <v>623.72591299999999</v>
      </c>
      <c r="U20" s="12">
        <v>637.17023400000005</v>
      </c>
      <c r="V20" s="12">
        <v>645.63117</v>
      </c>
      <c r="W20" s="12">
        <v>643.13260100000002</v>
      </c>
      <c r="X20" s="12">
        <v>645.53699500000005</v>
      </c>
      <c r="Y20" s="12">
        <v>634.21624999999995</v>
      </c>
      <c r="Z20" s="12">
        <v>626.79958599999998</v>
      </c>
    </row>
    <row r="21" spans="2:196" s="12" customFormat="1" x14ac:dyDescent="0.2"/>
    <row r="22" spans="2:196" s="19" customFormat="1" x14ac:dyDescent="0.2">
      <c r="B22" s="19" t="s">
        <v>44</v>
      </c>
      <c r="G22" s="19">
        <f>G5/C5-1</f>
        <v>1.7169976771105322E-2</v>
      </c>
      <c r="H22" s="19">
        <f>H5/D5-1</f>
        <v>9.8972151195997338E-3</v>
      </c>
      <c r="I22" s="19">
        <f>I5/E5-1</f>
        <v>6.9051568286447651E-2</v>
      </c>
      <c r="J22" s="19">
        <f>J5/F5-1</f>
        <v>9.8647919187709432E-2</v>
      </c>
      <c r="K22" s="19">
        <f>K5/G5-1</f>
        <v>6.9690023816312729E-2</v>
      </c>
      <c r="L22" s="19">
        <f>L5/H5-1</f>
        <v>4.8114676967229375E-2</v>
      </c>
      <c r="M22" s="19">
        <f>M5/I5-1</f>
        <v>4.2336453815328134E-3</v>
      </c>
      <c r="N22" s="19">
        <f>N5/J5-1</f>
        <v>1.1756169079722101E-2</v>
      </c>
      <c r="O22" s="19">
        <f>O5/K5-1</f>
        <v>1.470960321610626E-2</v>
      </c>
      <c r="P22" s="19">
        <f>P5/L5-1</f>
        <v>5.8684702562790125E-2</v>
      </c>
      <c r="Q22" s="19">
        <f>Q5/M5-1</f>
        <v>8.3863741993115415E-2</v>
      </c>
      <c r="V22" s="19">
        <f>V5/U5-1</f>
        <v>0.18441247145696837</v>
      </c>
      <c r="W22" s="19">
        <f>W5/V5-1</f>
        <v>8.8658597764026181E-2</v>
      </c>
      <c r="X22" s="19">
        <f>X5/W5-1</f>
        <v>2.0696497765043675E-2</v>
      </c>
      <c r="Y22" s="19">
        <f>Y5/X5-1</f>
        <v>4.870629462084719E-2</v>
      </c>
      <c r="Z22" s="19">
        <f>Z5/Y5-1</f>
        <v>3.2619811877001581E-2</v>
      </c>
      <c r="AA22" s="19">
        <f>AA5/Z5-1</f>
        <v>2.0000000000000018E-2</v>
      </c>
      <c r="AB22" s="19">
        <f>AB5/AA5-1</f>
        <v>2.0000000000000018E-2</v>
      </c>
      <c r="AC22" s="19">
        <f>AC5/AB5-1</f>
        <v>2.0000000000000018E-2</v>
      </c>
      <c r="AD22" s="19">
        <f>AD5/AC5-1</f>
        <v>2.0000000000000018E-2</v>
      </c>
      <c r="AE22" s="19">
        <f>AE5/AD5-1</f>
        <v>2.0000000000000018E-2</v>
      </c>
      <c r="AF22" s="19">
        <f>AF5/AE5-1</f>
        <v>2.0000000000000018E-2</v>
      </c>
      <c r="AG22" s="19">
        <f>AG5/AF5-1</f>
        <v>2.0000000000000018E-2</v>
      </c>
      <c r="AH22" s="19">
        <f>AH5/AG5-1</f>
        <v>2.0000000000000018E-2</v>
      </c>
      <c r="AI22" s="19">
        <f>AI5/AH5-1</f>
        <v>2.0000000000000018E-2</v>
      </c>
      <c r="AJ22" s="19">
        <f>AJ5/AI5-1</f>
        <v>2.0000000000000018E-2</v>
      </c>
      <c r="AK22" s="19">
        <f>AK5/AJ5-1</f>
        <v>2.0000000000000018E-2</v>
      </c>
      <c r="AL22" s="19">
        <f>AL5/AK5-1</f>
        <v>2.0000000000000018E-2</v>
      </c>
      <c r="AM22" s="19">
        <f>AM5/AL5-1</f>
        <v>2.0000000000000018E-2</v>
      </c>
      <c r="AN22" s="19">
        <f>AN5/AM5-1</f>
        <v>2.0000000000000018E-2</v>
      </c>
      <c r="AO22" s="19">
        <f>AO5/AN5-1</f>
        <v>2.0000000000000018E-2</v>
      </c>
      <c r="AQ22" s="20" t="s">
        <v>48</v>
      </c>
      <c r="AR22" s="20">
        <v>0</v>
      </c>
    </row>
    <row r="23" spans="2:196" s="12" customFormat="1" x14ac:dyDescent="0.2">
      <c r="B23" s="12" t="s">
        <v>45</v>
      </c>
      <c r="G23" s="21">
        <f>G18/C18-1</f>
        <v>7.6079410362740019E-2</v>
      </c>
      <c r="H23" s="21">
        <f t="shared" ref="H23:Q23" si="20">H18/D18-1</f>
        <v>-0.39025258173684407</v>
      </c>
      <c r="I23" s="21">
        <f t="shared" si="20"/>
        <v>1.0533792004545406E-2</v>
      </c>
      <c r="J23" s="21">
        <f t="shared" si="20"/>
        <v>4.1420303224174448E-2</v>
      </c>
      <c r="K23" s="21">
        <f>K18/G18-1</f>
        <v>0.10574554238920353</v>
      </c>
      <c r="L23" s="21">
        <f t="shared" si="20"/>
        <v>2.3095544359880815E-2</v>
      </c>
      <c r="M23" s="21">
        <f t="shared" si="20"/>
        <v>-3.0346663602706769E-2</v>
      </c>
      <c r="N23" s="21">
        <f t="shared" si="20"/>
        <v>5.9865790221862891E-2</v>
      </c>
      <c r="O23" s="21">
        <f>O18/K18-1</f>
        <v>-1.4939091143131744E-2</v>
      </c>
      <c r="P23" s="21">
        <f t="shared" si="20"/>
        <v>0.9300553986388258</v>
      </c>
      <c r="Q23" s="21">
        <f t="shared" si="20"/>
        <v>0.13109143486712349</v>
      </c>
      <c r="V23" s="20">
        <f>V18/U18-1</f>
        <v>0.27925396875323094</v>
      </c>
      <c r="W23" s="20">
        <f>W18/V18-1</f>
        <v>0.12092892763152752</v>
      </c>
      <c r="X23" s="20">
        <f t="shared" ref="X23:AO23" si="21">X18/W18-1</f>
        <v>0.28548805513154729</v>
      </c>
      <c r="Y23" s="20">
        <f t="shared" si="21"/>
        <v>-0.10371500707826453</v>
      </c>
      <c r="Z23" s="20">
        <f t="shared" si="21"/>
        <v>3.8104054464765946E-2</v>
      </c>
      <c r="AA23" s="20">
        <f t="shared" si="21"/>
        <v>0.21717748744179377</v>
      </c>
      <c r="AB23" s="20">
        <f t="shared" si="21"/>
        <v>5.3946814073344118E-2</v>
      </c>
      <c r="AC23" s="20">
        <f t="shared" si="21"/>
        <v>5.1887241071044254E-2</v>
      </c>
      <c r="AD23" s="20">
        <f t="shared" si="21"/>
        <v>5.0011271161686244E-2</v>
      </c>
      <c r="AE23" s="20">
        <f t="shared" si="21"/>
        <v>4.8296132309425088E-2</v>
      </c>
      <c r="AF23" s="20">
        <f t="shared" si="21"/>
        <v>4.6722664324950092E-2</v>
      </c>
      <c r="AG23" s="20">
        <f t="shared" si="21"/>
        <v>4.5274629940019295E-2</v>
      </c>
      <c r="AH23" s="20">
        <f t="shared" si="21"/>
        <v>4.3938177778092502E-2</v>
      </c>
      <c r="AI23" s="20">
        <f t="shared" si="21"/>
        <v>4.2701419533829776E-2</v>
      </c>
      <c r="AJ23" s="20">
        <f t="shared" si="21"/>
        <v>4.1554093994904173E-2</v>
      </c>
      <c r="AK23" s="20">
        <f t="shared" si="21"/>
        <v>4.0487297785825938E-2</v>
      </c>
      <c r="AL23" s="20">
        <f t="shared" si="21"/>
        <v>3.9493267870363669E-2</v>
      </c>
      <c r="AM23" s="20">
        <f t="shared" si="21"/>
        <v>3.8565204565259359E-2</v>
      </c>
      <c r="AN23" s="20">
        <f t="shared" si="21"/>
        <v>3.7697126527058256E-2</v>
      </c>
      <c r="AO23" s="20">
        <f t="shared" si="21"/>
        <v>3.6883751170339707E-2</v>
      </c>
      <c r="AQ23" s="12" t="s">
        <v>49</v>
      </c>
      <c r="AR23" s="20">
        <v>-0.03</v>
      </c>
    </row>
    <row r="24" spans="2:196" s="12" customFormat="1" x14ac:dyDescent="0.2">
      <c r="AQ24" s="12" t="s">
        <v>50</v>
      </c>
      <c r="AR24" s="22">
        <v>4.4999999999999998E-2</v>
      </c>
    </row>
    <row r="25" spans="2:196" s="20" customFormat="1" x14ac:dyDescent="0.2">
      <c r="B25" s="20" t="s">
        <v>46</v>
      </c>
      <c r="C25" s="20">
        <f>(C9/C5)</f>
        <v>0.30857875471633156</v>
      </c>
      <c r="D25" s="20">
        <f>(D9/D5)</f>
        <v>0.29764683744988873</v>
      </c>
      <c r="E25" s="20">
        <f>(E9/E5)</f>
        <v>0.31629989095652727</v>
      </c>
      <c r="F25" s="20">
        <f>(F9/F5)</f>
        <v>0.31223945161949657</v>
      </c>
      <c r="G25" s="20">
        <f>(G9/G5)</f>
        <v>0.31403108531409424</v>
      </c>
      <c r="H25" s="20">
        <f>(H9/H5)</f>
        <v>0.29470062899381483</v>
      </c>
      <c r="I25" s="20">
        <f>(I9/I5)</f>
        <v>0.30780359166911403</v>
      </c>
      <c r="J25" s="20">
        <f>(J9/J5)</f>
        <v>0.29859982419935643</v>
      </c>
      <c r="K25" s="20">
        <f>(K9/K5)</f>
        <v>0.30435236502962804</v>
      </c>
      <c r="L25" s="20">
        <f>(L9/L5)</f>
        <v>0.28249556520193303</v>
      </c>
      <c r="M25" s="20">
        <f>(M9/M5)</f>
        <v>0.30512203769734275</v>
      </c>
      <c r="N25" s="20">
        <f>(N9/N5)</f>
        <v>0.29940841730018614</v>
      </c>
      <c r="O25" s="20">
        <f>(O9/O5)</f>
        <v>0.30268404744020866</v>
      </c>
      <c r="P25" s="20">
        <f>(P9/P5)</f>
        <v>0.28221996455184928</v>
      </c>
      <c r="Q25" s="20">
        <f>(Q9/Q5)</f>
        <v>0.29987053246700535</v>
      </c>
      <c r="V25" s="20">
        <f>(V9/V5)</f>
        <v>0.30661153689146248</v>
      </c>
      <c r="W25" s="20">
        <f>(W9/W5)</f>
        <v>0.30182367947327532</v>
      </c>
      <c r="X25" s="20">
        <f>(X9/X5)</f>
        <v>0.30874800969984989</v>
      </c>
      <c r="Y25" s="20">
        <f>(Y9/Y5)</f>
        <v>0.30382945358695074</v>
      </c>
      <c r="Z25" s="20">
        <f>(Z9/Z5)</f>
        <v>0.29802250223184823</v>
      </c>
      <c r="AA25" s="20">
        <f>(AA9/AA5)</f>
        <v>0.29499999999999998</v>
      </c>
      <c r="AB25" s="20">
        <f>(AB9/AB5)</f>
        <v>0.29499999999999998</v>
      </c>
      <c r="AC25" s="20">
        <f>(AC9/AC5)</f>
        <v>0.29499999999999998</v>
      </c>
      <c r="AD25" s="20">
        <f>(AD9/AD5)</f>
        <v>0.29499999999999998</v>
      </c>
      <c r="AE25" s="20">
        <f>(AE9/AE5)</f>
        <v>0.29499999999999998</v>
      </c>
      <c r="AF25" s="20">
        <f>(AF9/AF5)</f>
        <v>0.29499999999999998</v>
      </c>
      <c r="AG25" s="20">
        <f>(AG9/AG5)</f>
        <v>0.29499999999999998</v>
      </c>
      <c r="AH25" s="20">
        <f>(AH9/AH5)</f>
        <v>0.29499999999999998</v>
      </c>
      <c r="AI25" s="20">
        <f>(AI9/AI5)</f>
        <v>0.29499999999999998</v>
      </c>
      <c r="AJ25" s="20">
        <f>(AJ9/AJ5)</f>
        <v>0.29499999999999998</v>
      </c>
      <c r="AK25" s="20">
        <f>(AK9/AK5)</f>
        <v>0.29499999999999998</v>
      </c>
      <c r="AL25" s="20">
        <f>(AL9/AL5)</f>
        <v>0.29499999999999998</v>
      </c>
      <c r="AM25" s="20">
        <f>(AM9/AM5)</f>
        <v>0.29499999999999998</v>
      </c>
      <c r="AN25" s="20">
        <f>(AN9/AN5)</f>
        <v>0.29499999999999998</v>
      </c>
      <c r="AO25" s="20">
        <f>(AO9/AO5)</f>
        <v>0.29499999999999998</v>
      </c>
      <c r="AQ25" s="19" t="s">
        <v>51</v>
      </c>
      <c r="AR25" s="23">
        <f>NPV(AR24,X18:GN18)</f>
        <v>95678.242599467849</v>
      </c>
    </row>
    <row r="26" spans="2:196" s="20" customFormat="1" x14ac:dyDescent="0.2">
      <c r="B26" s="20" t="s">
        <v>47</v>
      </c>
      <c r="C26" s="20">
        <f>(C17/C16)</f>
        <v>0.26803174803438601</v>
      </c>
      <c r="D26" s="20">
        <f t="shared" ref="D26:Q26" si="22">(D17/D16)</f>
        <v>-4.8673686492014838E-3</v>
      </c>
      <c r="E26" s="20">
        <f t="shared" si="22"/>
        <v>0.23782105432179776</v>
      </c>
      <c r="F26" s="20">
        <f t="shared" si="22"/>
        <v>0.24603086660749982</v>
      </c>
      <c r="G26" s="20">
        <f t="shared" si="22"/>
        <v>0.25097948368173262</v>
      </c>
      <c r="H26" s="20">
        <f t="shared" si="22"/>
        <v>0.23965614466247789</v>
      </c>
      <c r="I26" s="20">
        <f t="shared" si="22"/>
        <v>0.24995432198960663</v>
      </c>
      <c r="J26" s="20">
        <f t="shared" si="22"/>
        <v>0.30130246764965901</v>
      </c>
      <c r="K26" s="20">
        <f t="shared" si="22"/>
        <v>0.2515469107935524</v>
      </c>
      <c r="L26" s="20">
        <f t="shared" si="22"/>
        <v>0.26139290118679687</v>
      </c>
      <c r="M26" s="20">
        <f t="shared" si="22"/>
        <v>0.24906422310193718</v>
      </c>
      <c r="N26" s="20">
        <f t="shared" si="22"/>
        <v>0.26548310547246273</v>
      </c>
      <c r="O26" s="20">
        <f t="shared" si="22"/>
        <v>0.29283197426010837</v>
      </c>
      <c r="P26" s="20">
        <f t="shared" si="22"/>
        <v>0.13728605874724484</v>
      </c>
      <c r="Q26" s="20">
        <f t="shared" si="22"/>
        <v>0.26544905606708019</v>
      </c>
      <c r="V26" s="20">
        <f t="shared" ref="V26:Z26" si="23">(V17/V16)</f>
        <v>0.2730064502828779</v>
      </c>
      <c r="W26" s="20">
        <f t="shared" si="23"/>
        <v>0.2764672354454828</v>
      </c>
      <c r="X26" s="20">
        <f t="shared" si="23"/>
        <v>0.18082706593669917</v>
      </c>
      <c r="Y26" s="20">
        <f t="shared" si="23"/>
        <v>0.26099477146324579</v>
      </c>
      <c r="Z26" s="20">
        <f t="shared" si="23"/>
        <v>0.25271350986996638</v>
      </c>
      <c r="AA26" s="20">
        <f t="shared" ref="AA26:AI26" si="24">(AA17/AA16)</f>
        <v>0.2</v>
      </c>
      <c r="AB26" s="20">
        <f t="shared" si="24"/>
        <v>0.2</v>
      </c>
      <c r="AC26" s="20">
        <f t="shared" si="24"/>
        <v>0.2</v>
      </c>
      <c r="AD26" s="20">
        <f t="shared" si="24"/>
        <v>0.20000000000000004</v>
      </c>
      <c r="AE26" s="20">
        <f t="shared" si="24"/>
        <v>0.2</v>
      </c>
      <c r="AF26" s="20">
        <f t="shared" si="24"/>
        <v>0.2</v>
      </c>
      <c r="AG26" s="20">
        <f t="shared" si="24"/>
        <v>0.2</v>
      </c>
      <c r="AH26" s="20">
        <f t="shared" si="24"/>
        <v>0.20000000000000004</v>
      </c>
      <c r="AI26" s="20">
        <f t="shared" si="24"/>
        <v>0.2</v>
      </c>
      <c r="AJ26" s="20">
        <f t="shared" ref="AJ26:AO26" si="25">(AJ17/AJ16)</f>
        <v>0.2</v>
      </c>
      <c r="AK26" s="20">
        <f t="shared" si="25"/>
        <v>0.2</v>
      </c>
      <c r="AL26" s="20">
        <f t="shared" si="25"/>
        <v>0.2</v>
      </c>
      <c r="AM26" s="20">
        <f t="shared" si="25"/>
        <v>0.2</v>
      </c>
      <c r="AN26" s="20">
        <f t="shared" si="25"/>
        <v>0.2</v>
      </c>
      <c r="AO26" s="20">
        <f t="shared" si="25"/>
        <v>0.2</v>
      </c>
      <c r="AQ26" s="20" t="s">
        <v>8</v>
      </c>
      <c r="AR26" s="12">
        <f>Main!K5-Main!K6</f>
        <v>3604.3010000000004</v>
      </c>
    </row>
    <row r="27" spans="2:196" s="12" customFormat="1" x14ac:dyDescent="0.2">
      <c r="Z27" s="20"/>
      <c r="AQ27" s="15" t="s">
        <v>52</v>
      </c>
      <c r="AR27" s="15">
        <f>AR25+AR26</f>
        <v>99282.543599467856</v>
      </c>
    </row>
    <row r="28" spans="2:196" s="12" customFormat="1" x14ac:dyDescent="0.2">
      <c r="B28" s="12" t="s">
        <v>8</v>
      </c>
      <c r="Q28" s="12">
        <f>3497.878+2.869+132.427</f>
        <v>3633.1740000000004</v>
      </c>
    </row>
    <row r="29" spans="2:196" s="12" customFormat="1" x14ac:dyDescent="0.2">
      <c r="B29" s="12" t="s">
        <v>55</v>
      </c>
      <c r="Q29" s="12">
        <f>4303.642+2136.836+51.179</f>
        <v>6491.6569999999992</v>
      </c>
      <c r="AQ29" s="15" t="s">
        <v>53</v>
      </c>
      <c r="AR29" s="15">
        <f>AR27/Main!K3</f>
        <v>153.99088548612264</v>
      </c>
    </row>
    <row r="30" spans="2:196" s="12" customFormat="1" x14ac:dyDescent="0.2">
      <c r="B30" s="12" t="s">
        <v>56</v>
      </c>
      <c r="Q30" s="12">
        <f>891.39+1229.695</f>
        <v>2121.085</v>
      </c>
      <c r="AQ30" s="15" t="s">
        <v>54</v>
      </c>
      <c r="AR30" s="15">
        <f>Main!K2</f>
        <v>110.53</v>
      </c>
    </row>
    <row r="31" spans="2:196" s="12" customFormat="1" x14ac:dyDescent="0.2">
      <c r="B31" s="12" t="s">
        <v>69</v>
      </c>
      <c r="Q31" s="12">
        <v>725.46600000000001</v>
      </c>
      <c r="AQ31" s="15"/>
      <c r="AR31" s="15"/>
    </row>
    <row r="32" spans="2:196" s="12" customFormat="1" x14ac:dyDescent="0.2">
      <c r="B32" s="12" t="s">
        <v>57</v>
      </c>
      <c r="Q32" s="12">
        <v>743.39599999999996</v>
      </c>
      <c r="AR32" s="20">
        <f>AR29/AR30-1</f>
        <v>0.39320442853634874</v>
      </c>
    </row>
    <row r="33" spans="2:17" s="12" customFormat="1" x14ac:dyDescent="0.2">
      <c r="B33" s="12" t="s">
        <v>58</v>
      </c>
      <c r="Q33" s="12">
        <v>883.60900000000004</v>
      </c>
    </row>
    <row r="34" spans="2:17" s="12" customFormat="1" x14ac:dyDescent="0.2">
      <c r="B34" s="12" t="s">
        <v>59</v>
      </c>
      <c r="Q34" s="12">
        <v>3538.1469999999999</v>
      </c>
    </row>
    <row r="35" spans="2:17" s="12" customFormat="1" x14ac:dyDescent="0.2">
      <c r="B35" s="12" t="s">
        <v>60</v>
      </c>
      <c r="Q35" s="12">
        <v>1054.5129999999999</v>
      </c>
    </row>
    <row r="36" spans="2:17" s="12" customFormat="1" x14ac:dyDescent="0.2">
      <c r="B36" s="12" t="s">
        <v>61</v>
      </c>
      <c r="Q36" s="12">
        <f>SUM(Q28:Q35)</f>
        <v>19191.047000000002</v>
      </c>
    </row>
    <row r="37" spans="2:17" s="12" customFormat="1" x14ac:dyDescent="0.2"/>
    <row r="38" spans="2:17" s="12" customFormat="1" x14ac:dyDescent="0.2">
      <c r="B38" s="12" t="s">
        <v>9</v>
      </c>
      <c r="Q38" s="12">
        <f>2.072+26.801</f>
        <v>28.872999999999998</v>
      </c>
    </row>
    <row r="39" spans="2:17" s="12" customFormat="1" x14ac:dyDescent="0.2">
      <c r="B39" s="12" t="s">
        <v>62</v>
      </c>
      <c r="Q39" s="12">
        <v>1133.43</v>
      </c>
    </row>
    <row r="40" spans="2:17" s="12" customFormat="1" x14ac:dyDescent="0.2">
      <c r="B40" s="12" t="s">
        <v>63</v>
      </c>
      <c r="Q40" s="12">
        <f>2349.05+771.973</f>
        <v>3121.0230000000001</v>
      </c>
    </row>
    <row r="41" spans="2:17" s="12" customFormat="1" x14ac:dyDescent="0.2">
      <c r="B41" s="12" t="s">
        <v>70</v>
      </c>
      <c r="Q41" s="12">
        <v>3410.777</v>
      </c>
    </row>
    <row r="42" spans="2:17" s="12" customFormat="1" x14ac:dyDescent="0.2">
      <c r="B42" s="12" t="s">
        <v>71</v>
      </c>
      <c r="Q42" s="12">
        <v>364.32400000000001</v>
      </c>
    </row>
    <row r="43" spans="2:17" s="12" customFormat="1" x14ac:dyDescent="0.2">
      <c r="B43" s="12" t="s">
        <v>56</v>
      </c>
      <c r="Q43" s="12">
        <f>50.825+152.882</f>
        <v>203.70699999999999</v>
      </c>
    </row>
    <row r="44" spans="2:17" s="12" customFormat="1" x14ac:dyDescent="0.2">
      <c r="B44" s="12" t="s">
        <v>72</v>
      </c>
      <c r="Q44" s="12">
        <v>472.07100000000003</v>
      </c>
    </row>
    <row r="45" spans="2:17" s="12" customFormat="1" x14ac:dyDescent="0.2">
      <c r="B45" s="12" t="s">
        <v>64</v>
      </c>
      <c r="Q45" s="12">
        <v>1139.634</v>
      </c>
    </row>
    <row r="46" spans="2:17" s="12" customFormat="1" x14ac:dyDescent="0.2">
      <c r="B46" s="12" t="s">
        <v>65</v>
      </c>
      <c r="Q46" s="12">
        <f>927.952+378.584</f>
        <v>1306.5360000000001</v>
      </c>
    </row>
    <row r="47" spans="2:17" s="12" customFormat="1" x14ac:dyDescent="0.2">
      <c r="B47" s="12" t="s">
        <v>66</v>
      </c>
      <c r="Q47" s="12">
        <v>304.11399999999998</v>
      </c>
    </row>
    <row r="48" spans="2:17" s="15" customFormat="1" x14ac:dyDescent="0.2">
      <c r="B48" s="15" t="s">
        <v>67</v>
      </c>
      <c r="Q48" s="15">
        <v>7706.558</v>
      </c>
    </row>
    <row r="49" spans="2:17" s="12" customFormat="1" x14ac:dyDescent="0.2">
      <c r="B49" s="12" t="s">
        <v>68</v>
      </c>
      <c r="Q49" s="12">
        <f>SUM(Q38:Q48)</f>
        <v>19191.046999999999</v>
      </c>
    </row>
    <row r="51" spans="2:17" s="24" customFormat="1" x14ac:dyDescent="0.2">
      <c r="B51" s="24" t="s">
        <v>73</v>
      </c>
      <c r="P51" s="15">
        <f>SUM(M18:P18)</f>
        <v>3680.2980000000007</v>
      </c>
    </row>
    <row r="52" spans="2:17" x14ac:dyDescent="0.2">
      <c r="B52" s="20" t="s">
        <v>74</v>
      </c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>
        <f>SUM(N18:Q18)/Q48</f>
        <v>0.49104814367192218</v>
      </c>
    </row>
    <row r="53" spans="2:17" x14ac:dyDescent="0.2">
      <c r="B53" s="20" t="s">
        <v>75</v>
      </c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>
        <f>($P$51/Q36)</f>
        <v>0.19177161100173432</v>
      </c>
    </row>
    <row r="54" spans="2:17" x14ac:dyDescent="0.2">
      <c r="B54" s="20" t="s">
        <v>76</v>
      </c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>
        <f>P51/(Q48-Q34)</f>
        <v>0.88290190194776874</v>
      </c>
    </row>
    <row r="56" spans="2:17" x14ac:dyDescent="0.2">
      <c r="B56" s="10" t="s">
        <v>77</v>
      </c>
    </row>
    <row r="57" spans="2:17" x14ac:dyDescent="0.2">
      <c r="B57" s="10" t="s">
        <v>78</v>
      </c>
    </row>
    <row r="58" spans="2:17" x14ac:dyDescent="0.2">
      <c r="B58" s="10" t="s">
        <v>79</v>
      </c>
    </row>
    <row r="59" spans="2:17" x14ac:dyDescent="0.2">
      <c r="B59" s="10" t="s">
        <v>80</v>
      </c>
    </row>
    <row r="60" spans="2:17" x14ac:dyDescent="0.2">
      <c r="B60" s="10" t="s">
        <v>81</v>
      </c>
    </row>
    <row r="61" spans="2:17" x14ac:dyDescent="0.2">
      <c r="B61" s="10" t="s">
        <v>56</v>
      </c>
    </row>
    <row r="62" spans="2:17" x14ac:dyDescent="0.2">
      <c r="B62" s="10" t="s">
        <v>82</v>
      </c>
    </row>
  </sheetData>
  <pageMargins left="0.75" right="0.75" top="1" bottom="1" header="0.5" footer="0.5"/>
  <pageSetup orientation="portrait" horizontalDpi="4294967292" verticalDpi="4294967292" r:id="rId1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Editor 1</dc:creator>
  <cp:lastModifiedBy>LOOK</cp:lastModifiedBy>
  <dcterms:created xsi:type="dcterms:W3CDTF">2016-09-14T08:26:01Z</dcterms:created>
  <dcterms:modified xsi:type="dcterms:W3CDTF">2016-10-12T08:25:50Z</dcterms:modified>
</cp:coreProperties>
</file>