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900" windowHeight="12150" activeTab="1"/>
  </bookViews>
  <sheets>
    <sheet name="Main" sheetId="1" r:id="rId1"/>
    <sheet name="Model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O6" i="1"/>
  <c r="K18" i="2" l="1"/>
  <c r="K17" i="2"/>
  <c r="K16" i="2"/>
  <c r="K15" i="2"/>
  <c r="K14" i="2"/>
  <c r="K13" i="2"/>
  <c r="K12" i="2"/>
  <c r="K10" i="2"/>
  <c r="K9" i="2"/>
  <c r="K8" i="2"/>
  <c r="L61" i="2"/>
  <c r="L47" i="2"/>
  <c r="L53" i="2"/>
  <c r="J39" i="2"/>
  <c r="L32" i="2"/>
  <c r="L26" i="2"/>
  <c r="K5" i="1"/>
  <c r="AC29" i="2" l="1"/>
  <c r="AD26" i="2"/>
  <c r="AB26" i="2"/>
  <c r="Z41" i="2"/>
  <c r="Y41" i="2"/>
  <c r="X41" i="2"/>
  <c r="W41" i="2"/>
  <c r="V41" i="2"/>
  <c r="U41" i="2"/>
  <c r="T41" i="2"/>
  <c r="S41" i="2"/>
  <c r="R41" i="2"/>
  <c r="Q41" i="2"/>
  <c r="T24" i="2"/>
  <c r="S24" i="2"/>
  <c r="R24" i="2"/>
  <c r="Q24" i="2"/>
  <c r="P24" i="2"/>
  <c r="S26" i="2"/>
  <c r="R26" i="2"/>
  <c r="Q26" i="2"/>
  <c r="P26" i="2"/>
  <c r="R2" i="2"/>
  <c r="Q2" i="2"/>
  <c r="P2" i="2"/>
  <c r="T26" i="2"/>
  <c r="Y26" i="2"/>
  <c r="X26" i="2"/>
  <c r="U26" i="2"/>
  <c r="V26" i="2"/>
  <c r="W26" i="2"/>
  <c r="M37" i="2" l="1"/>
  <c r="N37" i="2" s="1"/>
  <c r="N28" i="2"/>
  <c r="M28" i="2"/>
  <c r="N27" i="2"/>
  <c r="M27" i="2"/>
  <c r="N22" i="2"/>
  <c r="N40" i="2" s="1"/>
  <c r="M22" i="2"/>
  <c r="M40" i="2" s="1"/>
  <c r="L40" i="2"/>
  <c r="N21" i="2"/>
  <c r="N39" i="2" s="1"/>
  <c r="M21" i="2"/>
  <c r="M39" i="2" s="1"/>
  <c r="L39" i="2"/>
  <c r="K40" i="2"/>
  <c r="J40" i="2"/>
  <c r="I40" i="2"/>
  <c r="H40" i="2"/>
  <c r="G40" i="2"/>
  <c r="K61" i="2"/>
  <c r="K53" i="2"/>
  <c r="K47" i="2"/>
  <c r="K46" i="2" s="1"/>
  <c r="K34" i="2"/>
  <c r="K32" i="2"/>
  <c r="M32" i="2" s="1"/>
  <c r="N32" i="2" s="1"/>
  <c r="K29" i="2"/>
  <c r="K39" i="2"/>
  <c r="K30" i="2"/>
  <c r="K23" i="2"/>
  <c r="K26" i="2" s="1"/>
  <c r="K43" i="2" s="1"/>
  <c r="L23" i="2" l="1"/>
  <c r="L43" i="2" s="1"/>
  <c r="M23" i="2"/>
  <c r="M26" i="2" s="1"/>
  <c r="M43" i="2" s="1"/>
  <c r="N23" i="2"/>
  <c r="N26" i="2" s="1"/>
  <c r="N43" i="2" s="1"/>
  <c r="K31" i="2"/>
  <c r="Z32" i="2"/>
  <c r="Z29" i="2"/>
  <c r="AA32" i="2"/>
  <c r="AA29" i="2"/>
  <c r="AA41" i="2"/>
  <c r="AB41" i="2"/>
  <c r="Z30" i="2"/>
  <c r="Z26" i="2"/>
  <c r="Z43" i="2" s="1"/>
  <c r="AA30" i="2"/>
  <c r="AA26" i="2"/>
  <c r="AA43" i="2" s="1"/>
  <c r="AB34" i="2"/>
  <c r="AB32" i="2"/>
  <c r="AB29" i="2"/>
  <c r="AC41" i="2"/>
  <c r="AB30" i="2"/>
  <c r="AB43" i="2"/>
  <c r="AD41" i="2"/>
  <c r="AC34" i="2"/>
  <c r="AC32" i="2"/>
  <c r="AC30" i="2"/>
  <c r="AC26" i="2"/>
  <c r="AC43" i="2" s="1"/>
  <c r="AD34" i="2"/>
  <c r="AD32" i="2"/>
  <c r="AD29" i="2"/>
  <c r="AD30" i="2"/>
  <c r="AD43" i="2"/>
  <c r="AD2" i="2"/>
  <c r="AC2" i="2" s="1"/>
  <c r="AB2" i="2" s="1"/>
  <c r="AA2" i="2" s="1"/>
  <c r="Z2" i="2" s="1"/>
  <c r="Y2" i="2" s="1"/>
  <c r="X2" i="2" s="1"/>
  <c r="W2" i="2" s="1"/>
  <c r="V2" i="2" s="1"/>
  <c r="U2" i="2" s="1"/>
  <c r="T2" i="2" s="1"/>
  <c r="S2" i="2" s="1"/>
  <c r="AF40" i="2"/>
  <c r="AE34" i="2"/>
  <c r="AE32" i="2"/>
  <c r="AE29" i="2"/>
  <c r="AE30" i="2"/>
  <c r="AE23" i="2"/>
  <c r="AE26" i="2" s="1"/>
  <c r="AE43" i="2" s="1"/>
  <c r="AG40" i="2"/>
  <c r="AF34" i="2"/>
  <c r="AF32" i="2"/>
  <c r="AF29" i="2"/>
  <c r="AF30" i="2"/>
  <c r="AF23" i="2"/>
  <c r="AF26" i="2" s="1"/>
  <c r="AF43" i="2" s="1"/>
  <c r="AH40" i="2"/>
  <c r="AG34" i="2"/>
  <c r="AG32" i="2"/>
  <c r="AG29" i="2"/>
  <c r="AG30" i="2" s="1"/>
  <c r="AG23" i="2"/>
  <c r="AG26" i="2" s="1"/>
  <c r="AG43" i="2" s="1"/>
  <c r="AI40" i="2"/>
  <c r="AH34" i="2"/>
  <c r="AH32" i="2"/>
  <c r="AH29" i="2"/>
  <c r="AH30" i="2" s="1"/>
  <c r="AH23" i="2"/>
  <c r="AH26" i="2" s="1"/>
  <c r="AH43" i="2" s="1"/>
  <c r="AI39" i="2"/>
  <c r="AI34" i="2"/>
  <c r="AI32" i="2"/>
  <c r="AI29" i="2"/>
  <c r="AI30" i="2" s="1"/>
  <c r="AI23" i="2"/>
  <c r="AI26" i="2" s="1"/>
  <c r="AI43" i="2" s="1"/>
  <c r="AF41" i="2" l="1"/>
  <c r="AE41" i="2"/>
  <c r="K33" i="2"/>
  <c r="K35" i="2" s="1"/>
  <c r="K36" i="2" s="1"/>
  <c r="K44" i="2"/>
  <c r="Z31" i="2"/>
  <c r="AA31" i="2"/>
  <c r="AB31" i="2"/>
  <c r="AC31" i="2"/>
  <c r="AD31" i="2"/>
  <c r="AE31" i="2"/>
  <c r="AI41" i="2"/>
  <c r="AH41" i="2"/>
  <c r="AG41" i="2"/>
  <c r="AI31" i="2"/>
  <c r="AF31" i="2"/>
  <c r="AG31" i="2"/>
  <c r="AH31" i="2"/>
  <c r="J12" i="2"/>
  <c r="I12" i="2"/>
  <c r="H12" i="2"/>
  <c r="J16" i="2"/>
  <c r="I16" i="2"/>
  <c r="H16" i="2"/>
  <c r="J15" i="2"/>
  <c r="I15" i="2"/>
  <c r="H15" i="2"/>
  <c r="J14" i="2"/>
  <c r="I14" i="2"/>
  <c r="H14" i="2"/>
  <c r="J13" i="2"/>
  <c r="I13" i="2"/>
  <c r="H13" i="2"/>
  <c r="AB33" i="2" l="1"/>
  <c r="AB35" i="2" s="1"/>
  <c r="AB36" i="2" s="1"/>
  <c r="AB44" i="2"/>
  <c r="AA33" i="2"/>
  <c r="AA35" i="2" s="1"/>
  <c r="AA36" i="2" s="1"/>
  <c r="AA44" i="2"/>
  <c r="AE33" i="2"/>
  <c r="AE35" i="2" s="1"/>
  <c r="AE36" i="2" s="1"/>
  <c r="AE44" i="2"/>
  <c r="AC33" i="2"/>
  <c r="AC35" i="2" s="1"/>
  <c r="AC36" i="2" s="1"/>
  <c r="AC44" i="2"/>
  <c r="Z33" i="2"/>
  <c r="Z35" i="2" s="1"/>
  <c r="Z36" i="2" s="1"/>
  <c r="Z44" i="2"/>
  <c r="AD33" i="2"/>
  <c r="AD35" i="2" s="1"/>
  <c r="AD36" i="2" s="1"/>
  <c r="AD44" i="2"/>
  <c r="AH33" i="2"/>
  <c r="AH35" i="2" s="1"/>
  <c r="AH36" i="2" s="1"/>
  <c r="AH44" i="2"/>
  <c r="AF33" i="2"/>
  <c r="AF35" i="2" s="1"/>
  <c r="AF36" i="2" s="1"/>
  <c r="AF44" i="2"/>
  <c r="AI33" i="2"/>
  <c r="AI35" i="2" s="1"/>
  <c r="AI36" i="2" s="1"/>
  <c r="AI44" i="2"/>
  <c r="AG33" i="2"/>
  <c r="AG35" i="2" s="1"/>
  <c r="AG36" i="2" s="1"/>
  <c r="AG44" i="2"/>
  <c r="I8" i="2"/>
  <c r="H8" i="2"/>
  <c r="G8" i="2"/>
  <c r="G9" i="2" s="1"/>
  <c r="F8" i="2"/>
  <c r="F9" i="2" s="1"/>
  <c r="F10" i="2" l="1"/>
  <c r="H9" i="2"/>
  <c r="G10" i="2"/>
  <c r="I9" i="2"/>
  <c r="E8" i="2"/>
  <c r="E9" i="2" s="1"/>
  <c r="E10" i="2" s="1"/>
  <c r="D8" i="2"/>
  <c r="C8" i="2"/>
  <c r="C9" i="2" s="1"/>
  <c r="J8" i="2"/>
  <c r="I10" i="2"/>
  <c r="AF39" i="2"/>
  <c r="AG39" i="2"/>
  <c r="AH39" i="2"/>
  <c r="I39" i="2"/>
  <c r="H39" i="2"/>
  <c r="G39" i="2"/>
  <c r="C34" i="2"/>
  <c r="C30" i="2"/>
  <c r="C23" i="2"/>
  <c r="C26" i="2" s="1"/>
  <c r="C31" i="2" s="1"/>
  <c r="C33" i="2" s="1"/>
  <c r="C35" i="2" s="1"/>
  <c r="C36" i="2" s="1"/>
  <c r="G34" i="2"/>
  <c r="G29" i="2"/>
  <c r="G30" i="2"/>
  <c r="G23" i="2"/>
  <c r="D34" i="2"/>
  <c r="D29" i="2"/>
  <c r="D30" i="2"/>
  <c r="D23" i="2"/>
  <c r="D26" i="2" s="1"/>
  <c r="D43" i="2" s="1"/>
  <c r="H34" i="2"/>
  <c r="H29" i="2"/>
  <c r="H23" i="2"/>
  <c r="E34" i="2"/>
  <c r="E29" i="2"/>
  <c r="E30" i="2" s="1"/>
  <c r="E23" i="2"/>
  <c r="E26" i="2" s="1"/>
  <c r="E43" i="2" s="1"/>
  <c r="I34" i="2"/>
  <c r="I32" i="2"/>
  <c r="I29" i="2"/>
  <c r="I23" i="2"/>
  <c r="H30" i="2" l="1"/>
  <c r="L30" i="2"/>
  <c r="L31" i="2" s="1"/>
  <c r="I30" i="2"/>
  <c r="M29" i="2"/>
  <c r="M30" i="2" s="1"/>
  <c r="M31" i="2" s="1"/>
  <c r="H26" i="2"/>
  <c r="H43" i="2" s="1"/>
  <c r="L41" i="2"/>
  <c r="I26" i="2"/>
  <c r="I43" i="2" s="1"/>
  <c r="M41" i="2"/>
  <c r="G26" i="2"/>
  <c r="G43" i="2" s="1"/>
  <c r="K41" i="2"/>
  <c r="I41" i="2"/>
  <c r="H41" i="2"/>
  <c r="G41" i="2"/>
  <c r="J17" i="2"/>
  <c r="J9" i="2"/>
  <c r="J18" i="2" s="1"/>
  <c r="D9" i="2"/>
  <c r="D10" i="2" s="1"/>
  <c r="I18" i="2"/>
  <c r="C44" i="2"/>
  <c r="I17" i="2"/>
  <c r="C43" i="2"/>
  <c r="H10" i="2"/>
  <c r="H17" i="2"/>
  <c r="D31" i="2"/>
  <c r="H31" i="2"/>
  <c r="E31" i="2"/>
  <c r="I31" i="2"/>
  <c r="K4" i="1"/>
  <c r="K7" i="1" s="1"/>
  <c r="F34" i="2"/>
  <c r="F32" i="2"/>
  <c r="F29" i="2"/>
  <c r="F30" i="2" s="1"/>
  <c r="F23" i="2"/>
  <c r="F26" i="2" s="1"/>
  <c r="J34" i="2"/>
  <c r="J32" i="2"/>
  <c r="J29" i="2"/>
  <c r="J23" i="2"/>
  <c r="AH2" i="2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M44" i="2" l="1"/>
  <c r="M33" i="2"/>
  <c r="M34" i="2" s="1"/>
  <c r="M35" i="2" s="1"/>
  <c r="M36" i="2" s="1"/>
  <c r="L44" i="2"/>
  <c r="L33" i="2"/>
  <c r="L35" i="2" s="1"/>
  <c r="L36" i="2" s="1"/>
  <c r="J30" i="2"/>
  <c r="N29" i="2"/>
  <c r="N30" i="2" s="1"/>
  <c r="N31" i="2" s="1"/>
  <c r="G31" i="2"/>
  <c r="G33" i="2" s="1"/>
  <c r="J41" i="2"/>
  <c r="N41" i="2"/>
  <c r="H18" i="2"/>
  <c r="I33" i="2"/>
  <c r="I44" i="2"/>
  <c r="J26" i="2"/>
  <c r="J43" i="2" s="1"/>
  <c r="J10" i="2"/>
  <c r="H33" i="2"/>
  <c r="H44" i="2"/>
  <c r="D33" i="2"/>
  <c r="D44" i="2"/>
  <c r="E33" i="2"/>
  <c r="E44" i="2"/>
  <c r="F31" i="2"/>
  <c r="F33" i="2" s="1"/>
  <c r="F35" i="2" s="1"/>
  <c r="F36" i="2" s="1"/>
  <c r="F43" i="2"/>
  <c r="N33" i="2" l="1"/>
  <c r="N34" i="2" s="1"/>
  <c r="N35" i="2" s="1"/>
  <c r="N36" i="2" s="1"/>
  <c r="N44" i="2"/>
  <c r="G44" i="2"/>
  <c r="J31" i="2"/>
  <c r="J33" i="2" s="1"/>
  <c r="G35" i="2"/>
  <c r="G36" i="2" s="1"/>
  <c r="H35" i="2"/>
  <c r="H36" i="2" s="1"/>
  <c r="I35" i="2"/>
  <c r="I36" i="2" s="1"/>
  <c r="E35" i="2"/>
  <c r="E36" i="2" s="1"/>
  <c r="D35" i="2"/>
  <c r="D36" i="2" s="1"/>
  <c r="F44" i="2"/>
  <c r="J44" i="2" l="1"/>
  <c r="J35" i="2"/>
  <c r="J36" i="2" s="1"/>
</calcChain>
</file>

<file path=xl/sharedStrings.xml><?xml version="1.0" encoding="utf-8"?>
<sst xmlns="http://schemas.openxmlformats.org/spreadsheetml/2006/main" count="80" uniqueCount="65">
  <si>
    <t>Price</t>
  </si>
  <si>
    <t>Shares</t>
  </si>
  <si>
    <t>MC</t>
  </si>
  <si>
    <t>Cash</t>
  </si>
  <si>
    <t>Debt</t>
  </si>
  <si>
    <t>EV</t>
  </si>
  <si>
    <t>Revenue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</si>
  <si>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</si>
  <si>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</si>
  <si>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</si>
  <si>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</si>
  <si>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</si>
  <si>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</si>
  <si>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</si>
  <si>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</si>
  <si>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</si>
  <si>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</si>
  <si>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</si>
  <si>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</si>
  <si>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Product Sales</t>
  </si>
  <si>
    <t>Services Sales</t>
  </si>
  <si>
    <t>COGS</t>
  </si>
  <si>
    <t>Gross Margin</t>
  </si>
  <si>
    <t>Fulfillment</t>
  </si>
  <si>
    <t>Marketing</t>
  </si>
  <si>
    <t>Technology and content</t>
  </si>
  <si>
    <t>G&amp;A</t>
  </si>
  <si>
    <t>Operating Costs</t>
  </si>
  <si>
    <t>Operating Income</t>
  </si>
  <si>
    <t>Interest Income</t>
  </si>
  <si>
    <t>Pretax Income</t>
  </si>
  <si>
    <t>Taxes</t>
  </si>
  <si>
    <t>Net Income</t>
  </si>
  <si>
    <t>EPS</t>
  </si>
  <si>
    <t>Operating Margin</t>
  </si>
  <si>
    <t>Revenue Growth</t>
  </si>
  <si>
    <t>Product Growth</t>
  </si>
  <si>
    <t>WMT</t>
  </si>
  <si>
    <t>EBAY</t>
  </si>
  <si>
    <t>AMZN</t>
  </si>
  <si>
    <t>TGT</t>
  </si>
  <si>
    <t>Market Share</t>
  </si>
  <si>
    <t>Total</t>
  </si>
  <si>
    <t>Commerce Growth</t>
  </si>
  <si>
    <t>HD</t>
  </si>
  <si>
    <t>COST</t>
  </si>
  <si>
    <t>Services Growth</t>
  </si>
  <si>
    <t>Inventories</t>
  </si>
  <si>
    <t>AR</t>
  </si>
  <si>
    <t>PP&amp;E</t>
  </si>
  <si>
    <t>Goodwill</t>
  </si>
  <si>
    <t>OA</t>
  </si>
  <si>
    <t>Assets</t>
  </si>
  <si>
    <t>AP</t>
  </si>
  <si>
    <t>AE</t>
  </si>
  <si>
    <t>DR</t>
  </si>
  <si>
    <t>OLTL</t>
  </si>
  <si>
    <t>S/E</t>
  </si>
  <si>
    <t>L+S/E</t>
  </si>
  <si>
    <t>Net Cash</t>
  </si>
  <si>
    <t>Gross Profit</t>
  </si>
  <si>
    <t>A/R</t>
  </si>
  <si>
    <t>Total WC</t>
  </si>
  <si>
    <t>NI</t>
  </si>
  <si>
    <t>Annual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</si>
</sst>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 applyFont="1" applyAlignment="1">
      <alignment horizontal="right"/>
    </xf>
    <xf numFmtId="9" fontId="0" fillId="0" borderId="0" xfId="0" applyNumberFormat="1" applyFont="1"/>
    <xf numFmtId="3" fontId="0" fillId="2" borderId="0" xfId="0" applyNumberFormat="1" applyFill="1"/>
    <xf numFmtId="3" fontId="1" fillId="0" borderId="0" xfId="0" applyNumberFormat="1" applyFont="1" applyFill="1"/>
    <xf numFmtId="3" fontId="0" fillId="0" borderId="0" xfId="0" applyNumberFormat="1" applyFont="1" applyFill="1"/>
    <xf numFmtId="3" fontId="0" fillId="0" borderId="0" xfId="0" applyNumberFormat="1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0</xdr:row>
      <xdr:rowOff>0</xdr:rowOff>
    </xdr:from>
    <xdr:to>
      <xdr:col>12</xdr:col>
      <xdr:colOff>66675</xdr:colOff>
      <xdr:row>68</xdr:row>
      <xdr:rowOff>95250</xdr:rowOff>
    </xdr:to>
    <xdr:cxnSp macro="">
      <xdr:nvCxnSpPr>
        <xdr:cNvPr id="3" name="Straight Connector 2"/>
        <xdr:cNvCxnSpPr/>
      </xdr:nvCxnSpPr>
      <xdr:spPr>
        <a:xfrm>
          <a:off x="8172450" y="0"/>
          <a:ext cx="0" cy="11106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66675</xdr:colOff>
      <xdr:row>0</xdr:row>
      <xdr:rowOff>0</xdr:rowOff>
    </xdr:from>
    <xdr:to>
      <xdr:col>35</xdr:col>
      <xdr:colOff>66675</xdr:colOff>
      <xdr:row>56</xdr:row>
      <xdr:rowOff>85725</xdr:rowOff>
    </xdr:to>
    <xdr:cxnSp macro="">
      <xdr:nvCxnSpPr>
        <xdr:cNvPr id="4" name="Straight Connector 3"/>
        <xdr:cNvCxnSpPr/>
      </xdr:nvCxnSpPr>
      <xdr:spPr>
        <a:xfrm>
          <a:off x="13049250" y="0"/>
          <a:ext cx="0" cy="8020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O9"/>
  <sheetViews>
    <sheetView topLeftCell="D1" workbookViewId="0">
      <selection activeCell="O14" sqref="O14"/>
    </sheetView>
  </sheetViews>
  <sheetFormatPr defaultRowHeight="12.75" x14ac:dyDescent="0.2"/>
  <cols>
    <col min="14" max="14" width="14" customWidth="1"/>
  </cols>
  <sheetData>
    <row r="1" spans="10:15" x14ac:dyDescent="0.2">
      <c r="L1" s="2"/>
    </row>
    <row r="2" spans="10:15" x14ac:dyDescent="0.2">
      <c r="J2" t="s">
        <v>0</v>
      </c>
      <c r="K2" s="1">
        <v>834.03</v>
      </c>
      <c r="L2" s="2"/>
      <c r="N2" t="s">
        <v>47</v>
      </c>
      <c r="O2">
        <v>9588</v>
      </c>
    </row>
    <row r="3" spans="10:15" x14ac:dyDescent="0.2">
      <c r="J3" t="s">
        <v>1</v>
      </c>
      <c r="K3" s="3">
        <v>474</v>
      </c>
      <c r="L3" s="2" t="s">
        <v>15</v>
      </c>
      <c r="N3" t="s">
        <v>61</v>
      </c>
      <c r="O3" s="4">
        <v>6092</v>
      </c>
    </row>
    <row r="4" spans="10:15" x14ac:dyDescent="0.2">
      <c r="J4" t="s">
        <v>2</v>
      </c>
      <c r="K4" s="3">
        <f>+K3*K2</f>
        <v>395330.22</v>
      </c>
      <c r="L4" s="2"/>
      <c r="N4" t="s">
        <v>49</v>
      </c>
      <c r="O4" s="4">
        <v>25190</v>
      </c>
    </row>
    <row r="5" spans="10:15" x14ac:dyDescent="0.2">
      <c r="J5" t="s">
        <v>3</v>
      </c>
      <c r="K5" s="3">
        <f>12521+4019</f>
        <v>16540</v>
      </c>
      <c r="L5" s="2" t="s">
        <v>15</v>
      </c>
      <c r="N5" t="s">
        <v>51</v>
      </c>
      <c r="O5" s="4">
        <v>3892</v>
      </c>
    </row>
    <row r="6" spans="10:15" x14ac:dyDescent="0.2">
      <c r="J6" t="s">
        <v>4</v>
      </c>
      <c r="K6" s="3">
        <v>8212</v>
      </c>
      <c r="L6" s="2" t="s">
        <v>15</v>
      </c>
      <c r="N6" t="s">
        <v>62</v>
      </c>
      <c r="O6" s="3">
        <f>SUM(O2:O5)</f>
        <v>44762</v>
      </c>
    </row>
    <row r="7" spans="10:15" x14ac:dyDescent="0.2">
      <c r="J7" t="s">
        <v>5</v>
      </c>
      <c r="K7" s="3">
        <f>+K4-K5+K6</f>
        <v>387002.22</v>
      </c>
      <c r="L7" s="2"/>
      <c r="N7" t="s">
        <v>63</v>
      </c>
      <c r="O7" s="4">
        <v>596</v>
      </c>
    </row>
    <row r="8" spans="10:15" x14ac:dyDescent="0.2">
      <c r="L8" s="2"/>
      <c r="N8" t="s">
        <v>64</v>
      </c>
      <c r="O8" s="22">
        <f>O7/O6</f>
        <v>1.3314865287520666E-2</v>
      </c>
    </row>
    <row r="9" spans="10:15" x14ac:dyDescent="0.2">
      <c r="K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61"/>
  <sheetViews>
    <sheetView tabSelected="1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AI26" sqref="AI26"/>
    </sheetView>
  </sheetViews>
  <sheetFormatPr defaultRowHeight="12.75" x14ac:dyDescent="0.2"/>
  <cols>
    <col min="2" max="2" width="21" bestFit="1" customWidth="1"/>
    <col min="3" max="12" width="9.140625" style="2"/>
    <col min="13" max="13" width="9.140625" style="2" customWidth="1"/>
    <col min="14" max="14" width="9.140625" style="2"/>
  </cols>
  <sheetData>
    <row r="2" spans="2:52" x14ac:dyDescent="0.2"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P2">
        <f t="shared" ref="P2" si="0">+Q2-1</f>
        <v>1996</v>
      </c>
      <c r="Q2">
        <f t="shared" ref="Q2" si="1">+R2-1</f>
        <v>1997</v>
      </c>
      <c r="R2">
        <f t="shared" ref="R2" si="2">+S2-1</f>
        <v>1998</v>
      </c>
      <c r="S2">
        <f t="shared" ref="S2:T2" si="3">+T2-1</f>
        <v>1999</v>
      </c>
      <c r="T2">
        <f t="shared" si="3"/>
        <v>2000</v>
      </c>
      <c r="U2">
        <f t="shared" ref="U2" si="4">+V2-1</f>
        <v>2001</v>
      </c>
      <c r="V2">
        <f t="shared" ref="V2" si="5">+W2-1</f>
        <v>2002</v>
      </c>
      <c r="W2">
        <f t="shared" ref="W2" si="6">+X2-1</f>
        <v>2003</v>
      </c>
      <c r="X2">
        <f t="shared" ref="X2:Z2" si="7">+Y2-1</f>
        <v>2004</v>
      </c>
      <c r="Y2">
        <f t="shared" si="7"/>
        <v>2005</v>
      </c>
      <c r="Z2">
        <f t="shared" si="7"/>
        <v>2006</v>
      </c>
      <c r="AA2">
        <f t="shared" ref="AA2:AC2" si="8">+AB2-1</f>
        <v>2007</v>
      </c>
      <c r="AB2">
        <f t="shared" si="8"/>
        <v>2008</v>
      </c>
      <c r="AC2">
        <f t="shared" si="8"/>
        <v>2009</v>
      </c>
      <c r="AD2">
        <f>+AE2-1</f>
        <v>2010</v>
      </c>
      <c r="AE2">
        <v>2011</v>
      </c>
      <c r="AF2">
        <v>2012</v>
      </c>
      <c r="AG2">
        <v>2013</v>
      </c>
      <c r="AH2">
        <f>+AG2+1</f>
        <v>2014</v>
      </c>
      <c r="AI2">
        <f t="shared" ref="AI2:AZ2" si="9">+AH2+1</f>
        <v>2015</v>
      </c>
      <c r="AJ2">
        <f t="shared" si="9"/>
        <v>2016</v>
      </c>
      <c r="AK2">
        <f t="shared" si="9"/>
        <v>2017</v>
      </c>
      <c r="AL2">
        <f t="shared" si="9"/>
        <v>2018</v>
      </c>
      <c r="AM2">
        <f t="shared" si="9"/>
        <v>2019</v>
      </c>
      <c r="AN2">
        <f t="shared" si="9"/>
        <v>2020</v>
      </c>
      <c r="AO2">
        <f t="shared" si="9"/>
        <v>2021</v>
      </c>
      <c r="AP2">
        <f t="shared" si="9"/>
        <v>2022</v>
      </c>
      <c r="AQ2">
        <f t="shared" si="9"/>
        <v>2023</v>
      </c>
      <c r="AR2">
        <f t="shared" si="9"/>
        <v>2024</v>
      </c>
      <c r="AS2">
        <f t="shared" si="9"/>
        <v>2025</v>
      </c>
      <c r="AT2">
        <f t="shared" si="9"/>
        <v>2026</v>
      </c>
      <c r="AU2">
        <f t="shared" si="9"/>
        <v>2027</v>
      </c>
      <c r="AV2">
        <f t="shared" si="9"/>
        <v>2028</v>
      </c>
      <c r="AW2">
        <f t="shared" si="9"/>
        <v>2029</v>
      </c>
      <c r="AX2">
        <f t="shared" si="9"/>
        <v>2030</v>
      </c>
      <c r="AY2">
        <f t="shared" si="9"/>
        <v>2031</v>
      </c>
      <c r="AZ2">
        <f t="shared" si="9"/>
        <v>2032</v>
      </c>
    </row>
    <row r="3" spans="2:52" x14ac:dyDescent="0.2">
      <c r="B3" t="s">
        <v>45</v>
      </c>
      <c r="C3" s="4">
        <v>25233</v>
      </c>
      <c r="D3" s="4">
        <v>34755</v>
      </c>
      <c r="E3" s="4">
        <v>26284</v>
      </c>
      <c r="F3" s="4">
        <v>26872</v>
      </c>
      <c r="G3" s="4">
        <v>25517</v>
      </c>
      <c r="H3" s="4">
        <v>34993</v>
      </c>
      <c r="I3" s="4">
        <v>26627</v>
      </c>
      <c r="J3" s="4">
        <v>27567</v>
      </c>
      <c r="K3" s="4">
        <v>26151</v>
      </c>
    </row>
    <row r="4" spans="2:52" x14ac:dyDescent="0.2">
      <c r="B4" s="3" t="s">
        <v>44</v>
      </c>
      <c r="C4" s="4">
        <v>19687</v>
      </c>
      <c r="D4" s="4">
        <v>23811</v>
      </c>
      <c r="E4" s="4">
        <v>20516</v>
      </c>
      <c r="F4" s="4">
        <v>19162</v>
      </c>
      <c r="G4" s="4">
        <v>20891</v>
      </c>
      <c r="H4" s="4">
        <v>24829</v>
      </c>
      <c r="I4" s="4">
        <v>21819</v>
      </c>
      <c r="J4" s="4">
        <v>20980</v>
      </c>
      <c r="K4" s="4">
        <v>26472</v>
      </c>
    </row>
    <row r="5" spans="2:52" x14ac:dyDescent="0.2">
      <c r="B5" s="3" t="s">
        <v>40</v>
      </c>
      <c r="C5" s="8">
        <v>16657</v>
      </c>
      <c r="D5" s="8">
        <v>16957</v>
      </c>
      <c r="E5" s="8">
        <v>17254</v>
      </c>
      <c r="F5" s="8">
        <v>21751</v>
      </c>
      <c r="G5" s="8">
        <v>17119</v>
      </c>
      <c r="H5" s="8">
        <v>17427</v>
      </c>
      <c r="I5" s="8">
        <v>17613</v>
      </c>
      <c r="J5" s="8">
        <v>21626</v>
      </c>
      <c r="K5" s="4">
        <v>16169</v>
      </c>
    </row>
    <row r="6" spans="2:52" x14ac:dyDescent="0.2">
      <c r="B6" s="3" t="s">
        <v>37</v>
      </c>
      <c r="C6" s="4">
        <v>114167</v>
      </c>
      <c r="D6" s="4">
        <v>119336</v>
      </c>
      <c r="E6" s="4">
        <v>118076</v>
      </c>
      <c r="F6" s="4">
        <v>130650</v>
      </c>
      <c r="G6" s="4">
        <v>114002</v>
      </c>
      <c r="H6" s="4">
        <v>119330</v>
      </c>
      <c r="I6" s="4">
        <v>116598</v>
      </c>
      <c r="J6" s="4">
        <v>128684</v>
      </c>
      <c r="K6" s="4">
        <v>119405</v>
      </c>
    </row>
    <row r="7" spans="2:52" x14ac:dyDescent="0.2">
      <c r="B7" s="3" t="s">
        <v>38</v>
      </c>
      <c r="C7" s="4"/>
      <c r="D7" s="4">
        <v>20485</v>
      </c>
      <c r="E7" s="4">
        <v>20034</v>
      </c>
      <c r="F7" s="8">
        <v>21794</v>
      </c>
      <c r="G7" s="8">
        <v>20151</v>
      </c>
      <c r="H7" s="8">
        <v>20061</v>
      </c>
      <c r="I7" s="8">
        <v>19601</v>
      </c>
      <c r="J7" s="8">
        <v>21860</v>
      </c>
      <c r="K7" s="4">
        <v>22300</v>
      </c>
    </row>
    <row r="8" spans="2:52" x14ac:dyDescent="0.2">
      <c r="B8" s="3" t="s">
        <v>39</v>
      </c>
      <c r="C8" s="4">
        <f t="shared" ref="C8:K8" si="10">+C21</f>
        <v>15705</v>
      </c>
      <c r="D8" s="4">
        <f t="shared" si="10"/>
        <v>15251</v>
      </c>
      <c r="E8" s="4">
        <f t="shared" si="10"/>
        <v>16022</v>
      </c>
      <c r="F8" s="4">
        <f t="shared" si="10"/>
        <v>23102</v>
      </c>
      <c r="G8" s="4">
        <f t="shared" si="10"/>
        <v>17084</v>
      </c>
      <c r="H8" s="4">
        <f t="shared" si="10"/>
        <v>17104</v>
      </c>
      <c r="I8" s="4">
        <f t="shared" si="10"/>
        <v>18463</v>
      </c>
      <c r="J8" s="4">
        <f t="shared" si="10"/>
        <v>26618</v>
      </c>
      <c r="K8" s="4">
        <f t="shared" si="10"/>
        <v>20581</v>
      </c>
    </row>
    <row r="9" spans="2:52" s="13" customFormat="1" x14ac:dyDescent="0.2">
      <c r="B9" s="5" t="s">
        <v>42</v>
      </c>
      <c r="C9" s="6">
        <f>SUM(C3:C8)</f>
        <v>191449</v>
      </c>
      <c r="D9" s="6">
        <f t="shared" ref="D9:K9" si="11">SUM(D3:D8)</f>
        <v>230595</v>
      </c>
      <c r="E9" s="6">
        <f t="shared" si="11"/>
        <v>218186</v>
      </c>
      <c r="F9" s="6">
        <f t="shared" si="11"/>
        <v>243331</v>
      </c>
      <c r="G9" s="6">
        <f t="shared" si="11"/>
        <v>214764</v>
      </c>
      <c r="H9" s="6">
        <f t="shared" si="11"/>
        <v>233744</v>
      </c>
      <c r="I9" s="6">
        <f t="shared" si="11"/>
        <v>220721</v>
      </c>
      <c r="J9" s="6">
        <f t="shared" si="11"/>
        <v>247335</v>
      </c>
      <c r="K9" s="6">
        <f t="shared" si="11"/>
        <v>231078</v>
      </c>
      <c r="L9" s="14"/>
      <c r="M9" s="14"/>
      <c r="N9" s="14"/>
    </row>
    <row r="10" spans="2:52" x14ac:dyDescent="0.2">
      <c r="B10" t="s">
        <v>41</v>
      </c>
      <c r="D10" s="15">
        <f>D8/D9</f>
        <v>6.613760055508576E-2</v>
      </c>
      <c r="E10" s="15">
        <f t="shared" ref="E10:H10" si="12">E8/E9</f>
        <v>7.3432759205448561E-2</v>
      </c>
      <c r="F10" s="15">
        <f t="shared" si="12"/>
        <v>9.4940636417061533E-2</v>
      </c>
      <c r="G10" s="15">
        <f t="shared" si="12"/>
        <v>7.9547782682386242E-2</v>
      </c>
      <c r="H10" s="15">
        <f t="shared" si="12"/>
        <v>7.3174070778287359E-2</v>
      </c>
      <c r="I10" s="15">
        <f>I8/I9</f>
        <v>8.364858803648044E-2</v>
      </c>
      <c r="J10" s="15">
        <f>J8/J9</f>
        <v>0.10761922089473791</v>
      </c>
      <c r="K10" s="15">
        <f>K8/K9</f>
        <v>8.9065164143709047E-2</v>
      </c>
    </row>
    <row r="11" spans="2:52" x14ac:dyDescent="0.2">
      <c r="H11" s="15"/>
      <c r="I11" s="15"/>
      <c r="J11" s="15"/>
    </row>
    <row r="12" spans="2:52" x14ac:dyDescent="0.2">
      <c r="B12" t="s">
        <v>45</v>
      </c>
      <c r="H12" s="15">
        <f t="shared" ref="H12" si="13">H3/D3-1</f>
        <v>6.8479355488419991E-3</v>
      </c>
      <c r="I12" s="15">
        <f t="shared" ref="I12" si="14">I3/E3-1</f>
        <v>1.3049764115050877E-2</v>
      </c>
      <c r="J12" s="15">
        <f t="shared" ref="J12:K12" si="15">J3/F3-1</f>
        <v>2.5863352188151278E-2</v>
      </c>
      <c r="K12" s="15">
        <f t="shared" si="15"/>
        <v>2.4846180977387666E-2</v>
      </c>
    </row>
    <row r="13" spans="2:52" x14ac:dyDescent="0.2">
      <c r="B13" s="3" t="s">
        <v>44</v>
      </c>
      <c r="H13" s="15">
        <f t="shared" ref="H13:K13" si="16">H4/D4-1</f>
        <v>4.2753349292343978E-2</v>
      </c>
      <c r="I13" s="15">
        <f t="shared" si="16"/>
        <v>6.3511405732111559E-2</v>
      </c>
      <c r="J13" s="15">
        <f t="shared" si="16"/>
        <v>9.4875273979751595E-2</v>
      </c>
      <c r="K13" s="15">
        <f t="shared" si="16"/>
        <v>0.26714853286104057</v>
      </c>
    </row>
    <row r="14" spans="2:52" x14ac:dyDescent="0.2">
      <c r="B14" s="3" t="s">
        <v>40</v>
      </c>
      <c r="H14" s="15">
        <f t="shared" ref="H14:K14" si="17">H5/D5-1</f>
        <v>2.7717166951701344E-2</v>
      </c>
      <c r="I14" s="15">
        <f t="shared" si="17"/>
        <v>2.0806769444766449E-2</v>
      </c>
      <c r="J14" s="15">
        <f t="shared" si="17"/>
        <v>-5.7468622132316183E-3</v>
      </c>
      <c r="K14" s="15">
        <f t="shared" si="17"/>
        <v>-5.5493895671476112E-2</v>
      </c>
    </row>
    <row r="15" spans="2:52" x14ac:dyDescent="0.2">
      <c r="B15" s="3" t="s">
        <v>37</v>
      </c>
      <c r="H15" s="15">
        <f t="shared" ref="H15:K15" si="18">H6/D6-1</f>
        <v>-5.0278206073617326E-5</v>
      </c>
      <c r="I15" s="15">
        <f t="shared" si="18"/>
        <v>-1.2517361699244556E-2</v>
      </c>
      <c r="J15" s="15">
        <f t="shared" si="18"/>
        <v>-1.5047837734404879E-2</v>
      </c>
      <c r="K15" s="15">
        <f t="shared" si="18"/>
        <v>4.7393905370081146E-2</v>
      </c>
    </row>
    <row r="16" spans="2:52" x14ac:dyDescent="0.2">
      <c r="B16" s="3" t="s">
        <v>38</v>
      </c>
      <c r="H16" s="15">
        <f t="shared" ref="H16:K16" si="19">H7/D7-1</f>
        <v>-2.0698071759824299E-2</v>
      </c>
      <c r="I16" s="15">
        <f t="shared" si="19"/>
        <v>-2.1613257462314017E-2</v>
      </c>
      <c r="J16" s="15">
        <f t="shared" si="19"/>
        <v>3.0283564283748454E-3</v>
      </c>
      <c r="K16" s="15">
        <f t="shared" si="19"/>
        <v>0.10664483152200877</v>
      </c>
    </row>
    <row r="17" spans="2:35" x14ac:dyDescent="0.2">
      <c r="B17" s="3" t="s">
        <v>39</v>
      </c>
      <c r="H17" s="15">
        <f t="shared" ref="H17:K17" si="20">H8/D8-1</f>
        <v>0.12150022949314798</v>
      </c>
      <c r="I17" s="15">
        <f t="shared" si="20"/>
        <v>0.15235301460491835</v>
      </c>
      <c r="J17" s="15">
        <f t="shared" si="20"/>
        <v>0.15219461518483257</v>
      </c>
      <c r="K17" s="15">
        <f t="shared" si="20"/>
        <v>0.20469445094825578</v>
      </c>
    </row>
    <row r="18" spans="2:35" x14ac:dyDescent="0.2">
      <c r="B18" t="s">
        <v>43</v>
      </c>
      <c r="H18" s="15">
        <f>H9/D9-1</f>
        <v>1.3655976929248359E-2</v>
      </c>
      <c r="I18" s="15">
        <f>I9/E9-1</f>
        <v>1.1618527311559879E-2</v>
      </c>
      <c r="J18" s="15">
        <f>J9/F9-1</f>
        <v>1.645495230776195E-2</v>
      </c>
      <c r="K18" s="15">
        <f>K9/G9-1</f>
        <v>7.5962451807565445E-2</v>
      </c>
    </row>
    <row r="19" spans="2:35" x14ac:dyDescent="0.2">
      <c r="H19" s="15"/>
      <c r="I19" s="15"/>
      <c r="J19" s="15"/>
    </row>
    <row r="20" spans="2:35" x14ac:dyDescent="0.2">
      <c r="H20" s="15"/>
      <c r="I20" s="15"/>
      <c r="J20" s="15"/>
    </row>
    <row r="21" spans="2:35" s="3" customFormat="1" x14ac:dyDescent="0.2">
      <c r="B21" s="3" t="s">
        <v>19</v>
      </c>
      <c r="C21" s="4">
        <v>15705</v>
      </c>
      <c r="D21" s="4">
        <v>15251</v>
      </c>
      <c r="E21" s="4">
        <v>16022</v>
      </c>
      <c r="F21" s="4">
        <v>23102</v>
      </c>
      <c r="G21" s="4">
        <v>17084</v>
      </c>
      <c r="H21" s="4">
        <v>17104</v>
      </c>
      <c r="I21" s="4">
        <v>18463</v>
      </c>
      <c r="J21" s="4">
        <v>26618</v>
      </c>
      <c r="K21" s="4">
        <v>20581</v>
      </c>
      <c r="L21" s="4">
        <v>21116</v>
      </c>
      <c r="M21" s="4">
        <f>+I21*1.15</f>
        <v>21232.449999999997</v>
      </c>
      <c r="N21" s="4">
        <f>+J21*1.15</f>
        <v>30610.699999999997</v>
      </c>
      <c r="AE21" s="3">
        <v>42000</v>
      </c>
      <c r="AF21" s="3">
        <v>51733</v>
      </c>
      <c r="AG21" s="3">
        <v>60903</v>
      </c>
      <c r="AH21" s="3">
        <v>70080</v>
      </c>
      <c r="AI21" s="3">
        <v>79268</v>
      </c>
    </row>
    <row r="22" spans="2:35" s="3" customFormat="1" x14ac:dyDescent="0.2">
      <c r="B22" s="3" t="s">
        <v>20</v>
      </c>
      <c r="C22" s="4">
        <v>4036</v>
      </c>
      <c r="D22" s="4">
        <v>4089</v>
      </c>
      <c r="E22" s="4">
        <v>4557</v>
      </c>
      <c r="F22" s="4">
        <v>6226</v>
      </c>
      <c r="G22" s="4">
        <v>5633</v>
      </c>
      <c r="H22" s="4">
        <v>6081</v>
      </c>
      <c r="I22" s="4">
        <v>6895</v>
      </c>
      <c r="J22" s="4">
        <v>9129</v>
      </c>
      <c r="K22" s="4">
        <v>8547</v>
      </c>
      <c r="L22" s="4">
        <v>9288</v>
      </c>
      <c r="M22" s="4">
        <f t="shared" ref="M22:N22" si="21">+I22*1.4</f>
        <v>9653</v>
      </c>
      <c r="N22" s="4">
        <f t="shared" si="21"/>
        <v>12780.599999999999</v>
      </c>
      <c r="Z22" s="21"/>
      <c r="AA22" s="21"/>
      <c r="AB22" s="21"/>
      <c r="AE22" s="3">
        <v>6077</v>
      </c>
      <c r="AF22" s="3">
        <v>9360</v>
      </c>
      <c r="AG22" s="3">
        <v>13549</v>
      </c>
      <c r="AH22" s="3">
        <v>18908</v>
      </c>
      <c r="AI22" s="3">
        <v>27738</v>
      </c>
    </row>
    <row r="23" spans="2:35" s="5" customFormat="1" x14ac:dyDescent="0.2">
      <c r="B23" s="5" t="s">
        <v>6</v>
      </c>
      <c r="C23" s="6">
        <f t="shared" ref="C23:J23" si="22">+C22+C21</f>
        <v>19741</v>
      </c>
      <c r="D23" s="6">
        <f t="shared" si="22"/>
        <v>19340</v>
      </c>
      <c r="E23" s="6">
        <f t="shared" si="22"/>
        <v>20579</v>
      </c>
      <c r="F23" s="6">
        <f t="shared" si="22"/>
        <v>29328</v>
      </c>
      <c r="G23" s="6">
        <f t="shared" si="22"/>
        <v>22717</v>
      </c>
      <c r="H23" s="6">
        <f t="shared" si="22"/>
        <v>23185</v>
      </c>
      <c r="I23" s="6">
        <f t="shared" si="22"/>
        <v>25358</v>
      </c>
      <c r="J23" s="6">
        <f t="shared" si="22"/>
        <v>35747</v>
      </c>
      <c r="K23" s="6">
        <f t="shared" ref="K23:N23" si="23">+K22+K21</f>
        <v>29128</v>
      </c>
      <c r="L23" s="6">
        <f t="shared" si="23"/>
        <v>30404</v>
      </c>
      <c r="M23" s="6">
        <f t="shared" si="23"/>
        <v>30885.449999999997</v>
      </c>
      <c r="N23" s="6">
        <f t="shared" si="23"/>
        <v>43391.299999999996</v>
      </c>
      <c r="P23" s="5">
        <v>15.746</v>
      </c>
      <c r="Q23" s="5">
        <v>147.78700000000001</v>
      </c>
      <c r="R23" s="5">
        <v>609.81899999999996</v>
      </c>
      <c r="S23" s="5">
        <v>1639.8389999999999</v>
      </c>
      <c r="T23" s="5">
        <v>2761.9830000000002</v>
      </c>
      <c r="U23" s="5">
        <v>3122.433</v>
      </c>
      <c r="V23" s="5">
        <v>3932.9360000000001</v>
      </c>
      <c r="W23" s="5">
        <v>5263.6989999999996</v>
      </c>
      <c r="X23" s="5">
        <v>6921</v>
      </c>
      <c r="Y23" s="5">
        <v>8490</v>
      </c>
      <c r="Z23" s="19">
        <v>10711</v>
      </c>
      <c r="AA23" s="19">
        <v>14835</v>
      </c>
      <c r="AB23" s="19">
        <v>19166</v>
      </c>
      <c r="AC23" s="5">
        <v>24509</v>
      </c>
      <c r="AD23" s="5">
        <v>34204</v>
      </c>
      <c r="AE23" s="5">
        <f>+AE22+AE21</f>
        <v>48077</v>
      </c>
      <c r="AF23" s="5">
        <f>+AF22+AF21</f>
        <v>61093</v>
      </c>
      <c r="AG23" s="5">
        <f>+AG22+AG21</f>
        <v>74452</v>
      </c>
      <c r="AH23" s="5">
        <f>+AH22+AH21</f>
        <v>88988</v>
      </c>
      <c r="AI23" s="5">
        <f>+AI22+AI21</f>
        <v>107006</v>
      </c>
    </row>
    <row r="24" spans="2:35" s="7" customFormat="1" x14ac:dyDescent="0.2">
      <c r="B24" s="7" t="s">
        <v>21</v>
      </c>
      <c r="C24" s="8">
        <v>14055</v>
      </c>
      <c r="D24" s="8">
        <v>13399</v>
      </c>
      <c r="E24" s="8">
        <v>14627</v>
      </c>
      <c r="F24" s="8">
        <v>20671</v>
      </c>
      <c r="G24" s="8">
        <v>15395</v>
      </c>
      <c r="H24" s="8">
        <v>15160</v>
      </c>
      <c r="I24" s="8">
        <v>16755</v>
      </c>
      <c r="J24" s="8">
        <v>24341</v>
      </c>
      <c r="K24" s="8">
        <v>18866</v>
      </c>
      <c r="L24" s="8">
        <v>19180</v>
      </c>
      <c r="M24" s="8"/>
      <c r="N24" s="8"/>
      <c r="P24" s="7">
        <f>+P23-3.459</f>
        <v>12.287000000000001</v>
      </c>
      <c r="Q24" s="7">
        <f>+Q23-28.818</f>
        <v>118.96900000000001</v>
      </c>
      <c r="R24" s="7">
        <f>+R23-133.664</f>
        <v>476.15499999999997</v>
      </c>
      <c r="S24" s="7">
        <f>+S23-290.645</f>
        <v>1349.194</v>
      </c>
      <c r="T24" s="7">
        <f>+T23-655.777</f>
        <v>2106.2060000000001</v>
      </c>
      <c r="U24" s="7">
        <v>2323.875</v>
      </c>
      <c r="V24" s="7">
        <v>2940.3180000000002</v>
      </c>
      <c r="W24" s="7">
        <v>4006.5309999999999</v>
      </c>
      <c r="X24" s="7">
        <v>5319</v>
      </c>
      <c r="Y24" s="7">
        <v>6451</v>
      </c>
      <c r="Z24" s="20">
        <v>8255</v>
      </c>
      <c r="AA24" s="20">
        <v>11482</v>
      </c>
      <c r="AB24" s="20">
        <v>14896</v>
      </c>
      <c r="AC24" s="7">
        <v>18978</v>
      </c>
      <c r="AD24" s="7">
        <v>26561</v>
      </c>
      <c r="AE24" s="7">
        <v>37288</v>
      </c>
      <c r="AF24" s="7">
        <v>45971</v>
      </c>
      <c r="AG24" s="7">
        <v>54181</v>
      </c>
      <c r="AH24" s="7">
        <v>62752</v>
      </c>
      <c r="AI24" s="7">
        <v>71651</v>
      </c>
    </row>
    <row r="25" spans="2:35" s="3" customFormat="1" x14ac:dyDescent="0.2">
      <c r="B25" s="3" t="s">
        <v>23</v>
      </c>
      <c r="C25" s="4">
        <v>2317</v>
      </c>
      <c r="D25" s="4">
        <v>2382</v>
      </c>
      <c r="E25" s="4">
        <v>2643</v>
      </c>
      <c r="F25" s="4">
        <v>3424</v>
      </c>
      <c r="G25" s="4">
        <v>2759</v>
      </c>
      <c r="H25" s="4">
        <v>3230</v>
      </c>
      <c r="I25" s="4">
        <v>3230</v>
      </c>
      <c r="J25" s="4">
        <v>4546</v>
      </c>
      <c r="K25" s="4">
        <v>3687</v>
      </c>
      <c r="L25" s="4">
        <v>3878</v>
      </c>
      <c r="M25" s="4"/>
      <c r="N25" s="4"/>
      <c r="Z25" s="18"/>
      <c r="AA25" s="18"/>
      <c r="AB25" s="21">
        <v>1658</v>
      </c>
      <c r="AC25" s="3">
        <v>2052</v>
      </c>
      <c r="AD25" s="3">
        <v>2898</v>
      </c>
      <c r="AE25" s="3">
        <v>4576</v>
      </c>
      <c r="AF25" s="3">
        <v>6419</v>
      </c>
      <c r="AG25" s="3">
        <v>8585</v>
      </c>
      <c r="AH25" s="3">
        <v>10766</v>
      </c>
      <c r="AI25" s="3">
        <v>13410</v>
      </c>
    </row>
    <row r="26" spans="2:35" s="5" customFormat="1" x14ac:dyDescent="0.2">
      <c r="B26" s="5" t="s">
        <v>60</v>
      </c>
      <c r="C26" s="6">
        <f t="shared" ref="C26:J26" si="24">C23-C24-C25</f>
        <v>3369</v>
      </c>
      <c r="D26" s="6">
        <f t="shared" si="24"/>
        <v>3559</v>
      </c>
      <c r="E26" s="6">
        <f t="shared" si="24"/>
        <v>3309</v>
      </c>
      <c r="F26" s="6">
        <f t="shared" si="24"/>
        <v>5233</v>
      </c>
      <c r="G26" s="6">
        <f t="shared" si="24"/>
        <v>4563</v>
      </c>
      <c r="H26" s="6">
        <f t="shared" si="24"/>
        <v>4795</v>
      </c>
      <c r="I26" s="6">
        <f t="shared" si="24"/>
        <v>5373</v>
      </c>
      <c r="J26" s="6">
        <f t="shared" si="24"/>
        <v>6860</v>
      </c>
      <c r="K26" s="6">
        <f t="shared" ref="K26:L26" si="25">K23-K24-K25</f>
        <v>6575</v>
      </c>
      <c r="L26" s="6">
        <f t="shared" si="25"/>
        <v>7346</v>
      </c>
      <c r="M26" s="6">
        <f t="shared" ref="M26:N26" si="26">+M23*0.23</f>
        <v>7103.6534999999994</v>
      </c>
      <c r="N26" s="6">
        <f t="shared" si="26"/>
        <v>9979.9989999999998</v>
      </c>
      <c r="P26" s="5">
        <f t="shared" ref="P26:Y26" si="27">+P23-P24</f>
        <v>3.4589999999999996</v>
      </c>
      <c r="Q26" s="5">
        <f t="shared" si="27"/>
        <v>28.817999999999998</v>
      </c>
      <c r="R26" s="5">
        <f t="shared" si="27"/>
        <v>133.66399999999999</v>
      </c>
      <c r="S26" s="5">
        <f t="shared" si="27"/>
        <v>290.64499999999998</v>
      </c>
      <c r="T26" s="5">
        <f t="shared" si="27"/>
        <v>655.77700000000004</v>
      </c>
      <c r="U26" s="5">
        <f t="shared" si="27"/>
        <v>798.55799999999999</v>
      </c>
      <c r="V26" s="5">
        <f t="shared" si="27"/>
        <v>992.61799999999994</v>
      </c>
      <c r="W26" s="5">
        <f t="shared" si="27"/>
        <v>1257.1679999999997</v>
      </c>
      <c r="X26" s="5">
        <f t="shared" si="27"/>
        <v>1602</v>
      </c>
      <c r="Y26" s="5">
        <f t="shared" si="27"/>
        <v>2039</v>
      </c>
      <c r="Z26" s="6">
        <f t="shared" ref="Z26:AI26" si="28">Z23-Z24-Z25</f>
        <v>2456</v>
      </c>
      <c r="AA26" s="6">
        <f t="shared" si="28"/>
        <v>3353</v>
      </c>
      <c r="AB26" s="6">
        <f>AB23-AB24-AB25</f>
        <v>2612</v>
      </c>
      <c r="AC26" s="6">
        <f t="shared" si="28"/>
        <v>3479</v>
      </c>
      <c r="AD26" s="6">
        <f>AD23-AD24-AD25</f>
        <v>4745</v>
      </c>
      <c r="AE26" s="6">
        <f t="shared" si="28"/>
        <v>6213</v>
      </c>
      <c r="AF26" s="6">
        <f t="shared" si="28"/>
        <v>8703</v>
      </c>
      <c r="AG26" s="6">
        <f t="shared" si="28"/>
        <v>11686</v>
      </c>
      <c r="AH26" s="6">
        <f t="shared" si="28"/>
        <v>15470</v>
      </c>
      <c r="AI26" s="6">
        <f t="shared" si="28"/>
        <v>21945</v>
      </c>
    </row>
    <row r="27" spans="2:35" s="3" customFormat="1" x14ac:dyDescent="0.2">
      <c r="B27" s="3" t="s">
        <v>24</v>
      </c>
      <c r="C27" s="4">
        <v>870</v>
      </c>
      <c r="D27" s="4">
        <v>943</v>
      </c>
      <c r="E27" s="4">
        <v>993</v>
      </c>
      <c r="F27" s="4">
        <v>1526</v>
      </c>
      <c r="G27" s="4">
        <v>1083</v>
      </c>
      <c r="H27" s="4">
        <v>1150</v>
      </c>
      <c r="I27" s="4">
        <v>1264</v>
      </c>
      <c r="J27" s="4">
        <v>1755</v>
      </c>
      <c r="K27" s="4">
        <v>1436</v>
      </c>
      <c r="L27" s="4">
        <v>1546</v>
      </c>
      <c r="M27" s="4">
        <f t="shared" ref="M27:M28" si="29">+I27*1.2</f>
        <v>1516.8</v>
      </c>
      <c r="N27" s="4">
        <f t="shared" ref="N27:N28" si="30">+J27*1.2</f>
        <v>2106</v>
      </c>
      <c r="Z27" s="3">
        <v>263</v>
      </c>
      <c r="AA27" s="3">
        <v>344</v>
      </c>
      <c r="AB27" s="3">
        <v>482</v>
      </c>
      <c r="AC27" s="3">
        <v>680</v>
      </c>
      <c r="AD27" s="3">
        <v>1029</v>
      </c>
      <c r="AE27" s="3">
        <v>1630</v>
      </c>
      <c r="AF27" s="3">
        <v>2408</v>
      </c>
      <c r="AG27" s="3">
        <v>3133</v>
      </c>
      <c r="AH27" s="3">
        <v>4332</v>
      </c>
      <c r="AI27" s="3">
        <v>5254</v>
      </c>
    </row>
    <row r="28" spans="2:35" s="3" customFormat="1" x14ac:dyDescent="0.2">
      <c r="B28" s="3" t="s">
        <v>25</v>
      </c>
      <c r="C28" s="4">
        <v>1991</v>
      </c>
      <c r="D28" s="4">
        <v>2226</v>
      </c>
      <c r="E28" s="4">
        <v>2423</v>
      </c>
      <c r="F28" s="4">
        <v>2635</v>
      </c>
      <c r="G28" s="4">
        <v>2754</v>
      </c>
      <c r="H28" s="4">
        <v>3020</v>
      </c>
      <c r="I28" s="4">
        <v>3197</v>
      </c>
      <c r="J28" s="4">
        <v>3571</v>
      </c>
      <c r="K28" s="4">
        <v>3526</v>
      </c>
      <c r="L28" s="4">
        <v>3880</v>
      </c>
      <c r="M28" s="4">
        <f t="shared" si="29"/>
        <v>3836.3999999999996</v>
      </c>
      <c r="N28" s="4">
        <f t="shared" si="30"/>
        <v>4285.2</v>
      </c>
      <c r="Z28" s="3">
        <v>662</v>
      </c>
      <c r="AA28" s="3">
        <v>818</v>
      </c>
      <c r="AB28" s="3">
        <v>1033</v>
      </c>
      <c r="AC28" s="3">
        <v>1240</v>
      </c>
      <c r="AD28" s="3">
        <v>1734</v>
      </c>
      <c r="AE28" s="3">
        <v>2909</v>
      </c>
      <c r="AF28" s="3">
        <v>4564</v>
      </c>
      <c r="AG28" s="3">
        <v>6565</v>
      </c>
      <c r="AH28" s="3">
        <v>9275</v>
      </c>
      <c r="AI28" s="3">
        <v>12540</v>
      </c>
    </row>
    <row r="29" spans="2:35" s="3" customFormat="1" x14ac:dyDescent="0.2">
      <c r="B29" s="3" t="s">
        <v>26</v>
      </c>
      <c r="C29" s="4">
        <v>327</v>
      </c>
      <c r="D29" s="4">
        <f>377+28</f>
        <v>405</v>
      </c>
      <c r="E29" s="4">
        <f>406+31</f>
        <v>437</v>
      </c>
      <c r="F29" s="4">
        <f>442+39</f>
        <v>481</v>
      </c>
      <c r="G29" s="4">
        <f>427+44</f>
        <v>471</v>
      </c>
      <c r="H29" s="4">
        <f>467+48</f>
        <v>515</v>
      </c>
      <c r="I29" s="4">
        <f>463+43</f>
        <v>506</v>
      </c>
      <c r="J29" s="4">
        <f>390+36</f>
        <v>426</v>
      </c>
      <c r="K29" s="4">
        <f>497+45</f>
        <v>542</v>
      </c>
      <c r="L29" s="4">
        <v>580</v>
      </c>
      <c r="M29" s="4">
        <f t="shared" ref="M29:N29" si="31">+I29*1.1</f>
        <v>556.6</v>
      </c>
      <c r="N29" s="4">
        <f t="shared" si="31"/>
        <v>468.6</v>
      </c>
      <c r="Z29" s="3">
        <f>195+10</f>
        <v>205</v>
      </c>
      <c r="AA29" s="3">
        <f>235+9</f>
        <v>244</v>
      </c>
      <c r="AB29" s="3">
        <f>279-24</f>
        <v>255</v>
      </c>
      <c r="AC29" s="3">
        <f>328+102</f>
        <v>430</v>
      </c>
      <c r="AD29" s="3">
        <f>470+106</f>
        <v>576</v>
      </c>
      <c r="AE29" s="3">
        <f>658+154</f>
        <v>812</v>
      </c>
      <c r="AF29" s="3">
        <f>896+159</f>
        <v>1055</v>
      </c>
      <c r="AG29" s="3">
        <f>1129+114</f>
        <v>1243</v>
      </c>
      <c r="AH29" s="3">
        <f>1552+133</f>
        <v>1685</v>
      </c>
      <c r="AI29" s="3">
        <f>1747+171</f>
        <v>1918</v>
      </c>
    </row>
    <row r="30" spans="2:35" s="3" customFormat="1" x14ac:dyDescent="0.2">
      <c r="B30" s="3" t="s">
        <v>27</v>
      </c>
      <c r="C30" s="4">
        <f t="shared" ref="C30:J30" si="32">SUM(C27:C29)</f>
        <v>3188</v>
      </c>
      <c r="D30" s="4">
        <f t="shared" si="32"/>
        <v>3574</v>
      </c>
      <c r="E30" s="4">
        <f t="shared" si="32"/>
        <v>3853</v>
      </c>
      <c r="F30" s="4">
        <f t="shared" si="32"/>
        <v>4642</v>
      </c>
      <c r="G30" s="4">
        <f t="shared" si="32"/>
        <v>4308</v>
      </c>
      <c r="H30" s="4">
        <f t="shared" si="32"/>
        <v>4685</v>
      </c>
      <c r="I30" s="4">
        <f t="shared" si="32"/>
        <v>4967</v>
      </c>
      <c r="J30" s="4">
        <f t="shared" si="32"/>
        <v>5752</v>
      </c>
      <c r="K30" s="4">
        <f t="shared" ref="K30:N30" si="33">SUM(K27:K29)</f>
        <v>5504</v>
      </c>
      <c r="L30" s="4">
        <f t="shared" si="33"/>
        <v>6006</v>
      </c>
      <c r="M30" s="4">
        <f t="shared" si="33"/>
        <v>5909.8</v>
      </c>
      <c r="N30" s="4">
        <f t="shared" si="33"/>
        <v>6859.8</v>
      </c>
      <c r="W30" s="4"/>
      <c r="Z30" s="4">
        <f t="shared" ref="Z30:AI30" si="34">SUM(Z27:Z29)</f>
        <v>1130</v>
      </c>
      <c r="AA30" s="4">
        <f t="shared" si="34"/>
        <v>1406</v>
      </c>
      <c r="AB30" s="4">
        <f t="shared" si="34"/>
        <v>1770</v>
      </c>
      <c r="AC30" s="4">
        <f t="shared" si="34"/>
        <v>2350</v>
      </c>
      <c r="AD30" s="4">
        <f t="shared" si="34"/>
        <v>3339</v>
      </c>
      <c r="AE30" s="4">
        <f t="shared" si="34"/>
        <v>5351</v>
      </c>
      <c r="AF30" s="4">
        <f t="shared" si="34"/>
        <v>8027</v>
      </c>
      <c r="AG30" s="4">
        <f t="shared" si="34"/>
        <v>10941</v>
      </c>
      <c r="AH30" s="4">
        <f t="shared" si="34"/>
        <v>15292</v>
      </c>
      <c r="AI30" s="4">
        <f t="shared" si="34"/>
        <v>19712</v>
      </c>
    </row>
    <row r="31" spans="2:35" s="7" customFormat="1" x14ac:dyDescent="0.2">
      <c r="B31" s="7" t="s">
        <v>28</v>
      </c>
      <c r="C31" s="8">
        <f t="shared" ref="C31:J31" si="35">C26-C30</f>
        <v>181</v>
      </c>
      <c r="D31" s="8">
        <f t="shared" si="35"/>
        <v>-15</v>
      </c>
      <c r="E31" s="8">
        <f t="shared" si="35"/>
        <v>-544</v>
      </c>
      <c r="F31" s="8">
        <f t="shared" si="35"/>
        <v>591</v>
      </c>
      <c r="G31" s="8">
        <f t="shared" si="35"/>
        <v>255</v>
      </c>
      <c r="H31" s="8">
        <f t="shared" si="35"/>
        <v>110</v>
      </c>
      <c r="I31" s="8">
        <f t="shared" si="35"/>
        <v>406</v>
      </c>
      <c r="J31" s="8">
        <f t="shared" si="35"/>
        <v>1108</v>
      </c>
      <c r="K31" s="8">
        <f t="shared" ref="K31:N31" si="36">K26-K30</f>
        <v>1071</v>
      </c>
      <c r="L31" s="8">
        <f t="shared" si="36"/>
        <v>1340</v>
      </c>
      <c r="M31" s="8">
        <f t="shared" si="36"/>
        <v>1193.8534999999993</v>
      </c>
      <c r="N31" s="8">
        <f t="shared" si="36"/>
        <v>3120.1989999999996</v>
      </c>
      <c r="W31" s="8"/>
      <c r="Z31" s="8">
        <f t="shared" ref="Z31:AI31" si="37">Z26-Z30</f>
        <v>1326</v>
      </c>
      <c r="AA31" s="8">
        <f t="shared" si="37"/>
        <v>1947</v>
      </c>
      <c r="AB31" s="8">
        <f t="shared" si="37"/>
        <v>842</v>
      </c>
      <c r="AC31" s="8">
        <f t="shared" si="37"/>
        <v>1129</v>
      </c>
      <c r="AD31" s="8">
        <f t="shared" si="37"/>
        <v>1406</v>
      </c>
      <c r="AE31" s="8">
        <f t="shared" si="37"/>
        <v>862</v>
      </c>
      <c r="AF31" s="8">
        <f t="shared" si="37"/>
        <v>676</v>
      </c>
      <c r="AG31" s="8">
        <f t="shared" si="37"/>
        <v>745</v>
      </c>
      <c r="AH31" s="8">
        <f t="shared" si="37"/>
        <v>178</v>
      </c>
      <c r="AI31" s="8">
        <f t="shared" si="37"/>
        <v>2233</v>
      </c>
    </row>
    <row r="32" spans="2:35" s="3" customFormat="1" x14ac:dyDescent="0.2">
      <c r="B32" s="3" t="s">
        <v>29</v>
      </c>
      <c r="C32" s="4">
        <v>-26</v>
      </c>
      <c r="D32" s="4">
        <v>-12</v>
      </c>
      <c r="E32" s="4">
        <v>-90</v>
      </c>
      <c r="F32" s="4">
        <f>8-74-96</f>
        <v>-162</v>
      </c>
      <c r="G32" s="4">
        <v>-234</v>
      </c>
      <c r="H32" s="4">
        <v>-102</v>
      </c>
      <c r="I32" s="4">
        <f>13-116-56</f>
        <v>-159</v>
      </c>
      <c r="J32" s="4">
        <f>13-115-68</f>
        <v>-170</v>
      </c>
      <c r="K32" s="4">
        <f>21-117+81-15</f>
        <v>-30</v>
      </c>
      <c r="L32" s="4">
        <f>24-116</f>
        <v>-92</v>
      </c>
      <c r="M32" s="4">
        <f t="shared" ref="M32:N32" si="38">+L32</f>
        <v>-92</v>
      </c>
      <c r="N32" s="4">
        <f t="shared" si="38"/>
        <v>-92</v>
      </c>
      <c r="Z32" s="3">
        <f>59-78+7</f>
        <v>-12</v>
      </c>
      <c r="AA32" s="3">
        <f>90-77-8</f>
        <v>5</v>
      </c>
      <c r="AB32" s="3">
        <f>83-71+47</f>
        <v>59</v>
      </c>
      <c r="AC32" s="3">
        <f>37-34+29</f>
        <v>32</v>
      </c>
      <c r="AD32" s="3">
        <f>51-39+79</f>
        <v>91</v>
      </c>
      <c r="AE32" s="3">
        <f>61-65+76</f>
        <v>72</v>
      </c>
      <c r="AF32" s="3">
        <f>40-92-80</f>
        <v>-132</v>
      </c>
      <c r="AG32" s="3">
        <f>38-141-136</f>
        <v>-239</v>
      </c>
      <c r="AH32" s="3">
        <f>39-210-118</f>
        <v>-289</v>
      </c>
      <c r="AI32" s="3">
        <f>50-459-256</f>
        <v>-665</v>
      </c>
    </row>
    <row r="33" spans="2:35" s="3" customFormat="1" x14ac:dyDescent="0.2">
      <c r="B33" s="3" t="s">
        <v>30</v>
      </c>
      <c r="C33" s="4">
        <f t="shared" ref="C33:J33" si="39">+C31+C32</f>
        <v>155</v>
      </c>
      <c r="D33" s="4">
        <f t="shared" si="39"/>
        <v>-27</v>
      </c>
      <c r="E33" s="4">
        <f t="shared" si="39"/>
        <v>-634</v>
      </c>
      <c r="F33" s="4">
        <f t="shared" si="39"/>
        <v>429</v>
      </c>
      <c r="G33" s="4">
        <f t="shared" si="39"/>
        <v>21</v>
      </c>
      <c r="H33" s="4">
        <f t="shared" si="39"/>
        <v>8</v>
      </c>
      <c r="I33" s="4">
        <f t="shared" si="39"/>
        <v>247</v>
      </c>
      <c r="J33" s="4">
        <f t="shared" si="39"/>
        <v>938</v>
      </c>
      <c r="K33" s="4">
        <f t="shared" ref="K33:N33" si="40">+K31+K32</f>
        <v>1041</v>
      </c>
      <c r="L33" s="4">
        <f t="shared" si="40"/>
        <v>1248</v>
      </c>
      <c r="M33" s="4">
        <f t="shared" si="40"/>
        <v>1101.8534999999993</v>
      </c>
      <c r="N33" s="4">
        <f t="shared" si="40"/>
        <v>3028.1989999999996</v>
      </c>
      <c r="W33" s="4"/>
      <c r="Z33" s="4">
        <f t="shared" ref="Z33:AI33" si="41">+Z31+Z32</f>
        <v>1314</v>
      </c>
      <c r="AA33" s="4">
        <f t="shared" si="41"/>
        <v>1952</v>
      </c>
      <c r="AB33" s="4">
        <f t="shared" si="41"/>
        <v>901</v>
      </c>
      <c r="AC33" s="4">
        <f t="shared" si="41"/>
        <v>1161</v>
      </c>
      <c r="AD33" s="4">
        <f t="shared" si="41"/>
        <v>1497</v>
      </c>
      <c r="AE33" s="4">
        <f t="shared" si="41"/>
        <v>934</v>
      </c>
      <c r="AF33" s="4">
        <f t="shared" si="41"/>
        <v>544</v>
      </c>
      <c r="AG33" s="4">
        <f t="shared" si="41"/>
        <v>506</v>
      </c>
      <c r="AH33" s="4">
        <f t="shared" si="41"/>
        <v>-111</v>
      </c>
      <c r="AI33" s="4">
        <f t="shared" si="41"/>
        <v>1568</v>
      </c>
    </row>
    <row r="34" spans="2:35" s="3" customFormat="1" x14ac:dyDescent="0.2">
      <c r="B34" s="3" t="s">
        <v>31</v>
      </c>
      <c r="C34" s="4">
        <f>-73+61</f>
        <v>-12</v>
      </c>
      <c r="D34" s="4">
        <f>-94+5</f>
        <v>-89</v>
      </c>
      <c r="E34" s="4">
        <f>-205+8</f>
        <v>-197</v>
      </c>
      <c r="F34" s="4">
        <f>205+10</f>
        <v>215</v>
      </c>
      <c r="G34" s="4">
        <f>-71+7</f>
        <v>-64</v>
      </c>
      <c r="H34" s="4">
        <f>-266+4</f>
        <v>-262</v>
      </c>
      <c r="I34" s="4">
        <f>161+7</f>
        <v>168</v>
      </c>
      <c r="J34" s="4">
        <f>453+3</f>
        <v>456</v>
      </c>
      <c r="K34" s="4">
        <f>475</f>
        <v>475</v>
      </c>
      <c r="L34" s="4">
        <v>307</v>
      </c>
      <c r="M34" s="4">
        <f t="shared" ref="M34:N34" si="42">+M33*0.4</f>
        <v>440.74139999999971</v>
      </c>
      <c r="N34" s="4">
        <f t="shared" si="42"/>
        <v>1211.2795999999998</v>
      </c>
      <c r="Z34" s="3">
        <v>187</v>
      </c>
      <c r="AA34" s="3">
        <v>184</v>
      </c>
      <c r="AB34" s="3">
        <f>247+9</f>
        <v>256</v>
      </c>
      <c r="AC34" s="3">
        <f>253+6</f>
        <v>259</v>
      </c>
      <c r="AD34" s="3">
        <f>352-7</f>
        <v>345</v>
      </c>
      <c r="AE34" s="3">
        <f>291+12</f>
        <v>303</v>
      </c>
      <c r="AF34" s="3">
        <f>428+155</f>
        <v>583</v>
      </c>
      <c r="AG34" s="3">
        <f>161+71</f>
        <v>232</v>
      </c>
      <c r="AH34" s="3">
        <f>167-37</f>
        <v>130</v>
      </c>
      <c r="AI34" s="3">
        <f>950+22</f>
        <v>972</v>
      </c>
    </row>
    <row r="35" spans="2:35" s="5" customFormat="1" x14ac:dyDescent="0.2">
      <c r="B35" s="5" t="s">
        <v>32</v>
      </c>
      <c r="C35" s="6">
        <f t="shared" ref="C35:J35" si="43">+C33-C34</f>
        <v>167</v>
      </c>
      <c r="D35" s="6">
        <f t="shared" si="43"/>
        <v>62</v>
      </c>
      <c r="E35" s="6">
        <f t="shared" si="43"/>
        <v>-437</v>
      </c>
      <c r="F35" s="6">
        <f t="shared" si="43"/>
        <v>214</v>
      </c>
      <c r="G35" s="6">
        <f t="shared" si="43"/>
        <v>85</v>
      </c>
      <c r="H35" s="6">
        <f t="shared" si="43"/>
        <v>270</v>
      </c>
      <c r="I35" s="6">
        <f t="shared" si="43"/>
        <v>79</v>
      </c>
      <c r="J35" s="6">
        <f t="shared" si="43"/>
        <v>482</v>
      </c>
      <c r="K35" s="6">
        <f t="shared" ref="K35:N35" si="44">+K33-K34</f>
        <v>566</v>
      </c>
      <c r="L35" s="6">
        <f t="shared" si="44"/>
        <v>941</v>
      </c>
      <c r="M35" s="6">
        <f t="shared" si="44"/>
        <v>661.1120999999996</v>
      </c>
      <c r="N35" s="6">
        <f t="shared" si="44"/>
        <v>1816.9193999999998</v>
      </c>
      <c r="Z35" s="5">
        <f t="shared" ref="Z35:AI35" si="45">+Z33-Z34</f>
        <v>1127</v>
      </c>
      <c r="AA35" s="5">
        <f t="shared" si="45"/>
        <v>1768</v>
      </c>
      <c r="AB35" s="5">
        <f t="shared" si="45"/>
        <v>645</v>
      </c>
      <c r="AC35" s="5">
        <f t="shared" si="45"/>
        <v>902</v>
      </c>
      <c r="AD35" s="5">
        <f t="shared" si="45"/>
        <v>1152</v>
      </c>
      <c r="AE35" s="5">
        <f t="shared" si="45"/>
        <v>631</v>
      </c>
      <c r="AF35" s="5">
        <f t="shared" si="45"/>
        <v>-39</v>
      </c>
      <c r="AG35" s="5">
        <f t="shared" si="45"/>
        <v>274</v>
      </c>
      <c r="AH35" s="5">
        <f t="shared" si="45"/>
        <v>-241</v>
      </c>
      <c r="AI35" s="5">
        <f t="shared" si="45"/>
        <v>596</v>
      </c>
    </row>
    <row r="36" spans="2:35" s="3" customFormat="1" x14ac:dyDescent="0.2">
      <c r="B36" s="3" t="s">
        <v>33</v>
      </c>
      <c r="C36" s="10">
        <f t="shared" ref="C36:J36" si="46">C35/C37</f>
        <v>0.35683760683760685</v>
      </c>
      <c r="D36" s="10">
        <f t="shared" si="46"/>
        <v>0.13449023861171366</v>
      </c>
      <c r="E36" s="10">
        <f t="shared" si="46"/>
        <v>-0.94384449244060475</v>
      </c>
      <c r="F36" s="10">
        <f t="shared" si="46"/>
        <v>0.45338983050847459</v>
      </c>
      <c r="G36" s="10">
        <f t="shared" si="46"/>
        <v>0.18279569892473119</v>
      </c>
      <c r="H36" s="10">
        <f t="shared" si="46"/>
        <v>0.5672268907563025</v>
      </c>
      <c r="I36" s="10">
        <f t="shared" si="46"/>
        <v>0.16527196652719664</v>
      </c>
      <c r="J36" s="10">
        <f t="shared" si="46"/>
        <v>1.002079002079002</v>
      </c>
      <c r="K36" s="10">
        <f t="shared" ref="K36:N36" si="47">K35/K37</f>
        <v>1.1767151767151767</v>
      </c>
      <c r="L36" s="10">
        <f t="shared" si="47"/>
        <v>1.9482401656314701</v>
      </c>
      <c r="M36" s="10">
        <f t="shared" si="47"/>
        <v>1.3687621118012414</v>
      </c>
      <c r="N36" s="10">
        <f t="shared" si="47"/>
        <v>3.7617378881987573</v>
      </c>
      <c r="W36" s="1"/>
      <c r="Z36" s="1">
        <f t="shared" ref="Z36:AI36" si="48">Z35/Z37</f>
        <v>2.6580188679245285</v>
      </c>
      <c r="AA36" s="1">
        <f t="shared" si="48"/>
        <v>4.1698113207547172</v>
      </c>
      <c r="AB36" s="1">
        <f t="shared" si="48"/>
        <v>1.4930555555555556</v>
      </c>
      <c r="AC36" s="1">
        <f t="shared" si="48"/>
        <v>2.0407239819004523</v>
      </c>
      <c r="AD36" s="1">
        <f t="shared" si="48"/>
        <v>2.5263157894736841</v>
      </c>
      <c r="AE36" s="1">
        <f t="shared" si="48"/>
        <v>1.3687635574837311</v>
      </c>
      <c r="AF36" s="1">
        <f t="shared" si="48"/>
        <v>-8.6092715231788075E-2</v>
      </c>
      <c r="AG36" s="1">
        <f t="shared" si="48"/>
        <v>0.58924731182795698</v>
      </c>
      <c r="AH36" s="1">
        <f t="shared" si="48"/>
        <v>-0.52164502164502169</v>
      </c>
      <c r="AI36" s="1">
        <f t="shared" si="48"/>
        <v>1.249475890985325</v>
      </c>
    </row>
    <row r="37" spans="2:35" s="3" customFormat="1" x14ac:dyDescent="0.2">
      <c r="B37" s="3" t="s">
        <v>1</v>
      </c>
      <c r="C37" s="4">
        <v>468</v>
      </c>
      <c r="D37" s="4">
        <v>461</v>
      </c>
      <c r="E37" s="4">
        <v>463</v>
      </c>
      <c r="F37" s="4">
        <v>472</v>
      </c>
      <c r="G37" s="4">
        <v>465</v>
      </c>
      <c r="H37" s="4">
        <v>476</v>
      </c>
      <c r="I37" s="4">
        <v>478</v>
      </c>
      <c r="J37" s="4">
        <v>481</v>
      </c>
      <c r="K37" s="4">
        <v>481</v>
      </c>
      <c r="L37" s="4">
        <v>483</v>
      </c>
      <c r="M37" s="4">
        <f t="shared" ref="M37:N37" si="49">+L37</f>
        <v>483</v>
      </c>
      <c r="N37" s="4">
        <f t="shared" si="49"/>
        <v>483</v>
      </c>
      <c r="Z37" s="3">
        <v>424</v>
      </c>
      <c r="AA37" s="3">
        <v>424</v>
      </c>
      <c r="AB37" s="3">
        <v>432</v>
      </c>
      <c r="AC37" s="3">
        <v>442</v>
      </c>
      <c r="AD37" s="3">
        <v>456</v>
      </c>
      <c r="AE37" s="3">
        <v>461</v>
      </c>
      <c r="AF37" s="3">
        <v>453</v>
      </c>
      <c r="AG37" s="3">
        <v>465</v>
      </c>
      <c r="AH37" s="3">
        <v>462</v>
      </c>
      <c r="AI37" s="3">
        <v>477</v>
      </c>
    </row>
    <row r="38" spans="2:35" s="3" customFormat="1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35" s="7" customFormat="1" x14ac:dyDescent="0.2">
      <c r="B39" s="7" t="s">
        <v>36</v>
      </c>
      <c r="C39" s="8"/>
      <c r="D39" s="8"/>
      <c r="E39" s="8"/>
      <c r="F39" s="8"/>
      <c r="G39" s="16">
        <f t="shared" ref="G39:K41" si="50">G21/C21-1</f>
        <v>8.7806431072906754E-2</v>
      </c>
      <c r="H39" s="16">
        <f t="shared" si="50"/>
        <v>0.12150022949314798</v>
      </c>
      <c r="I39" s="16">
        <f t="shared" si="50"/>
        <v>0.15235301460491835</v>
      </c>
      <c r="J39" s="16">
        <f t="shared" si="50"/>
        <v>0.15219461518483257</v>
      </c>
      <c r="K39" s="16">
        <f t="shared" si="50"/>
        <v>0.20469445094825578</v>
      </c>
      <c r="L39" s="16">
        <f t="shared" ref="L39:N39" si="51">L21/H21-1</f>
        <v>0.23456501403180541</v>
      </c>
      <c r="M39" s="16">
        <f t="shared" si="51"/>
        <v>0.14999999999999991</v>
      </c>
      <c r="N39" s="16">
        <f t="shared" si="51"/>
        <v>0.14999999999999991</v>
      </c>
      <c r="AE39" s="17"/>
      <c r="AF39" s="17">
        <f t="shared" ref="AF39:AI41" si="52">AF21/AE21-1</f>
        <v>0.23173809523809519</v>
      </c>
      <c r="AG39" s="17">
        <f t="shared" si="52"/>
        <v>0.17725629675448951</v>
      </c>
      <c r="AH39" s="17">
        <f t="shared" si="52"/>
        <v>0.15068223240234468</v>
      </c>
      <c r="AI39" s="17">
        <f t="shared" si="52"/>
        <v>0.131107305936073</v>
      </c>
    </row>
    <row r="40" spans="2:35" s="7" customFormat="1" x14ac:dyDescent="0.2">
      <c r="B40" s="7" t="s">
        <v>46</v>
      </c>
      <c r="C40" s="8"/>
      <c r="D40" s="8"/>
      <c r="E40" s="8"/>
      <c r="F40" s="8"/>
      <c r="G40" s="16">
        <f t="shared" si="50"/>
        <v>0.39568880079286428</v>
      </c>
      <c r="H40" s="16">
        <f t="shared" si="50"/>
        <v>0.48716067498165816</v>
      </c>
      <c r="I40" s="16">
        <f t="shared" si="50"/>
        <v>0.51305683563748072</v>
      </c>
      <c r="J40" s="16">
        <f t="shared" si="50"/>
        <v>0.46627047863796989</v>
      </c>
      <c r="K40" s="16">
        <f t="shared" si="50"/>
        <v>0.5173087164921002</v>
      </c>
      <c r="L40" s="16">
        <f t="shared" ref="L40:N40" si="53">L22/H22-1</f>
        <v>0.5273803650715343</v>
      </c>
      <c r="M40" s="16">
        <f t="shared" si="53"/>
        <v>0.39999999999999991</v>
      </c>
      <c r="N40" s="16">
        <f t="shared" si="53"/>
        <v>0.39999999999999991</v>
      </c>
      <c r="AE40" s="17"/>
      <c r="AF40" s="17">
        <f t="shared" si="52"/>
        <v>0.540233667928254</v>
      </c>
      <c r="AG40" s="17">
        <f t="shared" si="52"/>
        <v>0.44754273504273501</v>
      </c>
      <c r="AH40" s="17">
        <f t="shared" si="52"/>
        <v>0.3955273451915271</v>
      </c>
      <c r="AI40" s="17">
        <f t="shared" si="52"/>
        <v>0.46699809604400255</v>
      </c>
    </row>
    <row r="41" spans="2:35" s="5" customFormat="1" x14ac:dyDescent="0.2">
      <c r="B41" s="5" t="s">
        <v>35</v>
      </c>
      <c r="C41" s="6"/>
      <c r="D41" s="6"/>
      <c r="E41" s="6"/>
      <c r="F41" s="6"/>
      <c r="G41" s="11">
        <f t="shared" si="50"/>
        <v>0.15075224152778488</v>
      </c>
      <c r="H41" s="11">
        <f t="shared" si="50"/>
        <v>0.19881075491209921</v>
      </c>
      <c r="I41" s="11">
        <f t="shared" si="50"/>
        <v>0.23222702755235924</v>
      </c>
      <c r="J41" s="11">
        <f t="shared" si="50"/>
        <v>0.21886933987997814</v>
      </c>
      <c r="K41" s="11">
        <f t="shared" si="50"/>
        <v>0.28221155962495037</v>
      </c>
      <c r="L41" s="11">
        <f t="shared" ref="L41:N41" si="54">L23/H23-1</f>
        <v>0.31136510675005402</v>
      </c>
      <c r="M41" s="11">
        <f t="shared" si="54"/>
        <v>0.21797657543970339</v>
      </c>
      <c r="N41" s="11">
        <f t="shared" si="54"/>
        <v>0.21384451842112617</v>
      </c>
      <c r="Q41" s="12">
        <f t="shared" ref="Q41:Z41" si="55">Q23/P23-1</f>
        <v>8.3856852533976891</v>
      </c>
      <c r="R41" s="12">
        <f t="shared" si="55"/>
        <v>3.1263372285789677</v>
      </c>
      <c r="S41" s="12">
        <f t="shared" si="55"/>
        <v>1.6890585567192891</v>
      </c>
      <c r="T41" s="12">
        <f t="shared" si="55"/>
        <v>0.68430132470321792</v>
      </c>
      <c r="U41" s="12">
        <f t="shared" si="55"/>
        <v>0.1305040617556299</v>
      </c>
      <c r="V41" s="12">
        <f t="shared" si="55"/>
        <v>0.25957418461821291</v>
      </c>
      <c r="W41" s="12">
        <f t="shared" si="55"/>
        <v>0.3383637567455966</v>
      </c>
      <c r="X41" s="12">
        <f t="shared" si="55"/>
        <v>0.31485481977597884</v>
      </c>
      <c r="Y41" s="12">
        <f t="shared" si="55"/>
        <v>0.22670134373645423</v>
      </c>
      <c r="Z41" s="12">
        <f t="shared" si="55"/>
        <v>0.26160188457008249</v>
      </c>
      <c r="AA41" s="12">
        <f>AA23/Z23-1</f>
        <v>0.38502474092054895</v>
      </c>
      <c r="AB41" s="12">
        <f>AB23/AA23-1</f>
        <v>0.29194472531176263</v>
      </c>
      <c r="AC41" s="12">
        <f>AC23/AB23-1</f>
        <v>0.27877491391004905</v>
      </c>
      <c r="AD41" s="12">
        <f>AD23/AC23-1</f>
        <v>0.39556897466236896</v>
      </c>
      <c r="AE41" s="12">
        <f>AE23/AD23-1</f>
        <v>0.40559583674424049</v>
      </c>
      <c r="AF41" s="12">
        <f t="shared" si="52"/>
        <v>0.27073236682821311</v>
      </c>
      <c r="AG41" s="12">
        <f t="shared" si="52"/>
        <v>0.21866662301736706</v>
      </c>
      <c r="AH41" s="12">
        <f t="shared" si="52"/>
        <v>0.1952398861011122</v>
      </c>
      <c r="AI41" s="12">
        <f t="shared" si="52"/>
        <v>0.20247673843664304</v>
      </c>
    </row>
    <row r="42" spans="2:35" s="3" customFormat="1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35" x14ac:dyDescent="0.2">
      <c r="B43" s="3" t="s">
        <v>22</v>
      </c>
      <c r="C43" s="9">
        <f t="shared" ref="C43" si="56">C26/C23</f>
        <v>0.17066004761663542</v>
      </c>
      <c r="D43" s="9">
        <f t="shared" ref="D43:E43" si="57">D26/D23</f>
        <v>0.18402275077559463</v>
      </c>
      <c r="E43" s="9">
        <f t="shared" si="57"/>
        <v>0.16079498517906604</v>
      </c>
      <c r="F43" s="9">
        <f>F26/F23</f>
        <v>0.17843016912165849</v>
      </c>
      <c r="G43" s="9">
        <f>G26/G23</f>
        <v>0.20086278998107143</v>
      </c>
      <c r="H43" s="9">
        <f>H26/H23</f>
        <v>0.20681475091654086</v>
      </c>
      <c r="I43" s="9">
        <f>I26/I23</f>
        <v>0.21188579540973262</v>
      </c>
      <c r="J43" s="9">
        <f>J26/J23</f>
        <v>0.19190421573838365</v>
      </c>
      <c r="K43" s="9">
        <f t="shared" ref="K43:N43" si="58">K26/K23</f>
        <v>0.22572782202691569</v>
      </c>
      <c r="L43" s="9">
        <f t="shared" si="58"/>
        <v>0.24161294566504407</v>
      </c>
      <c r="M43" s="9">
        <f t="shared" si="58"/>
        <v>0.23</v>
      </c>
      <c r="N43" s="9">
        <f t="shared" si="58"/>
        <v>0.23</v>
      </c>
      <c r="Z43" s="9">
        <f t="shared" ref="Z43:AB43" si="59">Z26/Z23</f>
        <v>0.22929698440855195</v>
      </c>
      <c r="AA43" s="9">
        <f t="shared" si="59"/>
        <v>0.22601954836535221</v>
      </c>
      <c r="AB43" s="9">
        <f t="shared" si="59"/>
        <v>0.13628300114786601</v>
      </c>
      <c r="AC43" s="9">
        <f t="shared" ref="AC43:AD43" si="60">AC26/AC23</f>
        <v>0.14194785588967318</v>
      </c>
      <c r="AD43" s="9">
        <f t="shared" si="60"/>
        <v>0.13872646474096598</v>
      </c>
      <c r="AE43" s="9">
        <f t="shared" ref="AE43:AF43" si="61">AE26/AE23</f>
        <v>0.12923019323169083</v>
      </c>
      <c r="AF43" s="9">
        <f t="shared" si="61"/>
        <v>0.14245494573846432</v>
      </c>
      <c r="AG43" s="9">
        <f t="shared" ref="AG43" si="62">AG26/AG23</f>
        <v>0.1569601891151346</v>
      </c>
      <c r="AH43" s="9">
        <f t="shared" ref="AH43:AI43" si="63">AH26/AH23</f>
        <v>0.17384366431428958</v>
      </c>
      <c r="AI43" s="9">
        <f t="shared" si="63"/>
        <v>0.20508195802104554</v>
      </c>
    </row>
    <row r="44" spans="2:35" x14ac:dyDescent="0.2">
      <c r="B44" s="3" t="s">
        <v>34</v>
      </c>
      <c r="C44" s="9">
        <f t="shared" ref="C44" si="64">C31/C23</f>
        <v>9.1687351198014282E-3</v>
      </c>
      <c r="D44" s="9">
        <f t="shared" ref="D44:E44" si="65">D31/D23</f>
        <v>-7.7559462254395031E-4</v>
      </c>
      <c r="E44" s="9">
        <f t="shared" si="65"/>
        <v>-2.6434715000728897E-2</v>
      </c>
      <c r="F44" s="9">
        <f>F31/F23</f>
        <v>2.015139116202946E-2</v>
      </c>
      <c r="G44" s="9">
        <f>G31/G23</f>
        <v>1.1225073733327463E-2</v>
      </c>
      <c r="H44" s="9">
        <f>H31/H23</f>
        <v>4.7444468406297171E-3</v>
      </c>
      <c r="I44" s="9">
        <f>I31/I23</f>
        <v>1.6010726397980915E-2</v>
      </c>
      <c r="J44" s="9">
        <f>J31/J23</f>
        <v>3.0995608023050885E-2</v>
      </c>
      <c r="K44" s="9">
        <f t="shared" ref="K44:N44" si="66">K31/K23</f>
        <v>3.6768744850315845E-2</v>
      </c>
      <c r="L44" s="9">
        <f t="shared" si="66"/>
        <v>4.4073148269964481E-2</v>
      </c>
      <c r="M44" s="9">
        <f t="shared" si="66"/>
        <v>3.8654236865579082E-2</v>
      </c>
      <c r="N44" s="9">
        <f t="shared" si="66"/>
        <v>7.1908400992825749E-2</v>
      </c>
      <c r="Z44" s="9">
        <f t="shared" ref="Z44:AB44" si="67">Z31/Z23</f>
        <v>0.12379796470917748</v>
      </c>
      <c r="AA44" s="9">
        <f t="shared" si="67"/>
        <v>0.13124368048533872</v>
      </c>
      <c r="AB44" s="9">
        <f t="shared" si="67"/>
        <v>4.3931962850881773E-2</v>
      </c>
      <c r="AC44" s="9">
        <f t="shared" ref="AC44:AD44" si="68">AC31/AC23</f>
        <v>4.6064710922518258E-2</v>
      </c>
      <c r="AD44" s="9">
        <f t="shared" si="68"/>
        <v>4.1106303356332592E-2</v>
      </c>
      <c r="AE44" s="9">
        <f t="shared" ref="AE44:AF44" si="69">AE31/AE23</f>
        <v>1.79295713126859E-2</v>
      </c>
      <c r="AF44" s="9">
        <f t="shared" si="69"/>
        <v>1.1065097474342396E-2</v>
      </c>
      <c r="AG44" s="9">
        <f t="shared" ref="AG44" si="70">AG31/AG23</f>
        <v>1.0006447106860796E-2</v>
      </c>
      <c r="AH44" s="9">
        <f t="shared" ref="AH44:AI44" si="71">AH31/AH23</f>
        <v>2.000269699285297E-3</v>
      </c>
      <c r="AI44" s="9">
        <f t="shared" si="71"/>
        <v>2.0867988710913405E-2</v>
      </c>
    </row>
    <row r="46" spans="2:35" x14ac:dyDescent="0.2">
      <c r="B46" s="3" t="s">
        <v>59</v>
      </c>
      <c r="K46" s="4">
        <f>K47-K58</f>
        <v>7640</v>
      </c>
    </row>
    <row r="47" spans="2:35" s="3" customFormat="1" x14ac:dyDescent="0.2">
      <c r="B47" s="3" t="s">
        <v>3</v>
      </c>
      <c r="C47" s="4"/>
      <c r="D47" s="4"/>
      <c r="E47" s="4"/>
      <c r="F47" s="4"/>
      <c r="G47" s="4"/>
      <c r="H47" s="4"/>
      <c r="I47" s="4"/>
      <c r="J47" s="4"/>
      <c r="K47" s="4">
        <f>12470+3389</f>
        <v>15859</v>
      </c>
      <c r="L47" s="4">
        <f>12521+4019</f>
        <v>16540</v>
      </c>
      <c r="M47" s="4"/>
      <c r="N47" s="4"/>
    </row>
    <row r="48" spans="2:35" s="3" customFormat="1" x14ac:dyDescent="0.2">
      <c r="B48" s="3" t="s">
        <v>47</v>
      </c>
      <c r="C48" s="4"/>
      <c r="D48" s="4"/>
      <c r="E48" s="4"/>
      <c r="F48" s="4"/>
      <c r="G48" s="4"/>
      <c r="H48" s="4"/>
      <c r="I48" s="4"/>
      <c r="J48" s="4"/>
      <c r="K48" s="4">
        <v>9582</v>
      </c>
      <c r="L48" s="4">
        <v>9588</v>
      </c>
      <c r="M48" s="4"/>
      <c r="N48" s="4"/>
    </row>
    <row r="49" spans="2:14" s="3" customFormat="1" x14ac:dyDescent="0.2">
      <c r="B49" s="3" t="s">
        <v>48</v>
      </c>
      <c r="C49" s="4"/>
      <c r="D49" s="4"/>
      <c r="E49" s="4"/>
      <c r="F49" s="4"/>
      <c r="G49" s="4"/>
      <c r="H49" s="4"/>
      <c r="I49" s="4"/>
      <c r="J49" s="4"/>
      <c r="K49" s="4">
        <v>5072</v>
      </c>
      <c r="L49" s="4">
        <v>6092</v>
      </c>
      <c r="M49" s="4"/>
      <c r="N49" s="4"/>
    </row>
    <row r="50" spans="2:14" s="3" customFormat="1" x14ac:dyDescent="0.2">
      <c r="B50" s="3" t="s">
        <v>49</v>
      </c>
      <c r="C50" s="4"/>
      <c r="D50" s="4"/>
      <c r="E50" s="4"/>
      <c r="F50" s="4"/>
      <c r="G50" s="4"/>
      <c r="H50" s="4"/>
      <c r="I50" s="4"/>
      <c r="J50" s="4"/>
      <c r="K50" s="4">
        <v>23308</v>
      </c>
      <c r="L50" s="4">
        <v>25190</v>
      </c>
      <c r="M50" s="4"/>
      <c r="N50" s="4"/>
    </row>
    <row r="51" spans="2:14" s="3" customFormat="1" x14ac:dyDescent="0.2">
      <c r="B51" s="3" t="s">
        <v>50</v>
      </c>
      <c r="C51" s="4"/>
      <c r="D51" s="4"/>
      <c r="E51" s="4"/>
      <c r="F51" s="4"/>
      <c r="G51" s="4"/>
      <c r="H51" s="4"/>
      <c r="I51" s="4"/>
      <c r="J51" s="4"/>
      <c r="K51" s="4">
        <v>3785</v>
      </c>
      <c r="L51" s="4">
        <v>3774</v>
      </c>
      <c r="M51" s="4"/>
      <c r="N51" s="4"/>
    </row>
    <row r="52" spans="2:14" s="3" customFormat="1" x14ac:dyDescent="0.2">
      <c r="B52" s="3" t="s">
        <v>51</v>
      </c>
      <c r="C52" s="4"/>
      <c r="D52" s="4"/>
      <c r="E52" s="4"/>
      <c r="F52" s="4"/>
      <c r="G52" s="4"/>
      <c r="H52" s="4"/>
      <c r="I52" s="4"/>
      <c r="J52" s="4"/>
      <c r="K52" s="4">
        <v>3522</v>
      </c>
      <c r="L52" s="4">
        <v>3892</v>
      </c>
      <c r="M52" s="4"/>
      <c r="N52" s="4"/>
    </row>
    <row r="53" spans="2:14" s="3" customFormat="1" x14ac:dyDescent="0.2">
      <c r="B53" s="3" t="s">
        <v>52</v>
      </c>
      <c r="C53" s="4"/>
      <c r="D53" s="4"/>
      <c r="E53" s="4"/>
      <c r="F53" s="4"/>
      <c r="G53" s="4"/>
      <c r="H53" s="4"/>
      <c r="I53" s="4"/>
      <c r="J53" s="4"/>
      <c r="K53" s="4">
        <f>SUM(K47:K52)</f>
        <v>61128</v>
      </c>
      <c r="L53" s="4">
        <f>SUM(L47:L52)</f>
        <v>65076</v>
      </c>
      <c r="M53" s="4"/>
      <c r="N53" s="4"/>
    </row>
    <row r="54" spans="2:14" s="3" customFormat="1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2:14" s="3" customFormat="1" x14ac:dyDescent="0.2">
      <c r="B55" s="3" t="s">
        <v>53</v>
      </c>
      <c r="C55" s="4"/>
      <c r="D55" s="4"/>
      <c r="E55" s="4"/>
      <c r="F55" s="4"/>
      <c r="G55" s="4"/>
      <c r="H55" s="4"/>
      <c r="I55" s="4"/>
      <c r="J55" s="4"/>
      <c r="K55" s="4">
        <v>14990</v>
      </c>
      <c r="L55" s="4">
        <v>16123</v>
      </c>
      <c r="M55" s="4"/>
      <c r="N55" s="4"/>
    </row>
    <row r="56" spans="2:14" s="3" customFormat="1" x14ac:dyDescent="0.2">
      <c r="B56" s="3" t="s">
        <v>54</v>
      </c>
      <c r="C56" s="4"/>
      <c r="D56" s="4"/>
      <c r="E56" s="4"/>
      <c r="F56" s="4"/>
      <c r="G56" s="4"/>
      <c r="H56" s="4"/>
      <c r="I56" s="4"/>
      <c r="J56" s="4"/>
      <c r="K56" s="4">
        <v>9431</v>
      </c>
      <c r="L56" s="4">
        <v>9613</v>
      </c>
      <c r="M56" s="4"/>
      <c r="N56" s="4"/>
    </row>
    <row r="57" spans="2:14" s="3" customFormat="1" x14ac:dyDescent="0.2">
      <c r="B57" s="3" t="s">
        <v>55</v>
      </c>
      <c r="C57" s="4"/>
      <c r="D57" s="4"/>
      <c r="E57" s="4"/>
      <c r="F57" s="4"/>
      <c r="G57" s="4"/>
      <c r="H57" s="4"/>
      <c r="I57" s="4"/>
      <c r="J57" s="4"/>
      <c r="K57" s="4">
        <v>3766</v>
      </c>
      <c r="L57" s="4">
        <v>3851</v>
      </c>
      <c r="M57" s="4"/>
      <c r="N57" s="4"/>
    </row>
    <row r="58" spans="2:14" s="3" customFormat="1" x14ac:dyDescent="0.2">
      <c r="B58" s="3" t="s">
        <v>4</v>
      </c>
      <c r="C58" s="4"/>
      <c r="D58" s="4"/>
      <c r="E58" s="4"/>
      <c r="F58" s="4"/>
      <c r="G58" s="4"/>
      <c r="H58" s="4"/>
      <c r="I58" s="4"/>
      <c r="J58" s="4"/>
      <c r="K58" s="4">
        <v>8219</v>
      </c>
      <c r="L58" s="4">
        <v>8212</v>
      </c>
      <c r="M58" s="4"/>
      <c r="N58" s="4"/>
    </row>
    <row r="59" spans="2:14" s="3" customFormat="1" x14ac:dyDescent="0.2">
      <c r="B59" s="3" t="s">
        <v>56</v>
      </c>
      <c r="C59" s="4"/>
      <c r="D59" s="4"/>
      <c r="E59" s="4"/>
      <c r="F59" s="4"/>
      <c r="G59" s="4"/>
      <c r="H59" s="4"/>
      <c r="I59" s="4"/>
      <c r="J59" s="4"/>
      <c r="K59" s="4">
        <v>9966</v>
      </c>
      <c r="L59" s="4">
        <v>10739</v>
      </c>
      <c r="M59" s="4"/>
      <c r="N59" s="4"/>
    </row>
    <row r="60" spans="2:14" s="3" customFormat="1" x14ac:dyDescent="0.2">
      <c r="B60" s="3" t="s">
        <v>57</v>
      </c>
      <c r="C60" s="4"/>
      <c r="D60" s="4"/>
      <c r="E60" s="4"/>
      <c r="F60" s="4"/>
      <c r="G60" s="4"/>
      <c r="H60" s="4"/>
      <c r="I60" s="4"/>
      <c r="J60" s="4"/>
      <c r="K60" s="4">
        <v>14756</v>
      </c>
      <c r="L60" s="4">
        <v>16538</v>
      </c>
      <c r="M60" s="4"/>
      <c r="N60" s="4"/>
    </row>
    <row r="61" spans="2:14" s="3" customFormat="1" x14ac:dyDescent="0.2">
      <c r="B61" s="3" t="s">
        <v>58</v>
      </c>
      <c r="C61" s="4"/>
      <c r="D61" s="4"/>
      <c r="E61" s="4"/>
      <c r="F61" s="4"/>
      <c r="G61" s="4"/>
      <c r="H61" s="4"/>
      <c r="I61" s="4"/>
      <c r="J61" s="4"/>
      <c r="K61" s="4">
        <f>SUM(K55:K60)</f>
        <v>61128</v>
      </c>
      <c r="L61" s="4">
        <f>SUM(L55:L60)</f>
        <v>65076</v>
      </c>
      <c r="M61" s="4"/>
      <c r="N61" s="4"/>
    </row>
  </sheetData>
  <pageMargins left="0.7" right="0.7" top="0.75" bottom="0.75" header="0.3" footer="0.3"/>
  <pageSetup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LOOK</cp:lastModifiedBy>
  <cp:lastPrinted>2016-03-10T02:11:53Z</cp:lastPrinted>
  <dcterms:created xsi:type="dcterms:W3CDTF">2016-03-10T02:11:25Z</dcterms:created>
  <dcterms:modified xsi:type="dcterms:W3CDTF">2016-10-12T10:32:14Z</dcterms:modified>
</cp:coreProperties>
</file>