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ple_python\InEstimate\Data\"/>
    </mc:Choice>
  </mc:AlternateContent>
  <xr:revisionPtr revIDLastSave="0" documentId="13_ncr:1_{3EF0E00D-D5BB-4450-9957-8E673825F2BB}" xr6:coauthVersionLast="47" xr6:coauthVersionMax="47" xr10:uidLastSave="{00000000-0000-0000-0000-000000000000}"/>
  <bookViews>
    <workbookView xWindow="13140" yWindow="0" windowWidth="15795" windowHeight="15480" activeTab="3" xr2:uid="{390BE2C8-90B3-47FD-A976-69597472407F}"/>
  </bookViews>
  <sheets>
    <sheet name="갑지" sheetId="3" r:id="rId1"/>
    <sheet name="상세내역" sheetId="2" r:id="rId2"/>
    <sheet name="원룸(X)" sheetId="1" r:id="rId3"/>
    <sheet name="철거" sheetId="4" r:id="rId4"/>
  </sheets>
  <definedNames>
    <definedName name="_xlnm.Print_Area" localSheetId="0">갑지!$A$1:$AR$55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Z37" i="3"/>
  <c r="Z38" i="3"/>
  <c r="AS23" i="3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4" i="2"/>
  <c r="AS22" i="3"/>
  <c r="AS21" i="3"/>
  <c r="O37" i="2" l="1"/>
  <c r="N37" i="2"/>
  <c r="P26" i="3" s="1"/>
  <c r="S30" i="2"/>
  <c r="S37" i="2"/>
  <c r="R45" i="2"/>
  <c r="T32" i="3"/>
  <c r="P32" i="3"/>
  <c r="Q30" i="2"/>
  <c r="L14" i="3"/>
  <c r="L13" i="3"/>
  <c r="P34" i="3"/>
  <c r="P33" i="3"/>
  <c r="P21" i="3"/>
  <c r="Z21" i="3" s="1"/>
  <c r="R39" i="2"/>
  <c r="R37" i="2"/>
  <c r="Y39" i="2"/>
  <c r="Y37" i="2"/>
  <c r="N27" i="2"/>
  <c r="J27" i="2"/>
  <c r="E27" i="2"/>
  <c r="F27" i="2"/>
  <c r="G27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F29" i="2"/>
  <c r="G29" i="2" s="1"/>
  <c r="F4" i="2"/>
  <c r="G4" i="2" s="1"/>
  <c r="AC37" i="2"/>
  <c r="P37" i="3" s="1"/>
  <c r="D28" i="2"/>
  <c r="E28" i="2" s="1"/>
  <c r="C26" i="2"/>
  <c r="N29" i="2"/>
  <c r="N25" i="2"/>
  <c r="N24" i="2"/>
  <c r="N23" i="2"/>
  <c r="N22" i="2"/>
  <c r="J25" i="2"/>
  <c r="E25" i="2"/>
  <c r="J28" i="2"/>
  <c r="J24" i="2"/>
  <c r="J23" i="2"/>
  <c r="J22" i="2"/>
  <c r="E23" i="2"/>
  <c r="E22" i="2"/>
  <c r="E29" i="2"/>
  <c r="E24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J29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P35" i="3"/>
  <c r="T37" i="3"/>
  <c r="T36" i="3"/>
  <c r="T35" i="3"/>
  <c r="T34" i="3"/>
  <c r="T33" i="3"/>
  <c r="T31" i="3"/>
  <c r="T30" i="3"/>
  <c r="T29" i="3"/>
  <c r="P31" i="3"/>
  <c r="P30" i="3"/>
  <c r="T26" i="3"/>
  <c r="Z14" i="3"/>
  <c r="Z13" i="3"/>
  <c r="Z41" i="3"/>
  <c r="Z27" i="3"/>
  <c r="Z25" i="3"/>
  <c r="S39" i="2" l="1"/>
  <c r="P19" i="3"/>
  <c r="Z19" i="3" s="1"/>
  <c r="Z32" i="3"/>
  <c r="F28" i="2"/>
  <c r="G28" i="2" s="1"/>
  <c r="G26" i="2"/>
  <c r="N28" i="2"/>
  <c r="N26" i="2"/>
  <c r="J26" i="2"/>
  <c r="E26" i="2"/>
  <c r="Z35" i="3"/>
  <c r="Z31" i="3"/>
  <c r="Z30" i="3"/>
  <c r="G30" i="2" l="1"/>
  <c r="L16" i="3" s="1"/>
  <c r="P16" i="3" s="1"/>
  <c r="AA39" i="2"/>
  <c r="X42" i="2"/>
  <c r="W27" i="2" s="1"/>
  <c r="T30" i="2"/>
  <c r="T37" i="2" s="1"/>
  <c r="AB37" i="2"/>
  <c r="P36" i="3" s="1"/>
  <c r="Q37" i="2"/>
  <c r="P20" i="3" s="1"/>
  <c r="N8" i="2"/>
  <c r="J8" i="2"/>
  <c r="E8" i="2"/>
  <c r="E32" i="2" s="1"/>
  <c r="N7" i="2"/>
  <c r="J7" i="2"/>
  <c r="E7" i="2"/>
  <c r="N6" i="2"/>
  <c r="J6" i="2"/>
  <c r="E6" i="2"/>
  <c r="N5" i="2"/>
  <c r="J5" i="2"/>
  <c r="E5" i="2"/>
  <c r="N4" i="2"/>
  <c r="J4" i="2"/>
  <c r="E4" i="2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I4" i="1"/>
  <c r="H4" i="1"/>
  <c r="G4" i="1"/>
  <c r="U18" i="1"/>
  <c r="U20" i="1" s="1"/>
  <c r="T18" i="1"/>
  <c r="T20" i="1" s="1"/>
  <c r="N18" i="1"/>
  <c r="N20" i="1" s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K13" i="1"/>
  <c r="K12" i="1"/>
  <c r="K11" i="1"/>
  <c r="K10" i="1"/>
  <c r="K9" i="1"/>
  <c r="K8" i="1"/>
  <c r="K7" i="1"/>
  <c r="K6" i="1"/>
  <c r="K5" i="1"/>
  <c r="L4" i="1"/>
  <c r="K4" i="1"/>
  <c r="E5" i="1"/>
  <c r="E6" i="1"/>
  <c r="E7" i="1"/>
  <c r="E8" i="1"/>
  <c r="E9" i="1"/>
  <c r="E10" i="1"/>
  <c r="E11" i="1"/>
  <c r="E12" i="1"/>
  <c r="E13" i="1"/>
  <c r="E4" i="1"/>
  <c r="W29" i="2" l="1"/>
  <c r="W28" i="2"/>
  <c r="W26" i="2"/>
  <c r="W25" i="2"/>
  <c r="W22" i="2"/>
  <c r="W24" i="2"/>
  <c r="W23" i="2"/>
  <c r="N30" i="2"/>
  <c r="E30" i="2"/>
  <c r="E31" i="2" s="1"/>
  <c r="W15" i="2"/>
  <c r="W11" i="2"/>
  <c r="W16" i="2"/>
  <c r="W19" i="2"/>
  <c r="W17" i="2"/>
  <c r="W18" i="2"/>
  <c r="W14" i="2"/>
  <c r="W13" i="2"/>
  <c r="W20" i="2"/>
  <c r="W21" i="2"/>
  <c r="W12" i="2"/>
  <c r="W10" i="2"/>
  <c r="W9" i="2"/>
  <c r="Z39" i="2"/>
  <c r="Z34" i="3"/>
  <c r="AB39" i="2"/>
  <c r="Z36" i="3"/>
  <c r="Q39" i="2"/>
  <c r="Z20" i="3"/>
  <c r="Z23" i="3" s="1"/>
  <c r="W5" i="2"/>
  <c r="W8" i="2"/>
  <c r="W4" i="2"/>
  <c r="W6" i="2"/>
  <c r="W7" i="2"/>
  <c r="P29" i="3"/>
  <c r="M14" i="1"/>
  <c r="M18" i="1" s="1"/>
  <c r="M20" i="1" s="1"/>
  <c r="L14" i="1"/>
  <c r="L18" i="1" s="1"/>
  <c r="L20" i="1" s="1"/>
  <c r="K14" i="1"/>
  <c r="K18" i="1" s="1"/>
  <c r="E14" i="1"/>
  <c r="T42" i="3" l="1"/>
  <c r="Z42" i="3" s="1"/>
  <c r="O39" i="2"/>
  <c r="W30" i="2"/>
  <c r="T39" i="2"/>
  <c r="Z29" i="3"/>
  <c r="W37" i="2"/>
  <c r="K20" i="1"/>
  <c r="R18" i="1"/>
  <c r="R20" i="1" s="1"/>
  <c r="M21" i="1" s="1"/>
  <c r="N39" i="2" l="1"/>
  <c r="Z26" i="3"/>
  <c r="W39" i="2"/>
  <c r="Z33" i="3"/>
  <c r="AC39" i="2"/>
  <c r="L21" i="1"/>
  <c r="K21" i="1"/>
  <c r="Z44" i="3" l="1"/>
  <c r="AS44" i="3" s="1"/>
  <c r="N40" i="2"/>
  <c r="Z46" i="3"/>
  <c r="Z49" i="3" s="1"/>
  <c r="Z50" i="3" l="1"/>
  <c r="AS49" i="3"/>
  <c r="AJ50" i="3"/>
  <c r="AJ10" i="3" s="1"/>
  <c r="M10" i="3" s="1"/>
</calcChain>
</file>

<file path=xl/sharedStrings.xml><?xml version="1.0" encoding="utf-8"?>
<sst xmlns="http://schemas.openxmlformats.org/spreadsheetml/2006/main" count="370" uniqueCount="212">
  <si>
    <t>A벽</t>
    <phoneticPr fontId="1" type="noConversion"/>
  </si>
  <si>
    <t>B벽</t>
    <phoneticPr fontId="1" type="noConversion"/>
  </si>
  <si>
    <t>C벽</t>
    <phoneticPr fontId="1" type="noConversion"/>
  </si>
  <si>
    <t>D벽</t>
    <phoneticPr fontId="1" type="noConversion"/>
  </si>
  <si>
    <t>위치</t>
    <phoneticPr fontId="1" type="noConversion"/>
  </si>
  <si>
    <t>방</t>
    <phoneticPr fontId="1" type="noConversion"/>
  </si>
  <si>
    <t>현관</t>
    <phoneticPr fontId="1" type="noConversion"/>
  </si>
  <si>
    <t>화장실</t>
    <phoneticPr fontId="1" type="noConversion"/>
  </si>
  <si>
    <t>천정</t>
    <phoneticPr fontId="1" type="noConversion"/>
  </si>
  <si>
    <t>가로</t>
    <phoneticPr fontId="1" type="noConversion"/>
  </si>
  <si>
    <t>세로</t>
    <phoneticPr fontId="1" type="noConversion"/>
  </si>
  <si>
    <t>면적</t>
    <phoneticPr fontId="1" type="noConversion"/>
  </si>
  <si>
    <t>합계</t>
    <phoneticPr fontId="1" type="noConversion"/>
  </si>
  <si>
    <t>수량</t>
    <phoneticPr fontId="1" type="noConversion"/>
  </si>
  <si>
    <t>단위</t>
    <phoneticPr fontId="1" type="noConversion"/>
  </si>
  <si>
    <t>단가</t>
    <phoneticPr fontId="1" type="noConversion"/>
  </si>
  <si>
    <t>가격</t>
    <phoneticPr fontId="1" type="noConversion"/>
  </si>
  <si>
    <t>광폭 합지</t>
    <phoneticPr fontId="1" type="noConversion"/>
  </si>
  <si>
    <t>소폭 합지</t>
    <phoneticPr fontId="1" type="noConversion"/>
  </si>
  <si>
    <t>실크</t>
    <phoneticPr fontId="1" type="noConversion"/>
  </si>
  <si>
    <t>인건비</t>
    <phoneticPr fontId="1" type="noConversion"/>
  </si>
  <si>
    <t>부자재</t>
    <phoneticPr fontId="1" type="noConversion"/>
  </si>
  <si>
    <t>부직포</t>
    <phoneticPr fontId="1" type="noConversion"/>
  </si>
  <si>
    <t>운용지</t>
    <phoneticPr fontId="1" type="noConversion"/>
  </si>
  <si>
    <t>본드</t>
    <phoneticPr fontId="1" type="noConversion"/>
  </si>
  <si>
    <t>실리콘</t>
    <phoneticPr fontId="1" type="noConversion"/>
  </si>
  <si>
    <t>네바리</t>
    <phoneticPr fontId="1" type="noConversion"/>
  </si>
  <si>
    <t>기공</t>
    <phoneticPr fontId="1" type="noConversion"/>
  </si>
  <si>
    <t>조공</t>
    <phoneticPr fontId="1" type="noConversion"/>
  </si>
  <si>
    <t>벽지 소요량 (m)</t>
    <phoneticPr fontId="1" type="noConversion"/>
  </si>
  <si>
    <t>93*1775</t>
    <phoneticPr fontId="1" type="noConversion"/>
  </si>
  <si>
    <t>개나리벽지</t>
    <phoneticPr fontId="1" type="noConversion"/>
  </si>
  <si>
    <t>53*6250</t>
    <phoneticPr fontId="1" type="noConversion"/>
  </si>
  <si>
    <t>106*1550</t>
    <phoneticPr fontId="1" type="noConversion"/>
  </si>
  <si>
    <t>풀</t>
    <phoneticPr fontId="1" type="noConversion"/>
  </si>
  <si>
    <t>제품명</t>
    <phoneticPr fontId="1" type="noConversion"/>
  </si>
  <si>
    <t>KS벽지</t>
    <phoneticPr fontId="1" type="noConversion"/>
  </si>
  <si>
    <t>14KG</t>
    <phoneticPr fontId="1" type="noConversion"/>
  </si>
  <si>
    <t>도배용</t>
    <phoneticPr fontId="1" type="noConversion"/>
  </si>
  <si>
    <t>도배 견적</t>
    <phoneticPr fontId="1" type="noConversion"/>
  </si>
  <si>
    <t>재단</t>
    <phoneticPr fontId="1" type="noConversion"/>
  </si>
  <si>
    <t>아이텍스</t>
    <phoneticPr fontId="1" type="noConversion"/>
  </si>
  <si>
    <t>바인더</t>
    <phoneticPr fontId="1" type="noConversion"/>
  </si>
  <si>
    <t>목공용</t>
    <phoneticPr fontId="1" type="noConversion"/>
  </si>
  <si>
    <t>구분</t>
    <phoneticPr fontId="1" type="noConversion"/>
  </si>
  <si>
    <t>흰색/민무늬</t>
    <phoneticPr fontId="1" type="noConversion"/>
  </si>
  <si>
    <t>세로(길이)</t>
    <phoneticPr fontId="1" type="noConversion"/>
  </si>
  <si>
    <t>가로(폭)</t>
    <phoneticPr fontId="1" type="noConversion"/>
  </si>
  <si>
    <t>7KG</t>
    <phoneticPr fontId="1" type="noConversion"/>
  </si>
  <si>
    <t>풀 소요량</t>
    <phoneticPr fontId="1" type="noConversion"/>
  </si>
  <si>
    <t>오공</t>
    <phoneticPr fontId="1" type="noConversion"/>
  </si>
  <si>
    <t>4KG</t>
    <phoneticPr fontId="1" type="noConversion"/>
  </si>
  <si>
    <t>HJ-035</t>
    <phoneticPr fontId="1" type="noConversion"/>
  </si>
  <si>
    <t>53*6250(㎝)</t>
    <phoneticPr fontId="1" type="noConversion"/>
  </si>
  <si>
    <t>53*1230(㎝)</t>
    <phoneticPr fontId="1" type="noConversion"/>
  </si>
  <si>
    <t>견  적  서</t>
  </si>
  <si>
    <t>NO.</t>
  </si>
  <si>
    <t>년</t>
  </si>
  <si>
    <t>월</t>
  </si>
  <si>
    <t>일</t>
  </si>
  <si>
    <t>공
급
자</t>
  </si>
  <si>
    <t>등 록 번 호</t>
  </si>
  <si>
    <t>상호(법인명)</t>
  </si>
  <si>
    <t>성명</t>
  </si>
  <si>
    <t>(인)</t>
  </si>
  <si>
    <t>귀하</t>
  </si>
  <si>
    <t>사업장주소</t>
  </si>
  <si>
    <t>업 태</t>
  </si>
  <si>
    <t>종목</t>
  </si>
  <si>
    <t>아래와 같이 계산합니다.</t>
  </si>
  <si>
    <t>전화번호</t>
  </si>
  <si>
    <t>금</t>
  </si>
  <si>
    <t>원</t>
  </si>
  <si>
    <t>( \</t>
  </si>
  <si>
    <t>)</t>
  </si>
  <si>
    <t>규 격</t>
  </si>
  <si>
    <t>수 량</t>
  </si>
  <si>
    <t>단 가</t>
  </si>
  <si>
    <t>공 급 가 액</t>
  </si>
  <si>
    <t>세 액</t>
  </si>
  <si>
    <t>계</t>
  </si>
  <si>
    <t>시공면적</t>
    <phoneticPr fontId="1" type="noConversion"/>
  </si>
  <si>
    <t>시공부위</t>
    <phoneticPr fontId="1" type="noConversion"/>
  </si>
  <si>
    <t>세 액</t>
    <phoneticPr fontId="1" type="noConversion"/>
  </si>
  <si>
    <t>소 계</t>
    <phoneticPr fontId="1" type="noConversion"/>
  </si>
  <si>
    <t>계</t>
    <phoneticPr fontId="1" type="noConversion"/>
  </si>
  <si>
    <t>견적용</t>
    <phoneticPr fontId="1" type="noConversion"/>
  </si>
  <si>
    <t>품 명</t>
    <phoneticPr fontId="1" type="noConversion"/>
  </si>
  <si>
    <t>구 분</t>
    <phoneticPr fontId="1" type="noConversion"/>
  </si>
  <si>
    <t>도배</t>
    <phoneticPr fontId="1" type="noConversion"/>
  </si>
  <si>
    <t>철거 및 보수</t>
    <phoneticPr fontId="1" type="noConversion"/>
  </si>
  <si>
    <t>주재료비</t>
    <phoneticPr fontId="1" type="noConversion"/>
  </si>
  <si>
    <t>광폭합지</t>
    <phoneticPr fontId="1" type="noConversion"/>
  </si>
  <si>
    <t>소폭합지</t>
    <phoneticPr fontId="1" type="noConversion"/>
  </si>
  <si>
    <t>실크지</t>
    <phoneticPr fontId="1" type="noConversion"/>
  </si>
  <si>
    <t>롤</t>
    <phoneticPr fontId="1" type="noConversion"/>
  </si>
  <si>
    <t>부재료비</t>
    <phoneticPr fontId="1" type="noConversion"/>
  </si>
  <si>
    <t>기타</t>
    <phoneticPr fontId="1" type="noConversion"/>
  </si>
  <si>
    <t>쓰레기봉투</t>
    <phoneticPr fontId="1" type="noConversion"/>
  </si>
  <si>
    <t>개</t>
    <phoneticPr fontId="1" type="noConversion"/>
  </si>
  <si>
    <t>7KG/개</t>
    <phoneticPr fontId="1" type="noConversion"/>
  </si>
  <si>
    <t>4KG/개</t>
    <phoneticPr fontId="1" type="noConversion"/>
  </si>
  <si>
    <t>식</t>
    <phoneticPr fontId="1" type="noConversion"/>
  </si>
  <si>
    <t>방1</t>
    <phoneticPr fontId="1" type="noConversion"/>
  </si>
  <si>
    <t>방2</t>
    <phoneticPr fontId="1" type="noConversion"/>
  </si>
  <si>
    <t>방3</t>
    <phoneticPr fontId="1" type="noConversion"/>
  </si>
  <si>
    <t>거실</t>
    <phoneticPr fontId="1" type="noConversion"/>
  </si>
  <si>
    <t>E벽</t>
    <phoneticPr fontId="1" type="noConversion"/>
  </si>
  <si>
    <t>F벽</t>
    <phoneticPr fontId="1" type="noConversion"/>
  </si>
  <si>
    <t>G벽</t>
    <phoneticPr fontId="1" type="noConversion"/>
  </si>
  <si>
    <t>H벽</t>
    <phoneticPr fontId="1" type="noConversion"/>
  </si>
  <si>
    <t>천정 A</t>
    <phoneticPr fontId="1" type="noConversion"/>
  </si>
  <si>
    <t>천정 B</t>
    <phoneticPr fontId="1" type="noConversion"/>
  </si>
  <si>
    <t>설치면적</t>
    <phoneticPr fontId="1" type="noConversion"/>
  </si>
  <si>
    <t>실평수</t>
    <phoneticPr fontId="1" type="noConversion"/>
  </si>
  <si>
    <t>냉장고</t>
    <phoneticPr fontId="1" type="noConversion"/>
  </si>
  <si>
    <t>퍼티</t>
    <phoneticPr fontId="1" type="noConversion"/>
  </si>
  <si>
    <t>쌍곰</t>
    <phoneticPr fontId="1" type="noConversion"/>
  </si>
  <si>
    <t>20kg</t>
    <phoneticPr fontId="1" type="noConversion"/>
  </si>
  <si>
    <t>철거</t>
    <phoneticPr fontId="1" type="noConversion"/>
  </si>
  <si>
    <t>(공급가액+세액)</t>
    <phoneticPr fontId="1" type="noConversion"/>
  </si>
  <si>
    <t>15평/1인</t>
    <phoneticPr fontId="1" type="noConversion"/>
  </si>
  <si>
    <t>30평/1인</t>
    <phoneticPr fontId="1" type="noConversion"/>
  </si>
  <si>
    <t>잡자재비</t>
    <phoneticPr fontId="1" type="noConversion"/>
  </si>
  <si>
    <t>네고</t>
    <phoneticPr fontId="1" type="noConversion"/>
  </si>
  <si>
    <t>철거비</t>
    <phoneticPr fontId="1" type="noConversion"/>
  </si>
  <si>
    <t>식비 / 교통비 / 공구사용료</t>
    <phoneticPr fontId="1" type="noConversion"/>
  </si>
  <si>
    <t>25-01</t>
    <phoneticPr fontId="1" type="noConversion"/>
  </si>
  <si>
    <t>공간 인테리어</t>
    <phoneticPr fontId="1" type="noConversion"/>
  </si>
  <si>
    <t>건설업</t>
    <phoneticPr fontId="1" type="noConversion"/>
  </si>
  <si>
    <t>※ 견적조건 및 마감사양</t>
    <phoneticPr fontId="1" type="noConversion"/>
  </si>
  <si>
    <t>1. 공사기간: 3일 (철거 및 밑작업: 2일 / 도배 1일)</t>
    <phoneticPr fontId="1" type="noConversion"/>
  </si>
  <si>
    <t>2. 곰팡이 제거 및 철거 완료사진 제출</t>
    <phoneticPr fontId="1" type="noConversion"/>
  </si>
  <si>
    <t>안 경 민</t>
    <phoneticPr fontId="1" type="noConversion"/>
  </si>
  <si>
    <t>식대</t>
    <phoneticPr fontId="1" type="noConversion"/>
  </si>
  <si>
    <t>교통비</t>
    <phoneticPr fontId="1" type="noConversion"/>
  </si>
  <si>
    <t>일당</t>
    <phoneticPr fontId="1" type="noConversion"/>
  </si>
  <si>
    <t>곰팡이 제거제</t>
    <phoneticPr fontId="1" type="noConversion"/>
  </si>
  <si>
    <t>110*3000(㎝)</t>
    <phoneticPr fontId="1" type="noConversion"/>
  </si>
  <si>
    <t>실비</t>
    <phoneticPr fontId="1" type="noConversion"/>
  </si>
  <si>
    <t>3. 현관 붙박이장 및 냉장고 뒤편 등 일부 작업이 어려운 부분이 있을수 있음</t>
    <phoneticPr fontId="1" type="noConversion"/>
  </si>
  <si>
    <t>(3000~4000원/평)</t>
    <phoneticPr fontId="1" type="noConversion"/>
  </si>
  <si>
    <t>욕실</t>
    <phoneticPr fontId="1" type="noConversion"/>
  </si>
  <si>
    <t>구분1</t>
    <phoneticPr fontId="1" type="noConversion"/>
  </si>
  <si>
    <t>구분2</t>
    <phoneticPr fontId="1" type="noConversion"/>
  </si>
  <si>
    <t>싱크대</t>
    <phoneticPr fontId="1" type="noConversion"/>
  </si>
  <si>
    <t>몰딩</t>
    <phoneticPr fontId="1" type="noConversion"/>
  </si>
  <si>
    <t>방문</t>
    <phoneticPr fontId="1" type="noConversion"/>
  </si>
  <si>
    <t>문틀</t>
    <phoneticPr fontId="1" type="noConversion"/>
  </si>
  <si>
    <t>식기</t>
    <phoneticPr fontId="1" type="noConversion"/>
  </si>
  <si>
    <t>강마루</t>
    <phoneticPr fontId="1" type="noConversion"/>
  </si>
  <si>
    <t>조명</t>
    <phoneticPr fontId="1" type="noConversion"/>
  </si>
  <si>
    <t>합지</t>
    <phoneticPr fontId="1" type="noConversion"/>
  </si>
  <si>
    <t>평</t>
    <phoneticPr fontId="1" type="noConversion"/>
  </si>
  <si>
    <t>바닥</t>
    <phoneticPr fontId="1" type="noConversion"/>
  </si>
  <si>
    <t>장판</t>
    <phoneticPr fontId="1" type="noConversion"/>
  </si>
  <si>
    <t>돌마루</t>
    <phoneticPr fontId="1" type="noConversion"/>
  </si>
  <si>
    <t>타일</t>
    <phoneticPr fontId="1" type="noConversion"/>
  </si>
  <si>
    <t>데코타일</t>
    <phoneticPr fontId="1" type="noConversion"/>
  </si>
  <si>
    <t>거실등</t>
    <phoneticPr fontId="1" type="noConversion"/>
  </si>
  <si>
    <t>방등</t>
    <phoneticPr fontId="1" type="noConversion"/>
  </si>
  <si>
    <t>주방등</t>
    <phoneticPr fontId="1" type="noConversion"/>
  </si>
  <si>
    <t>식탁등</t>
    <phoneticPr fontId="1" type="noConversion"/>
  </si>
  <si>
    <t>욕실등</t>
    <phoneticPr fontId="1" type="noConversion"/>
  </si>
  <si>
    <t>직부/센서</t>
    <phoneticPr fontId="1" type="noConversion"/>
  </si>
  <si>
    <t>도어</t>
    <phoneticPr fontId="1" type="noConversion"/>
  </si>
  <si>
    <t>중문</t>
    <phoneticPr fontId="1" type="noConversion"/>
  </si>
  <si>
    <t>3연동</t>
    <phoneticPr fontId="1" type="noConversion"/>
  </si>
  <si>
    <t>현관문</t>
    <phoneticPr fontId="1" type="noConversion"/>
  </si>
  <si>
    <t>탄성/페인트</t>
    <phoneticPr fontId="1" type="noConversion"/>
  </si>
  <si>
    <t>베란다</t>
    <phoneticPr fontId="1" type="noConversion"/>
  </si>
  <si>
    <t>샤시</t>
    <phoneticPr fontId="1" type="noConversion"/>
  </si>
  <si>
    <t>창고문</t>
    <phoneticPr fontId="1" type="noConversion"/>
  </si>
  <si>
    <t>걸레받이</t>
    <phoneticPr fontId="1" type="noConversion"/>
  </si>
  <si>
    <t>m</t>
    <phoneticPr fontId="1" type="noConversion"/>
  </si>
  <si>
    <t>최소가격</t>
    <phoneticPr fontId="1" type="noConversion"/>
  </si>
  <si>
    <t>최대가격</t>
    <phoneticPr fontId="1" type="noConversion"/>
  </si>
  <si>
    <t>비고</t>
    <phoneticPr fontId="1" type="noConversion"/>
  </si>
  <si>
    <t>교체비용</t>
    <phoneticPr fontId="1" type="noConversion"/>
  </si>
  <si>
    <t>총 시공비</t>
    <phoneticPr fontId="1" type="noConversion"/>
  </si>
  <si>
    <t>자재비</t>
    <phoneticPr fontId="1" type="noConversion"/>
  </si>
  <si>
    <t>세부 시공비</t>
    <phoneticPr fontId="1" type="noConversion"/>
  </si>
  <si>
    <t>필름</t>
    <phoneticPr fontId="1" type="noConversion"/>
  </si>
  <si>
    <t>가구</t>
    <phoneticPr fontId="1" type="noConversion"/>
  </si>
  <si>
    <t>신발장</t>
    <phoneticPr fontId="1" type="noConversion"/>
  </si>
  <si>
    <t>붙박이장</t>
    <phoneticPr fontId="1" type="noConversion"/>
  </si>
  <si>
    <t>베란다 확장</t>
    <phoneticPr fontId="1" type="noConversion"/>
  </si>
  <si>
    <t>작은방</t>
    <phoneticPr fontId="1" type="noConversion"/>
  </si>
  <si>
    <t>샷시</t>
    <phoneticPr fontId="1" type="noConversion"/>
  </si>
  <si>
    <t>주방</t>
    <phoneticPr fontId="1" type="noConversion"/>
  </si>
  <si>
    <t>목공사</t>
    <phoneticPr fontId="1" type="noConversion"/>
  </si>
  <si>
    <t>가벽</t>
    <phoneticPr fontId="1" type="noConversion"/>
  </si>
  <si>
    <t>벽장재</t>
    <phoneticPr fontId="1" type="noConversion"/>
  </si>
  <si>
    <t>K보드</t>
    <phoneticPr fontId="1" type="noConversion"/>
  </si>
  <si>
    <t>N보드</t>
    <phoneticPr fontId="1" type="noConversion"/>
  </si>
  <si>
    <t>아트월</t>
    <phoneticPr fontId="1" type="noConversion"/>
  </si>
  <si>
    <t>콘센트</t>
    <phoneticPr fontId="1" type="noConversion"/>
  </si>
  <si>
    <t>실린더</t>
    <phoneticPr fontId="1" type="noConversion"/>
  </si>
  <si>
    <t>건조대</t>
    <phoneticPr fontId="1" type="noConversion"/>
  </si>
  <si>
    <t>인터폰</t>
    <phoneticPr fontId="1" type="noConversion"/>
  </si>
  <si>
    <t>도어락</t>
    <phoneticPr fontId="1" type="noConversion"/>
  </si>
  <si>
    <t>방충망</t>
    <phoneticPr fontId="1" type="noConversion"/>
  </si>
  <si>
    <t>싱크후드</t>
    <phoneticPr fontId="1" type="noConversion"/>
  </si>
  <si>
    <t>싱크볼</t>
    <phoneticPr fontId="1" type="noConversion"/>
  </si>
  <si>
    <t>싱크수전</t>
    <phoneticPr fontId="1" type="noConversion"/>
  </si>
  <si>
    <t>폐기물비</t>
    <phoneticPr fontId="1" type="noConversion"/>
  </si>
  <si>
    <t>공과잡비</t>
    <phoneticPr fontId="1" type="noConversion"/>
  </si>
  <si>
    <t>엘베보양</t>
    <phoneticPr fontId="1" type="noConversion"/>
  </si>
  <si>
    <t>동의서</t>
    <phoneticPr fontId="1" type="noConversion"/>
  </si>
  <si>
    <t>입주청소</t>
    <phoneticPr fontId="1" type="noConversion"/>
  </si>
  <si>
    <t>부가세</t>
    <phoneticPr fontId="1" type="noConversion"/>
  </si>
  <si>
    <t>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</si>
</sst>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.00\ \(&quot;㎡&quot;\)"/>
    <numFmt numFmtId="177" formatCode="0.0_ "/>
    <numFmt numFmtId="178" formatCode="0.00\ \(&quot;m&quot;\)"/>
    <numFmt numFmtId="179" formatCode="#,##0_ "/>
    <numFmt numFmtId="180" formatCode="#,##0_);\(#,##0\)"/>
    <numFmt numFmtId="181" formatCode="0.00\(&quot;㎡/kg&quot;\)"/>
    <numFmt numFmtId="182" formatCode="0\ \(&quot;㎡&quot;\)"/>
    <numFmt numFmtId="183" formatCode="0.00\ \(&quot;kg&quot;\)"/>
    <numFmt numFmtId="184" formatCode="0.00_ "/>
    <numFmt numFmtId="185" formatCode="0.00_);[Red]\(0.00\)"/>
    <numFmt numFmtId="186" formatCode="0.00\ \(&quot;평&quot;\)"/>
    <numFmt numFmtId="187" formatCode="0\ \(&quot;평&quot;\)"/>
    <numFmt numFmtId="188" formatCode="0\ &quot;일&quot;"/>
    <numFmt numFmtId="189" formatCode="0\ &quot;공&quot;"/>
    <numFmt numFmtId="190" formatCode="#,##0;[Red]#,##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9" fontId="0" fillId="0" borderId="1" xfId="0" applyNumberFormat="1" applyBorder="1">
      <alignment vertical="center"/>
    </xf>
    <xf numFmtId="180" fontId="0" fillId="3" borderId="10" xfId="0" applyNumberFormat="1" applyFill="1" applyBorder="1">
      <alignment vertical="center"/>
    </xf>
    <xf numFmtId="180" fontId="0" fillId="3" borderId="9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177" fontId="4" fillId="0" borderId="1" xfId="0" applyNumberFormat="1" applyFont="1" applyBorder="1">
      <alignment vertical="center"/>
    </xf>
    <xf numFmtId="181" fontId="0" fillId="0" borderId="0" xfId="0" applyNumberForma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41" fontId="7" fillId="0" borderId="0" xfId="0" applyNumberFormat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83" fontId="0" fillId="0" borderId="9" xfId="0" applyNumberFormat="1" applyBorder="1" applyAlignment="1">
      <alignment horizontal="center" vertical="center"/>
    </xf>
    <xf numFmtId="0" fontId="0" fillId="6" borderId="1" xfId="0" applyFill="1" applyBorder="1">
      <alignment vertical="center"/>
    </xf>
    <xf numFmtId="181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185" fontId="3" fillId="0" borderId="1" xfId="0" applyNumberFormat="1" applyFont="1" applyBorder="1">
      <alignment vertical="center"/>
    </xf>
    <xf numFmtId="185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3" borderId="0" xfId="0" applyNumberFormat="1" applyFill="1" applyAlignment="1">
      <alignment horizontal="center" vertical="center"/>
    </xf>
    <xf numFmtId="186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179" fontId="0" fillId="0" borderId="0" xfId="0" applyNumberFormat="1">
      <alignment vertical="center"/>
    </xf>
    <xf numFmtId="188" fontId="5" fillId="0" borderId="0" xfId="0" applyNumberFormat="1" applyFont="1" applyAlignment="1">
      <alignment horizontal="left" vertical="center"/>
    </xf>
    <xf numFmtId="189" fontId="5" fillId="0" borderId="0" xfId="0" applyNumberFormat="1" applyFont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19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90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90" fontId="0" fillId="6" borderId="9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right" vertical="center"/>
    </xf>
    <xf numFmtId="179" fontId="5" fillId="0" borderId="22" xfId="0" applyNumberFormat="1" applyFont="1" applyBorder="1" applyAlignment="1">
      <alignment horizontal="right" vertical="center"/>
    </xf>
    <xf numFmtId="41" fontId="5" fillId="0" borderId="35" xfId="0" applyNumberFormat="1" applyFont="1" applyBorder="1" applyAlignment="1">
      <alignment horizontal="center" vertical="center"/>
    </xf>
    <xf numFmtId="41" fontId="5" fillId="0" borderId="10" xfId="0" applyNumberFormat="1" applyFont="1" applyBorder="1" applyAlignment="1">
      <alignment horizontal="center" vertical="center"/>
    </xf>
    <xf numFmtId="41" fontId="5" fillId="0" borderId="21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9" fontId="5" fillId="0" borderId="18" xfId="0" applyNumberFormat="1" applyFont="1" applyBorder="1" applyAlignment="1">
      <alignment horizontal="right" vertical="center"/>
    </xf>
    <xf numFmtId="179" fontId="5" fillId="0" borderId="19" xfId="0" applyNumberFormat="1" applyFont="1" applyBorder="1" applyAlignment="1">
      <alignment horizontal="right" vertical="center"/>
    </xf>
    <xf numFmtId="41" fontId="5" fillId="0" borderId="17" xfId="0" applyNumberFormat="1" applyFont="1" applyBorder="1" applyAlignment="1">
      <alignment horizontal="center" vertical="center"/>
    </xf>
    <xf numFmtId="41" fontId="5" fillId="0" borderId="18" xfId="0" applyNumberFormat="1" applyFont="1" applyBorder="1" applyAlignment="1">
      <alignment horizontal="center" vertical="center"/>
    </xf>
    <xf numFmtId="41" fontId="5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5" fillId="5" borderId="37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41" fontId="5" fillId="5" borderId="25" xfId="0" applyNumberFormat="1" applyFont="1" applyFill="1" applyBorder="1" applyAlignment="1">
      <alignment horizontal="center" vertical="center"/>
    </xf>
    <xf numFmtId="41" fontId="5" fillId="5" borderId="26" xfId="0" applyNumberFormat="1" applyFont="1" applyFill="1" applyBorder="1" applyAlignment="1">
      <alignment horizontal="center" vertical="center"/>
    </xf>
    <xf numFmtId="41" fontId="5" fillId="5" borderId="27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82" fontId="5" fillId="5" borderId="38" xfId="0" applyNumberFormat="1" applyFont="1" applyFill="1" applyBorder="1" applyAlignment="1">
      <alignment horizontal="center" vertical="center"/>
    </xf>
    <xf numFmtId="182" fontId="5" fillId="5" borderId="26" xfId="0" applyNumberFormat="1" applyFont="1" applyFill="1" applyBorder="1" applyAlignment="1">
      <alignment horizontal="center" vertical="center"/>
    </xf>
    <xf numFmtId="182" fontId="5" fillId="5" borderId="43" xfId="0" applyNumberFormat="1" applyFont="1" applyFill="1" applyBorder="1" applyAlignment="1">
      <alignment horizontal="center" vertical="center"/>
    </xf>
    <xf numFmtId="187" fontId="5" fillId="5" borderId="38" xfId="0" applyNumberFormat="1" applyFont="1" applyFill="1" applyBorder="1" applyAlignment="1">
      <alignment horizontal="center" vertical="center"/>
    </xf>
    <xf numFmtId="187" fontId="5" fillId="5" borderId="26" xfId="0" applyNumberFormat="1" applyFont="1" applyFill="1" applyBorder="1" applyAlignment="1">
      <alignment horizontal="center" vertical="center"/>
    </xf>
    <xf numFmtId="187" fontId="5" fillId="5" borderId="43" xfId="0" applyNumberFormat="1" applyFont="1" applyFill="1" applyBorder="1" applyAlignment="1">
      <alignment horizontal="center" vertical="center"/>
    </xf>
    <xf numFmtId="179" fontId="5" fillId="0" borderId="8" xfId="0" applyNumberFormat="1" applyFont="1" applyBorder="1" applyAlignment="1">
      <alignment horizontal="right" vertical="center"/>
    </xf>
    <xf numFmtId="41" fontId="7" fillId="0" borderId="8" xfId="0" applyNumberFormat="1" applyFont="1" applyBorder="1" applyAlignment="1">
      <alignment horizontal="center" vertical="center"/>
    </xf>
    <xf numFmtId="41" fontId="7" fillId="0" borderId="10" xfId="0" applyNumberFormat="1" applyFont="1" applyBorder="1" applyAlignment="1">
      <alignment horizontal="center" vertical="center"/>
    </xf>
    <xf numFmtId="41" fontId="7" fillId="0" borderId="21" xfId="0" applyNumberFormat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41" fontId="7" fillId="5" borderId="43" xfId="0" applyNumberFormat="1" applyFont="1" applyFill="1" applyBorder="1" applyAlignment="1">
      <alignment horizontal="center" vertical="center"/>
    </xf>
    <xf numFmtId="41" fontId="7" fillId="5" borderId="37" xfId="0" applyNumberFormat="1" applyFont="1" applyFill="1" applyBorder="1" applyAlignment="1">
      <alignment horizontal="center" vertical="center"/>
    </xf>
    <xf numFmtId="41" fontId="7" fillId="5" borderId="44" xfId="0" applyNumberFormat="1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1" fontId="5" fillId="0" borderId="6" xfId="0" applyNumberFormat="1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41" fontId="7" fillId="0" borderId="41" xfId="0" applyNumberFormat="1" applyFont="1" applyBorder="1" applyAlignment="1">
      <alignment horizontal="center" vertical="center"/>
    </xf>
    <xf numFmtId="41" fontId="7" fillId="0" borderId="42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41" fontId="5" fillId="5" borderId="29" xfId="0" applyNumberFormat="1" applyFont="1" applyFill="1" applyBorder="1" applyAlignment="1">
      <alignment horizontal="center" vertical="center"/>
    </xf>
    <xf numFmtId="41" fontId="5" fillId="5" borderId="30" xfId="0" applyNumberFormat="1" applyFont="1" applyFill="1" applyBorder="1" applyAlignment="1">
      <alignment horizontal="center" vertical="center"/>
    </xf>
    <xf numFmtId="41" fontId="5" fillId="5" borderId="31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right" vertical="center"/>
    </xf>
    <xf numFmtId="41" fontId="5" fillId="0" borderId="22" xfId="0" applyNumberFormat="1" applyFont="1" applyBorder="1" applyAlignment="1">
      <alignment horizontal="right" vertical="center"/>
    </xf>
    <xf numFmtId="41" fontId="5" fillId="0" borderId="20" xfId="0" applyNumberFormat="1" applyFont="1" applyBorder="1" applyAlignment="1">
      <alignment horizontal="center" vertical="center"/>
    </xf>
    <xf numFmtId="41" fontId="5" fillId="0" borderId="2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right" vertical="center"/>
    </xf>
    <xf numFmtId="179" fontId="5" fillId="0" borderId="2" xfId="0" applyNumberFormat="1" applyFont="1" applyBorder="1" applyAlignment="1">
      <alignment horizontal="right" vertical="center"/>
    </xf>
    <xf numFmtId="41" fontId="5" fillId="0" borderId="40" xfId="0" applyNumberFormat="1" applyFont="1" applyBorder="1" applyAlignment="1">
      <alignment horizontal="center" vertical="center"/>
    </xf>
    <xf numFmtId="41" fontId="5" fillId="0" borderId="41" xfId="0" applyNumberFormat="1" applyFont="1" applyBorder="1" applyAlignment="1">
      <alignment horizontal="center" vertical="center"/>
    </xf>
    <xf numFmtId="41" fontId="5" fillId="0" borderId="42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right" vertical="center"/>
    </xf>
    <xf numFmtId="41" fontId="5" fillId="0" borderId="32" xfId="0" applyNumberFormat="1" applyFont="1" applyBorder="1" applyAlignment="1">
      <alignment horizontal="center" vertical="center"/>
    </xf>
    <xf numFmtId="41" fontId="5" fillId="0" borderId="33" xfId="0" applyNumberFormat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7" fillId="5" borderId="26" xfId="0" applyNumberFormat="1" applyFont="1" applyFill="1" applyBorder="1" applyAlignment="1">
      <alignment horizontal="right" vertical="center"/>
    </xf>
    <xf numFmtId="41" fontId="7" fillId="5" borderId="26" xfId="0" applyNumberFormat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41" fontId="5" fillId="5" borderId="39" xfId="0" applyNumberFormat="1" applyFont="1" applyFill="1" applyBorder="1" applyAlignment="1">
      <alignment horizontal="center" vertical="center"/>
    </xf>
    <xf numFmtId="41" fontId="5" fillId="5" borderId="18" xfId="0" applyNumberFormat="1" applyFont="1" applyFill="1" applyBorder="1" applyAlignment="1">
      <alignment horizontal="center" vertical="center"/>
    </xf>
    <xf numFmtId="41" fontId="5" fillId="5" borderId="19" xfId="0" applyNumberFormat="1" applyFont="1" applyFill="1" applyBorder="1" applyAlignment="1">
      <alignment horizontal="center" vertical="center"/>
    </xf>
    <xf numFmtId="41" fontId="7" fillId="0" borderId="9" xfId="0" applyNumberFormat="1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/>
    </xf>
    <xf numFmtId="41" fontId="7" fillId="0" borderId="2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3" fontId="0" fillId="3" borderId="8" xfId="0" applyNumberFormat="1" applyFill="1" applyBorder="1" applyAlignment="1">
      <alignment horizontal="center" vertical="center"/>
    </xf>
    <xf numFmtId="178" fontId="0" fillId="3" borderId="8" xfId="0" applyNumberFormat="1" applyFill="1" applyBorder="1" applyAlignment="1">
      <alignment horizontal="center" vertical="center"/>
    </xf>
    <xf numFmtId="178" fontId="0" fillId="3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90" fontId="0" fillId="6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8197-457E-4D88-81B9-3BE1ED06A7B5}">
  <sheetPr>
    <tabColor rgb="FFFFC000"/>
  </sheetPr>
  <dimension ref="A1:AT56"/>
  <sheetViews>
    <sheetView view="pageBreakPreview" topLeftCell="A22" zoomScaleNormal="100" zoomScaleSheetLayoutView="100" workbookViewId="0">
      <selection activeCell="K59" sqref="K59"/>
    </sheetView>
  </sheetViews>
  <sheetFormatPr defaultColWidth="2" defaultRowHeight="12.75"/>
  <cols>
    <col min="1" max="44" width="2" style="29"/>
    <col min="45" max="45" width="16" style="29" customWidth="1"/>
    <col min="46" max="46" width="6.75" style="29" customWidth="1"/>
    <col min="47" max="16384" width="2" style="29"/>
  </cols>
  <sheetData>
    <row r="1" spans="1:44" ht="15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72" t="s">
        <v>55</v>
      </c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8"/>
    </row>
    <row r="2" spans="1:44" ht="15" customHeight="1">
      <c r="A2" s="30"/>
      <c r="B2" s="174" t="s">
        <v>56</v>
      </c>
      <c r="C2" s="174"/>
      <c r="D2" s="175" t="s">
        <v>127</v>
      </c>
      <c r="E2" s="175"/>
      <c r="F2" s="175"/>
      <c r="G2" s="175"/>
      <c r="H2" s="175"/>
      <c r="I2" s="175"/>
      <c r="J2" s="175"/>
      <c r="K2" s="175"/>
      <c r="L2" s="175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R2" s="31"/>
    </row>
    <row r="3" spans="1:44" ht="15" customHeight="1">
      <c r="A3" s="30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R3" s="31"/>
    </row>
    <row r="4" spans="1:44" ht="15" customHeight="1" thickBot="1">
      <c r="A4" s="30"/>
      <c r="AR4" s="31"/>
    </row>
    <row r="5" spans="1:44" ht="15" customHeight="1">
      <c r="A5" s="30"/>
      <c r="B5" s="77">
        <v>2025</v>
      </c>
      <c r="C5" s="77"/>
      <c r="D5" s="77"/>
      <c r="E5" s="29" t="s">
        <v>57</v>
      </c>
      <c r="F5" s="77">
        <v>7</v>
      </c>
      <c r="G5" s="77"/>
      <c r="H5" s="29" t="s">
        <v>58</v>
      </c>
      <c r="I5" s="77">
        <v>6</v>
      </c>
      <c r="J5" s="77"/>
      <c r="K5" s="77"/>
      <c r="L5" s="29" t="s">
        <v>59</v>
      </c>
      <c r="T5" s="176" t="s">
        <v>60</v>
      </c>
      <c r="U5" s="82"/>
      <c r="V5" s="82" t="s">
        <v>61</v>
      </c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177"/>
    </row>
    <row r="6" spans="1:44" ht="15" customHeight="1">
      <c r="A6" s="30"/>
      <c r="T6" s="79"/>
      <c r="U6" s="68"/>
      <c r="V6" s="68" t="s">
        <v>62</v>
      </c>
      <c r="W6" s="68"/>
      <c r="X6" s="68"/>
      <c r="Y6" s="68"/>
      <c r="Z6" s="68"/>
      <c r="AA6" s="68" t="s">
        <v>128</v>
      </c>
      <c r="AB6" s="68"/>
      <c r="AC6" s="68"/>
      <c r="AD6" s="68"/>
      <c r="AE6" s="68"/>
      <c r="AF6" s="68"/>
      <c r="AG6" s="68"/>
      <c r="AH6" s="68" t="s">
        <v>63</v>
      </c>
      <c r="AI6" s="68"/>
      <c r="AJ6" s="179" t="s">
        <v>133</v>
      </c>
      <c r="AK6" s="75"/>
      <c r="AL6" s="75"/>
      <c r="AM6" s="75"/>
      <c r="AN6" s="75"/>
      <c r="AO6" s="75"/>
      <c r="AP6" s="75"/>
      <c r="AQ6" s="33" t="s">
        <v>64</v>
      </c>
      <c r="AR6" s="34"/>
    </row>
    <row r="7" spans="1:44" ht="15" customHeight="1">
      <c r="A7" s="3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35" t="s">
        <v>65</v>
      </c>
      <c r="P7" s="36"/>
      <c r="T7" s="79"/>
      <c r="U7" s="68"/>
      <c r="V7" s="68" t="s">
        <v>66</v>
      </c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171"/>
    </row>
    <row r="8" spans="1:44" ht="15" customHeight="1">
      <c r="A8" s="30"/>
      <c r="T8" s="79"/>
      <c r="U8" s="68"/>
      <c r="V8" s="68" t="s">
        <v>67</v>
      </c>
      <c r="W8" s="68"/>
      <c r="X8" s="68"/>
      <c r="Y8" s="68"/>
      <c r="Z8" s="68"/>
      <c r="AA8" s="68" t="s">
        <v>129</v>
      </c>
      <c r="AB8" s="68"/>
      <c r="AC8" s="68"/>
      <c r="AD8" s="68"/>
      <c r="AE8" s="68"/>
      <c r="AF8" s="68"/>
      <c r="AG8" s="68"/>
      <c r="AH8" s="68" t="s">
        <v>68</v>
      </c>
      <c r="AI8" s="68"/>
      <c r="AJ8" s="68" t="s">
        <v>89</v>
      </c>
      <c r="AK8" s="68"/>
      <c r="AL8" s="68"/>
      <c r="AM8" s="68"/>
      <c r="AN8" s="68"/>
      <c r="AO8" s="68"/>
      <c r="AP8" s="68"/>
      <c r="AQ8" s="68"/>
      <c r="AR8" s="171"/>
    </row>
    <row r="9" spans="1:44" ht="15" customHeight="1" thickBot="1">
      <c r="A9" s="30"/>
      <c r="B9" s="29" t="s">
        <v>69</v>
      </c>
      <c r="T9" s="152"/>
      <c r="U9" s="146"/>
      <c r="V9" s="146" t="s">
        <v>70</v>
      </c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78"/>
    </row>
    <row r="10" spans="1:44" ht="20.100000000000001" customHeight="1" thickBot="1">
      <c r="A10" s="41"/>
      <c r="B10" s="42" t="s">
        <v>120</v>
      </c>
      <c r="C10" s="42"/>
      <c r="D10" s="42"/>
      <c r="E10" s="42"/>
      <c r="F10" s="42"/>
      <c r="G10" s="42"/>
      <c r="H10" s="42"/>
      <c r="I10" s="42"/>
      <c r="J10" s="42"/>
      <c r="K10" s="100" t="s">
        <v>71</v>
      </c>
      <c r="L10" s="100"/>
      <c r="M10" s="158">
        <f>AJ10</f>
        <v>1260000</v>
      </c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00" t="s">
        <v>72</v>
      </c>
      <c r="AG10" s="100"/>
      <c r="AH10" s="100" t="s">
        <v>73</v>
      </c>
      <c r="AI10" s="100"/>
      <c r="AJ10" s="159">
        <f>ROUNDDOWN((Z50+AJ50), -4)</f>
        <v>1260000</v>
      </c>
      <c r="AK10" s="159"/>
      <c r="AL10" s="159"/>
      <c r="AM10" s="159"/>
      <c r="AN10" s="159"/>
      <c r="AO10" s="159"/>
      <c r="AP10" s="159"/>
      <c r="AQ10" s="159"/>
      <c r="AR10" s="40" t="s">
        <v>74</v>
      </c>
    </row>
    <row r="11" spans="1:44" ht="9.9499999999999993" customHeight="1" thickBot="1">
      <c r="K11" s="32"/>
      <c r="L11" s="32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2"/>
      <c r="AG11" s="32"/>
      <c r="AH11" s="32"/>
      <c r="AI11" s="32"/>
      <c r="AJ11" s="38"/>
      <c r="AK11" s="38"/>
      <c r="AL11" s="38"/>
      <c r="AM11" s="38"/>
      <c r="AN11" s="38"/>
      <c r="AO11" s="38"/>
      <c r="AP11" s="38"/>
      <c r="AQ11" s="38"/>
      <c r="AR11" s="32"/>
    </row>
    <row r="12" spans="1:44" ht="20.100000000000001" customHeight="1">
      <c r="A12" s="95" t="s">
        <v>82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 t="s">
        <v>81</v>
      </c>
      <c r="M12" s="89"/>
      <c r="N12" s="89"/>
      <c r="O12" s="89"/>
      <c r="P12" s="89"/>
      <c r="Q12" s="89"/>
      <c r="R12" s="89"/>
      <c r="S12" s="89"/>
      <c r="T12" s="89" t="s">
        <v>15</v>
      </c>
      <c r="U12" s="89"/>
      <c r="V12" s="89"/>
      <c r="W12" s="89"/>
      <c r="X12" s="89"/>
      <c r="Y12" s="160"/>
      <c r="Z12" s="89" t="s">
        <v>78</v>
      </c>
      <c r="AA12" s="89"/>
      <c r="AB12" s="89"/>
      <c r="AC12" s="89"/>
      <c r="AD12" s="89"/>
      <c r="AE12" s="89"/>
      <c r="AF12" s="89"/>
      <c r="AG12" s="89"/>
      <c r="AH12" s="89"/>
      <c r="AI12" s="89"/>
      <c r="AJ12" s="163" t="s">
        <v>83</v>
      </c>
      <c r="AK12" s="164"/>
      <c r="AL12" s="164"/>
      <c r="AM12" s="164"/>
      <c r="AN12" s="164"/>
      <c r="AO12" s="164"/>
      <c r="AP12" s="164"/>
      <c r="AQ12" s="164"/>
      <c r="AR12" s="165"/>
    </row>
    <row r="13" spans="1:44" ht="15" customHeight="1">
      <c r="A13" s="79" t="s">
        <v>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133">
        <f>SUM(상세내역!E4:E18)</f>
        <v>119.80849000000002</v>
      </c>
      <c r="M13" s="133"/>
      <c r="N13" s="133"/>
      <c r="O13" s="133"/>
      <c r="P13" s="133"/>
      <c r="Q13" s="133"/>
      <c r="R13" s="133"/>
      <c r="S13" s="133"/>
      <c r="T13" s="169"/>
      <c r="U13" s="169"/>
      <c r="V13" s="169"/>
      <c r="W13" s="169"/>
      <c r="X13" s="169"/>
      <c r="Y13" s="92"/>
      <c r="Z13" s="90">
        <f t="shared" ref="Z13:Z14" si="0">P13*T13</f>
        <v>0</v>
      </c>
      <c r="AA13" s="90"/>
      <c r="AB13" s="90"/>
      <c r="AC13" s="90"/>
      <c r="AD13" s="90"/>
      <c r="AE13" s="90"/>
      <c r="AF13" s="90"/>
      <c r="AG13" s="90"/>
      <c r="AH13" s="90"/>
      <c r="AI13" s="90"/>
      <c r="AJ13" s="166"/>
      <c r="AK13" s="167"/>
      <c r="AL13" s="167"/>
      <c r="AM13" s="167"/>
      <c r="AN13" s="167"/>
      <c r="AO13" s="167"/>
      <c r="AP13" s="167"/>
      <c r="AQ13" s="167"/>
      <c r="AR13" s="168"/>
    </row>
    <row r="14" spans="1:44" ht="15" customHeight="1">
      <c r="A14" s="79" t="s">
        <v>106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133">
        <f>SUM(상세내역!E19:E29)</f>
        <v>74.466300000000018</v>
      </c>
      <c r="M14" s="133"/>
      <c r="N14" s="133"/>
      <c r="O14" s="133"/>
      <c r="P14" s="133"/>
      <c r="Q14" s="133"/>
      <c r="R14" s="133"/>
      <c r="S14" s="133"/>
      <c r="T14" s="92"/>
      <c r="U14" s="93"/>
      <c r="V14" s="93"/>
      <c r="W14" s="93"/>
      <c r="X14" s="93"/>
      <c r="Y14" s="94"/>
      <c r="Z14" s="90">
        <f t="shared" si="0"/>
        <v>0</v>
      </c>
      <c r="AA14" s="90"/>
      <c r="AB14" s="90"/>
      <c r="AC14" s="90"/>
      <c r="AD14" s="90"/>
      <c r="AE14" s="90"/>
      <c r="AF14" s="90"/>
      <c r="AG14" s="90"/>
      <c r="AH14" s="90"/>
      <c r="AI14" s="90"/>
      <c r="AJ14" s="109"/>
      <c r="AK14" s="110"/>
      <c r="AL14" s="110"/>
      <c r="AM14" s="110"/>
      <c r="AN14" s="110"/>
      <c r="AO14" s="110"/>
      <c r="AP14" s="110"/>
      <c r="AQ14" s="110"/>
      <c r="AR14" s="111"/>
    </row>
    <row r="15" spans="1:44" ht="15" customHeight="1" thickBot="1">
      <c r="A15" s="122"/>
      <c r="B15" s="123"/>
      <c r="C15" s="123"/>
      <c r="D15" s="123"/>
      <c r="E15" s="123"/>
      <c r="F15" s="123"/>
      <c r="G15" s="123"/>
      <c r="H15" s="123"/>
      <c r="I15" s="123"/>
      <c r="J15" s="123"/>
      <c r="K15" s="124"/>
      <c r="L15" s="125"/>
      <c r="M15" s="123"/>
      <c r="N15" s="123"/>
      <c r="O15" s="123"/>
      <c r="P15" s="123"/>
      <c r="Q15" s="123"/>
      <c r="R15" s="123"/>
      <c r="S15" s="124"/>
      <c r="T15" s="126"/>
      <c r="U15" s="127"/>
      <c r="V15" s="127"/>
      <c r="W15" s="127"/>
      <c r="X15" s="127"/>
      <c r="Y15" s="128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30"/>
      <c r="AK15" s="131"/>
      <c r="AL15" s="131"/>
      <c r="AM15" s="131"/>
      <c r="AN15" s="131"/>
      <c r="AO15" s="131"/>
      <c r="AP15" s="131"/>
      <c r="AQ15" s="131"/>
      <c r="AR15" s="132"/>
    </row>
    <row r="16" spans="1:44" ht="20.100000000000001" customHeight="1" thickBot="1">
      <c r="A16" s="161" t="s">
        <v>85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02">
        <f>SUM(L13:S15)</f>
        <v>194.27479000000005</v>
      </c>
      <c r="M16" s="103"/>
      <c r="N16" s="103"/>
      <c r="O16" s="104"/>
      <c r="P16" s="105">
        <f>L16*0.3025</f>
        <v>58.768123975000016</v>
      </c>
      <c r="Q16" s="106"/>
      <c r="R16" s="106"/>
      <c r="S16" s="107"/>
      <c r="T16" s="134"/>
      <c r="U16" s="134"/>
      <c r="V16" s="134"/>
      <c r="W16" s="134"/>
      <c r="X16" s="134"/>
      <c r="Y16" s="135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119"/>
      <c r="AK16" s="120"/>
      <c r="AL16" s="120"/>
      <c r="AM16" s="120"/>
      <c r="AN16" s="120"/>
      <c r="AO16" s="120"/>
      <c r="AP16" s="120"/>
      <c r="AQ16" s="120"/>
      <c r="AR16" s="121"/>
    </row>
    <row r="17" spans="1:46" ht="9.9499999999999993" customHeight="1" thickBo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8"/>
      <c r="U17" s="78"/>
      <c r="V17" s="78"/>
      <c r="W17" s="78"/>
      <c r="X17" s="78"/>
      <c r="Y17" s="78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</row>
    <row r="18" spans="1:46" ht="20.100000000000001" customHeight="1" thickBot="1">
      <c r="A18" s="112" t="s">
        <v>88</v>
      </c>
      <c r="B18" s="113"/>
      <c r="C18" s="113"/>
      <c r="D18" s="113"/>
      <c r="E18" s="114"/>
      <c r="F18" s="115" t="s">
        <v>87</v>
      </c>
      <c r="G18" s="113"/>
      <c r="H18" s="113"/>
      <c r="I18" s="113"/>
      <c r="J18" s="113"/>
      <c r="K18" s="114"/>
      <c r="L18" s="89" t="s">
        <v>75</v>
      </c>
      <c r="M18" s="89"/>
      <c r="N18" s="89"/>
      <c r="O18" s="89"/>
      <c r="P18" s="89" t="s">
        <v>76</v>
      </c>
      <c r="Q18" s="89"/>
      <c r="R18" s="89"/>
      <c r="S18" s="89"/>
      <c r="T18" s="89" t="s">
        <v>77</v>
      </c>
      <c r="U18" s="89"/>
      <c r="V18" s="89"/>
      <c r="W18" s="89"/>
      <c r="X18" s="89"/>
      <c r="Y18" s="160"/>
      <c r="Z18" s="112" t="s">
        <v>78</v>
      </c>
      <c r="AA18" s="113"/>
      <c r="AB18" s="113"/>
      <c r="AC18" s="113"/>
      <c r="AD18" s="113"/>
      <c r="AE18" s="113"/>
      <c r="AF18" s="113"/>
      <c r="AG18" s="113"/>
      <c r="AH18" s="113"/>
      <c r="AI18" s="153"/>
      <c r="AJ18" s="112" t="s">
        <v>79</v>
      </c>
      <c r="AK18" s="113"/>
      <c r="AL18" s="113"/>
      <c r="AM18" s="113"/>
      <c r="AN18" s="113"/>
      <c r="AO18" s="113"/>
      <c r="AP18" s="113"/>
      <c r="AQ18" s="113"/>
      <c r="AR18" s="153"/>
    </row>
    <row r="19" spans="1:46" ht="15" customHeight="1">
      <c r="A19" s="116" t="s">
        <v>20</v>
      </c>
      <c r="B19" s="117"/>
      <c r="C19" s="117"/>
      <c r="D19" s="117"/>
      <c r="E19" s="118"/>
      <c r="F19" s="82" t="s">
        <v>90</v>
      </c>
      <c r="G19" s="82"/>
      <c r="H19" s="82"/>
      <c r="I19" s="82"/>
      <c r="J19" s="82"/>
      <c r="K19" s="82"/>
      <c r="L19" s="82" t="s">
        <v>28</v>
      </c>
      <c r="M19" s="82"/>
      <c r="N19" s="82"/>
      <c r="O19" s="82"/>
      <c r="P19" s="82">
        <f>상세내역!S37</f>
        <v>3</v>
      </c>
      <c r="Q19" s="82"/>
      <c r="R19" s="82"/>
      <c r="S19" s="82"/>
      <c r="T19" s="83">
        <v>150000</v>
      </c>
      <c r="U19" s="83"/>
      <c r="V19" s="83"/>
      <c r="W19" s="83"/>
      <c r="X19" s="83"/>
      <c r="Y19" s="154"/>
      <c r="Z19" s="155">
        <f t="shared" ref="Z19:Z41" si="1">P19*T19</f>
        <v>450000</v>
      </c>
      <c r="AA19" s="156"/>
      <c r="AB19" s="156"/>
      <c r="AC19" s="156"/>
      <c r="AD19" s="156"/>
      <c r="AE19" s="156"/>
      <c r="AF19" s="156"/>
      <c r="AG19" s="156"/>
      <c r="AH19" s="156"/>
      <c r="AI19" s="157"/>
      <c r="AJ19" s="155"/>
      <c r="AK19" s="156"/>
      <c r="AL19" s="156"/>
      <c r="AM19" s="156"/>
      <c r="AN19" s="156"/>
      <c r="AO19" s="156"/>
      <c r="AP19" s="156"/>
      <c r="AQ19" s="156"/>
      <c r="AR19" s="157"/>
      <c r="AS19" s="58">
        <v>2</v>
      </c>
    </row>
    <row r="20" spans="1:46" ht="15" customHeight="1">
      <c r="A20" s="74"/>
      <c r="B20" s="75"/>
      <c r="C20" s="75"/>
      <c r="D20" s="75"/>
      <c r="E20" s="76"/>
      <c r="F20" s="68" t="s">
        <v>89</v>
      </c>
      <c r="G20" s="68"/>
      <c r="H20" s="68"/>
      <c r="I20" s="68"/>
      <c r="J20" s="68"/>
      <c r="K20" s="68"/>
      <c r="L20" s="68" t="s">
        <v>27</v>
      </c>
      <c r="M20" s="68"/>
      <c r="N20" s="68"/>
      <c r="O20" s="68"/>
      <c r="P20" s="68">
        <f>상세내역!Q37</f>
        <v>2</v>
      </c>
      <c r="Q20" s="68"/>
      <c r="R20" s="68"/>
      <c r="S20" s="68"/>
      <c r="T20" s="69">
        <v>250000</v>
      </c>
      <c r="U20" s="69"/>
      <c r="V20" s="69"/>
      <c r="W20" s="69"/>
      <c r="X20" s="69"/>
      <c r="Y20" s="108"/>
      <c r="Z20" s="71">
        <f t="shared" si="1"/>
        <v>500000</v>
      </c>
      <c r="AA20" s="72"/>
      <c r="AB20" s="72"/>
      <c r="AC20" s="72"/>
      <c r="AD20" s="72"/>
      <c r="AE20" s="72"/>
      <c r="AF20" s="72"/>
      <c r="AG20" s="72"/>
      <c r="AH20" s="72"/>
      <c r="AI20" s="73"/>
      <c r="AJ20" s="71"/>
      <c r="AK20" s="72"/>
      <c r="AL20" s="72"/>
      <c r="AM20" s="72"/>
      <c r="AN20" s="72"/>
      <c r="AO20" s="72"/>
      <c r="AP20" s="72"/>
      <c r="AQ20" s="72"/>
      <c r="AR20" s="73"/>
      <c r="AS20" s="59">
        <v>5</v>
      </c>
    </row>
    <row r="21" spans="1:46" ht="15" customHeight="1">
      <c r="A21" s="74"/>
      <c r="B21" s="75"/>
      <c r="C21" s="75"/>
      <c r="D21" s="75"/>
      <c r="E21" s="76"/>
      <c r="F21" s="68"/>
      <c r="G21" s="68"/>
      <c r="H21" s="68"/>
      <c r="I21" s="68"/>
      <c r="J21" s="68"/>
      <c r="K21" s="68"/>
      <c r="L21" s="68" t="s">
        <v>28</v>
      </c>
      <c r="M21" s="68"/>
      <c r="N21" s="68"/>
      <c r="O21" s="68"/>
      <c r="P21" s="68">
        <f>상세내역!R37</f>
        <v>0</v>
      </c>
      <c r="Q21" s="68"/>
      <c r="R21" s="68"/>
      <c r="S21" s="68"/>
      <c r="T21" s="69">
        <v>150000</v>
      </c>
      <c r="U21" s="69"/>
      <c r="V21" s="69"/>
      <c r="W21" s="69"/>
      <c r="X21" s="69"/>
      <c r="Y21" s="108"/>
      <c r="Z21" s="71">
        <f t="shared" si="1"/>
        <v>0</v>
      </c>
      <c r="AA21" s="72"/>
      <c r="AB21" s="72"/>
      <c r="AC21" s="72"/>
      <c r="AD21" s="72"/>
      <c r="AE21" s="72"/>
      <c r="AF21" s="72"/>
      <c r="AG21" s="72"/>
      <c r="AH21" s="72"/>
      <c r="AI21" s="73"/>
      <c r="AJ21" s="71"/>
      <c r="AK21" s="72"/>
      <c r="AL21" s="72"/>
      <c r="AM21" s="72"/>
      <c r="AN21" s="72"/>
      <c r="AO21" s="72"/>
      <c r="AP21" s="72"/>
      <c r="AQ21" s="72"/>
      <c r="AR21" s="73"/>
      <c r="AS21" s="60">
        <f>AS20*10000</f>
        <v>50000</v>
      </c>
      <c r="AT21" s="29" t="s">
        <v>134</v>
      </c>
    </row>
    <row r="22" spans="1:46" ht="15" customHeight="1" thickBot="1">
      <c r="A22" s="152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7"/>
      <c r="U22" s="147"/>
      <c r="V22" s="147"/>
      <c r="W22" s="147"/>
      <c r="X22" s="147"/>
      <c r="Y22" s="148"/>
      <c r="Z22" s="149"/>
      <c r="AA22" s="150"/>
      <c r="AB22" s="150"/>
      <c r="AC22" s="150"/>
      <c r="AD22" s="150"/>
      <c r="AE22" s="150"/>
      <c r="AF22" s="150"/>
      <c r="AG22" s="150"/>
      <c r="AH22" s="150"/>
      <c r="AI22" s="151"/>
      <c r="AJ22" s="149"/>
      <c r="AK22" s="150"/>
      <c r="AL22" s="150"/>
      <c r="AM22" s="150"/>
      <c r="AN22" s="150"/>
      <c r="AO22" s="150"/>
      <c r="AP22" s="150"/>
      <c r="AQ22" s="150"/>
      <c r="AR22" s="151"/>
      <c r="AS22" s="60">
        <f>AS20*10000</f>
        <v>50000</v>
      </c>
      <c r="AT22" s="29" t="s">
        <v>135</v>
      </c>
    </row>
    <row r="23" spans="1:46" ht="20.100000000000001" customHeight="1" thickBot="1">
      <c r="A23" s="99" t="s">
        <v>84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96">
        <f xml:space="preserve"> SUM(Z19:AI22)</f>
        <v>950000</v>
      </c>
      <c r="AA23" s="97"/>
      <c r="AB23" s="97"/>
      <c r="AC23" s="97"/>
      <c r="AD23" s="97"/>
      <c r="AE23" s="97"/>
      <c r="AF23" s="97"/>
      <c r="AG23" s="97"/>
      <c r="AH23" s="97"/>
      <c r="AI23" s="98"/>
      <c r="AJ23" s="96"/>
      <c r="AK23" s="97"/>
      <c r="AL23" s="97"/>
      <c r="AM23" s="97"/>
      <c r="AN23" s="97"/>
      <c r="AO23" s="97"/>
      <c r="AP23" s="97"/>
      <c r="AQ23" s="97"/>
      <c r="AR23" s="98"/>
      <c r="AS23" s="60">
        <f>((Z23-(AS21+AS22))/AS20)</f>
        <v>170000</v>
      </c>
      <c r="AT23" s="29" t="s">
        <v>136</v>
      </c>
    </row>
    <row r="24" spans="1:46" ht="9.9499999999999993" customHeight="1" thickBo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8"/>
      <c r="U24" s="78"/>
      <c r="V24" s="78"/>
      <c r="W24" s="78"/>
      <c r="X24" s="78"/>
      <c r="Y24" s="78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spans="1:46" ht="15" customHeight="1">
      <c r="A25" s="88" t="s">
        <v>91</v>
      </c>
      <c r="B25" s="82"/>
      <c r="C25" s="82"/>
      <c r="D25" s="82"/>
      <c r="E25" s="82"/>
      <c r="F25" s="82" t="s">
        <v>92</v>
      </c>
      <c r="G25" s="82"/>
      <c r="H25" s="82"/>
      <c r="I25" s="82"/>
      <c r="J25" s="82"/>
      <c r="K25" s="82"/>
      <c r="L25" s="82" t="s">
        <v>95</v>
      </c>
      <c r="M25" s="82"/>
      <c r="N25" s="82"/>
      <c r="O25" s="82"/>
      <c r="P25" s="82"/>
      <c r="Q25" s="82"/>
      <c r="R25" s="82"/>
      <c r="S25" s="82"/>
      <c r="T25" s="83"/>
      <c r="U25" s="83"/>
      <c r="V25" s="83"/>
      <c r="W25" s="83"/>
      <c r="X25" s="83"/>
      <c r="Y25" s="84"/>
      <c r="Z25" s="85">
        <f t="shared" si="1"/>
        <v>0</v>
      </c>
      <c r="AA25" s="86"/>
      <c r="AB25" s="86"/>
      <c r="AC25" s="86"/>
      <c r="AD25" s="86"/>
      <c r="AE25" s="86"/>
      <c r="AF25" s="86"/>
      <c r="AG25" s="86"/>
      <c r="AH25" s="86"/>
      <c r="AI25" s="87"/>
      <c r="AJ25" s="85"/>
      <c r="AK25" s="86"/>
      <c r="AL25" s="86"/>
      <c r="AM25" s="86"/>
      <c r="AN25" s="86"/>
      <c r="AO25" s="86"/>
      <c r="AP25" s="86"/>
      <c r="AQ25" s="86"/>
      <c r="AR25" s="87"/>
    </row>
    <row r="26" spans="1:46" ht="15" customHeight="1">
      <c r="A26" s="79"/>
      <c r="B26" s="68"/>
      <c r="C26" s="68"/>
      <c r="D26" s="68"/>
      <c r="E26" s="68"/>
      <c r="F26" s="68" t="s">
        <v>93</v>
      </c>
      <c r="G26" s="68"/>
      <c r="H26" s="68"/>
      <c r="I26" s="68"/>
      <c r="J26" s="68"/>
      <c r="K26" s="68"/>
      <c r="L26" s="68" t="s">
        <v>95</v>
      </c>
      <c r="M26" s="68"/>
      <c r="N26" s="68"/>
      <c r="O26" s="68"/>
      <c r="P26" s="68">
        <f>상세내역!N37</f>
        <v>8</v>
      </c>
      <c r="Q26" s="68"/>
      <c r="R26" s="68"/>
      <c r="S26" s="68"/>
      <c r="T26" s="69">
        <f>상세내역!N38</f>
        <v>23000</v>
      </c>
      <c r="U26" s="69"/>
      <c r="V26" s="69"/>
      <c r="W26" s="69"/>
      <c r="X26" s="69"/>
      <c r="Y26" s="70"/>
      <c r="Z26" s="144">
        <f t="shared" si="1"/>
        <v>184000</v>
      </c>
      <c r="AA26" s="90"/>
      <c r="AB26" s="90"/>
      <c r="AC26" s="90"/>
      <c r="AD26" s="90"/>
      <c r="AE26" s="90"/>
      <c r="AF26" s="90"/>
      <c r="AG26" s="90"/>
      <c r="AH26" s="90"/>
      <c r="AI26" s="145"/>
      <c r="AJ26" s="144"/>
      <c r="AK26" s="90"/>
      <c r="AL26" s="90"/>
      <c r="AM26" s="90"/>
      <c r="AN26" s="90"/>
      <c r="AO26" s="90"/>
      <c r="AP26" s="90"/>
      <c r="AQ26" s="90"/>
      <c r="AR26" s="145"/>
    </row>
    <row r="27" spans="1:46" ht="15" customHeight="1">
      <c r="A27" s="79"/>
      <c r="B27" s="68"/>
      <c r="C27" s="68"/>
      <c r="D27" s="68"/>
      <c r="E27" s="68"/>
      <c r="F27" s="68" t="s">
        <v>94</v>
      </c>
      <c r="G27" s="68"/>
      <c r="H27" s="68"/>
      <c r="I27" s="68"/>
      <c r="J27" s="68"/>
      <c r="K27" s="68"/>
      <c r="L27" s="68" t="s">
        <v>95</v>
      </c>
      <c r="M27" s="68"/>
      <c r="N27" s="68"/>
      <c r="O27" s="68"/>
      <c r="P27" s="68"/>
      <c r="Q27" s="68"/>
      <c r="R27" s="68"/>
      <c r="S27" s="68"/>
      <c r="T27" s="69"/>
      <c r="U27" s="69"/>
      <c r="V27" s="69"/>
      <c r="W27" s="69"/>
      <c r="X27" s="69"/>
      <c r="Y27" s="70"/>
      <c r="Z27" s="71">
        <f t="shared" si="1"/>
        <v>0</v>
      </c>
      <c r="AA27" s="72"/>
      <c r="AB27" s="72"/>
      <c r="AC27" s="72"/>
      <c r="AD27" s="72"/>
      <c r="AE27" s="72"/>
      <c r="AF27" s="72"/>
      <c r="AG27" s="72"/>
      <c r="AH27" s="72"/>
      <c r="AI27" s="73"/>
      <c r="AJ27" s="71"/>
      <c r="AK27" s="72"/>
      <c r="AL27" s="72"/>
      <c r="AM27" s="72"/>
      <c r="AN27" s="72"/>
      <c r="AO27" s="72"/>
      <c r="AP27" s="72"/>
      <c r="AQ27" s="72"/>
      <c r="AR27" s="73"/>
    </row>
    <row r="28" spans="1:46" ht="15" customHeight="1">
      <c r="A28" s="79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9"/>
      <c r="U28" s="69"/>
      <c r="V28" s="69"/>
      <c r="W28" s="69"/>
      <c r="X28" s="69"/>
      <c r="Y28" s="70"/>
      <c r="Z28" s="71"/>
      <c r="AA28" s="72"/>
      <c r="AB28" s="72"/>
      <c r="AC28" s="72"/>
      <c r="AD28" s="72"/>
      <c r="AE28" s="72"/>
      <c r="AF28" s="72"/>
      <c r="AG28" s="72"/>
      <c r="AH28" s="72"/>
      <c r="AI28" s="73"/>
      <c r="AJ28" s="71"/>
      <c r="AK28" s="72"/>
      <c r="AL28" s="72"/>
      <c r="AM28" s="72"/>
      <c r="AN28" s="72"/>
      <c r="AO28" s="72"/>
      <c r="AP28" s="72"/>
      <c r="AQ28" s="72"/>
      <c r="AR28" s="73"/>
    </row>
    <row r="29" spans="1:46" ht="15" customHeight="1">
      <c r="A29" s="79" t="s">
        <v>96</v>
      </c>
      <c r="B29" s="68"/>
      <c r="C29" s="68"/>
      <c r="D29" s="68"/>
      <c r="E29" s="68"/>
      <c r="F29" s="68" t="s">
        <v>41</v>
      </c>
      <c r="G29" s="68"/>
      <c r="H29" s="68"/>
      <c r="I29" s="68"/>
      <c r="J29" s="68"/>
      <c r="K29" s="68"/>
      <c r="L29" s="68" t="s">
        <v>95</v>
      </c>
      <c r="M29" s="68"/>
      <c r="N29" s="68"/>
      <c r="O29" s="68"/>
      <c r="P29" s="68">
        <f>상세내역!T37</f>
        <v>9</v>
      </c>
      <c r="Q29" s="68"/>
      <c r="R29" s="68"/>
      <c r="S29" s="68"/>
      <c r="T29" s="69">
        <f>상세내역!T38</f>
        <v>15000</v>
      </c>
      <c r="U29" s="69"/>
      <c r="V29" s="69"/>
      <c r="W29" s="69"/>
      <c r="X29" s="69"/>
      <c r="Y29" s="70"/>
      <c r="Z29" s="71">
        <f t="shared" si="1"/>
        <v>135000</v>
      </c>
      <c r="AA29" s="72"/>
      <c r="AB29" s="72"/>
      <c r="AC29" s="72"/>
      <c r="AD29" s="72"/>
      <c r="AE29" s="72"/>
      <c r="AF29" s="72"/>
      <c r="AG29" s="72"/>
      <c r="AH29" s="72"/>
      <c r="AI29" s="73"/>
      <c r="AJ29" s="71"/>
      <c r="AK29" s="72"/>
      <c r="AL29" s="72"/>
      <c r="AM29" s="72"/>
      <c r="AN29" s="72"/>
      <c r="AO29" s="72"/>
      <c r="AP29" s="72"/>
      <c r="AQ29" s="72"/>
      <c r="AR29" s="73"/>
    </row>
    <row r="30" spans="1:46" ht="15" customHeight="1">
      <c r="A30" s="79"/>
      <c r="B30" s="68"/>
      <c r="C30" s="68"/>
      <c r="D30" s="68"/>
      <c r="E30" s="68"/>
      <c r="F30" s="68" t="s">
        <v>22</v>
      </c>
      <c r="G30" s="68"/>
      <c r="H30" s="68"/>
      <c r="I30" s="68"/>
      <c r="J30" s="68"/>
      <c r="K30" s="68"/>
      <c r="L30" s="68" t="s">
        <v>95</v>
      </c>
      <c r="M30" s="68"/>
      <c r="N30" s="68"/>
      <c r="O30" s="68"/>
      <c r="P30" s="90">
        <f>상세내역!U37</f>
        <v>0</v>
      </c>
      <c r="Q30" s="90"/>
      <c r="R30" s="90"/>
      <c r="S30" s="90"/>
      <c r="T30" s="142">
        <f>상세내역!U38</f>
        <v>0</v>
      </c>
      <c r="U30" s="142"/>
      <c r="V30" s="142"/>
      <c r="W30" s="142"/>
      <c r="X30" s="142"/>
      <c r="Y30" s="143"/>
      <c r="Z30" s="71">
        <f t="shared" si="1"/>
        <v>0</v>
      </c>
      <c r="AA30" s="72"/>
      <c r="AB30" s="72"/>
      <c r="AC30" s="72"/>
      <c r="AD30" s="72"/>
      <c r="AE30" s="72"/>
      <c r="AF30" s="72"/>
      <c r="AG30" s="72"/>
      <c r="AH30" s="72"/>
      <c r="AI30" s="73"/>
      <c r="AJ30" s="71"/>
      <c r="AK30" s="72"/>
      <c r="AL30" s="72"/>
      <c r="AM30" s="72"/>
      <c r="AN30" s="72"/>
      <c r="AO30" s="72"/>
      <c r="AP30" s="72"/>
      <c r="AQ30" s="72"/>
      <c r="AR30" s="73"/>
    </row>
    <row r="31" spans="1:46" ht="15" customHeight="1">
      <c r="A31" s="79"/>
      <c r="B31" s="68"/>
      <c r="C31" s="68"/>
      <c r="D31" s="68"/>
      <c r="E31" s="68"/>
      <c r="F31" s="68" t="s">
        <v>23</v>
      </c>
      <c r="G31" s="68"/>
      <c r="H31" s="68"/>
      <c r="I31" s="68"/>
      <c r="J31" s="68"/>
      <c r="K31" s="68"/>
      <c r="L31" s="68" t="s">
        <v>95</v>
      </c>
      <c r="M31" s="68"/>
      <c r="N31" s="68"/>
      <c r="O31" s="68"/>
      <c r="P31" s="90">
        <f>상세내역!V37</f>
        <v>0</v>
      </c>
      <c r="Q31" s="90"/>
      <c r="R31" s="90"/>
      <c r="S31" s="90"/>
      <c r="T31" s="142">
        <f>상세내역!V37</f>
        <v>0</v>
      </c>
      <c r="U31" s="142"/>
      <c r="V31" s="142"/>
      <c r="W31" s="142"/>
      <c r="X31" s="142"/>
      <c r="Y31" s="143"/>
      <c r="Z31" s="71">
        <f t="shared" si="1"/>
        <v>0</v>
      </c>
      <c r="AA31" s="72"/>
      <c r="AB31" s="72"/>
      <c r="AC31" s="72"/>
      <c r="AD31" s="72"/>
      <c r="AE31" s="72"/>
      <c r="AF31" s="72"/>
      <c r="AG31" s="72"/>
      <c r="AH31" s="72"/>
      <c r="AI31" s="73"/>
      <c r="AJ31" s="71"/>
      <c r="AK31" s="72"/>
      <c r="AL31" s="72"/>
      <c r="AM31" s="72"/>
      <c r="AN31" s="72"/>
      <c r="AO31" s="72"/>
      <c r="AP31" s="72"/>
      <c r="AQ31" s="72"/>
      <c r="AR31" s="73"/>
    </row>
    <row r="32" spans="1:46" ht="15" customHeight="1">
      <c r="A32" s="79"/>
      <c r="B32" s="68"/>
      <c r="C32" s="68"/>
      <c r="D32" s="68"/>
      <c r="E32" s="68"/>
      <c r="F32" s="68" t="s">
        <v>116</v>
      </c>
      <c r="G32" s="68"/>
      <c r="H32" s="68"/>
      <c r="I32" s="68"/>
      <c r="J32" s="68"/>
      <c r="K32" s="68"/>
      <c r="L32" s="68" t="s">
        <v>99</v>
      </c>
      <c r="M32" s="68"/>
      <c r="N32" s="68"/>
      <c r="O32" s="68"/>
      <c r="P32" s="68">
        <f>상세내역!Y37</f>
        <v>1</v>
      </c>
      <c r="Q32" s="68"/>
      <c r="R32" s="68"/>
      <c r="S32" s="68"/>
      <c r="T32" s="142">
        <f>상세내역!Y38</f>
        <v>18000</v>
      </c>
      <c r="U32" s="142"/>
      <c r="V32" s="142"/>
      <c r="W32" s="142"/>
      <c r="X32" s="142"/>
      <c r="Y32" s="143"/>
      <c r="Z32" s="71">
        <f t="shared" ref="Z32" si="2">P32*T32</f>
        <v>18000</v>
      </c>
      <c r="AA32" s="72"/>
      <c r="AB32" s="72"/>
      <c r="AC32" s="72"/>
      <c r="AD32" s="72"/>
      <c r="AE32" s="72"/>
      <c r="AF32" s="72"/>
      <c r="AG32" s="72"/>
      <c r="AH32" s="72"/>
      <c r="AI32" s="73"/>
      <c r="AJ32" s="71"/>
      <c r="AK32" s="72"/>
      <c r="AL32" s="72"/>
      <c r="AM32" s="72"/>
      <c r="AN32" s="72"/>
      <c r="AO32" s="72"/>
      <c r="AP32" s="72"/>
      <c r="AQ32" s="72"/>
      <c r="AR32" s="73"/>
    </row>
    <row r="33" spans="1:46" ht="15" customHeight="1">
      <c r="A33" s="79"/>
      <c r="B33" s="68"/>
      <c r="C33" s="68"/>
      <c r="D33" s="68"/>
      <c r="E33" s="68"/>
      <c r="F33" s="68" t="s">
        <v>34</v>
      </c>
      <c r="G33" s="68"/>
      <c r="H33" s="68"/>
      <c r="I33" s="68"/>
      <c r="J33" s="68"/>
      <c r="K33" s="68"/>
      <c r="L33" s="68" t="s">
        <v>100</v>
      </c>
      <c r="M33" s="68"/>
      <c r="N33" s="68"/>
      <c r="O33" s="68"/>
      <c r="P33" s="68">
        <f>상세내역!W37</f>
        <v>7</v>
      </c>
      <c r="Q33" s="68"/>
      <c r="R33" s="68"/>
      <c r="S33" s="68"/>
      <c r="T33" s="69">
        <f>상세내역!W38</f>
        <v>3500</v>
      </c>
      <c r="U33" s="69"/>
      <c r="V33" s="69"/>
      <c r="W33" s="69"/>
      <c r="X33" s="69"/>
      <c r="Y33" s="70"/>
      <c r="Z33" s="71">
        <f t="shared" si="1"/>
        <v>24500</v>
      </c>
      <c r="AA33" s="72"/>
      <c r="AB33" s="72"/>
      <c r="AC33" s="72"/>
      <c r="AD33" s="72"/>
      <c r="AE33" s="72"/>
      <c r="AF33" s="72"/>
      <c r="AG33" s="72"/>
      <c r="AH33" s="72"/>
      <c r="AI33" s="73"/>
      <c r="AJ33" s="71"/>
      <c r="AK33" s="72"/>
      <c r="AL33" s="72"/>
      <c r="AM33" s="72"/>
      <c r="AN33" s="72"/>
      <c r="AO33" s="72"/>
      <c r="AP33" s="72"/>
      <c r="AQ33" s="72"/>
      <c r="AR33" s="73"/>
    </row>
    <row r="34" spans="1:46" ht="15" customHeight="1">
      <c r="A34" s="79"/>
      <c r="B34" s="68"/>
      <c r="C34" s="68"/>
      <c r="D34" s="68"/>
      <c r="E34" s="68"/>
      <c r="F34" s="68" t="s">
        <v>24</v>
      </c>
      <c r="G34" s="68"/>
      <c r="H34" s="68"/>
      <c r="I34" s="68"/>
      <c r="J34" s="68"/>
      <c r="K34" s="68"/>
      <c r="L34" s="68" t="s">
        <v>99</v>
      </c>
      <c r="M34" s="68"/>
      <c r="N34" s="68"/>
      <c r="O34" s="68"/>
      <c r="P34" s="68">
        <f>상세내역!Z37</f>
        <v>5</v>
      </c>
      <c r="Q34" s="68"/>
      <c r="R34" s="68"/>
      <c r="S34" s="68"/>
      <c r="T34" s="69">
        <f>상세내역!Z38</f>
        <v>1300</v>
      </c>
      <c r="U34" s="69"/>
      <c r="V34" s="69"/>
      <c r="W34" s="69"/>
      <c r="X34" s="69"/>
      <c r="Y34" s="70"/>
      <c r="Z34" s="71">
        <f t="shared" si="1"/>
        <v>6500</v>
      </c>
      <c r="AA34" s="72"/>
      <c r="AB34" s="72"/>
      <c r="AC34" s="72"/>
      <c r="AD34" s="72"/>
      <c r="AE34" s="72"/>
      <c r="AF34" s="72"/>
      <c r="AG34" s="72"/>
      <c r="AH34" s="72"/>
      <c r="AI34" s="73"/>
      <c r="AJ34" s="71"/>
      <c r="AK34" s="72"/>
      <c r="AL34" s="72"/>
      <c r="AM34" s="72"/>
      <c r="AN34" s="72"/>
      <c r="AO34" s="72"/>
      <c r="AP34" s="72"/>
      <c r="AQ34" s="72"/>
      <c r="AR34" s="73"/>
    </row>
    <row r="35" spans="1:46" ht="15" customHeight="1">
      <c r="A35" s="79"/>
      <c r="B35" s="68"/>
      <c r="C35" s="68"/>
      <c r="D35" s="68"/>
      <c r="E35" s="68"/>
      <c r="F35" s="68" t="s">
        <v>42</v>
      </c>
      <c r="G35" s="68"/>
      <c r="H35" s="68"/>
      <c r="I35" s="68"/>
      <c r="J35" s="68"/>
      <c r="K35" s="68"/>
      <c r="L35" s="68" t="s">
        <v>101</v>
      </c>
      <c r="M35" s="68"/>
      <c r="N35" s="68"/>
      <c r="O35" s="68"/>
      <c r="P35" s="68">
        <f>상세내역!AA37</f>
        <v>1</v>
      </c>
      <c r="Q35" s="68"/>
      <c r="R35" s="68"/>
      <c r="S35" s="68"/>
      <c r="T35" s="69">
        <f>상세내역!AA38</f>
        <v>22000</v>
      </c>
      <c r="U35" s="69"/>
      <c r="V35" s="69"/>
      <c r="W35" s="69"/>
      <c r="X35" s="69"/>
      <c r="Y35" s="70"/>
      <c r="Z35" s="71">
        <f t="shared" si="1"/>
        <v>22000</v>
      </c>
      <c r="AA35" s="72"/>
      <c r="AB35" s="72"/>
      <c r="AC35" s="72"/>
      <c r="AD35" s="72"/>
      <c r="AE35" s="72"/>
      <c r="AF35" s="72"/>
      <c r="AG35" s="72"/>
      <c r="AH35" s="72"/>
      <c r="AI35" s="73"/>
      <c r="AJ35" s="71"/>
      <c r="AK35" s="72"/>
      <c r="AL35" s="72"/>
      <c r="AM35" s="72"/>
      <c r="AN35" s="72"/>
      <c r="AO35" s="72"/>
      <c r="AP35" s="72"/>
      <c r="AQ35" s="72"/>
      <c r="AR35" s="73"/>
    </row>
    <row r="36" spans="1:46" ht="15" customHeight="1">
      <c r="A36" s="79"/>
      <c r="B36" s="68"/>
      <c r="C36" s="68"/>
      <c r="D36" s="68"/>
      <c r="E36" s="68"/>
      <c r="F36" s="68" t="s">
        <v>25</v>
      </c>
      <c r="G36" s="68"/>
      <c r="H36" s="68"/>
      <c r="I36" s="68"/>
      <c r="J36" s="68"/>
      <c r="K36" s="68"/>
      <c r="L36" s="68" t="s">
        <v>99</v>
      </c>
      <c r="M36" s="68"/>
      <c r="N36" s="68"/>
      <c r="O36" s="68"/>
      <c r="P36" s="68">
        <f>상세내역!AB37</f>
        <v>3</v>
      </c>
      <c r="Q36" s="68"/>
      <c r="R36" s="68"/>
      <c r="S36" s="68"/>
      <c r="T36" s="69">
        <f>상세내역!AB38</f>
        <v>3500</v>
      </c>
      <c r="U36" s="69"/>
      <c r="V36" s="69"/>
      <c r="W36" s="69"/>
      <c r="X36" s="69"/>
      <c r="Y36" s="70"/>
      <c r="Z36" s="71">
        <f t="shared" si="1"/>
        <v>10500</v>
      </c>
      <c r="AA36" s="72"/>
      <c r="AB36" s="72"/>
      <c r="AC36" s="72"/>
      <c r="AD36" s="72"/>
      <c r="AE36" s="72"/>
      <c r="AF36" s="72"/>
      <c r="AG36" s="72"/>
      <c r="AH36" s="72"/>
      <c r="AI36" s="73"/>
      <c r="AJ36" s="71"/>
      <c r="AK36" s="72"/>
      <c r="AL36" s="72"/>
      <c r="AM36" s="72"/>
      <c r="AN36" s="72"/>
      <c r="AO36" s="72"/>
      <c r="AP36" s="72"/>
      <c r="AQ36" s="72"/>
      <c r="AR36" s="73"/>
    </row>
    <row r="37" spans="1:46" ht="15" customHeight="1">
      <c r="A37" s="79"/>
      <c r="B37" s="68"/>
      <c r="C37" s="68"/>
      <c r="D37" s="68"/>
      <c r="E37" s="68"/>
      <c r="F37" s="68" t="s">
        <v>26</v>
      </c>
      <c r="G37" s="68"/>
      <c r="H37" s="68"/>
      <c r="I37" s="68"/>
      <c r="J37" s="68"/>
      <c r="K37" s="68"/>
      <c r="L37" s="68" t="s">
        <v>95</v>
      </c>
      <c r="M37" s="68"/>
      <c r="N37" s="68"/>
      <c r="O37" s="68"/>
      <c r="P37" s="68">
        <f>상세내역!AC37</f>
        <v>1</v>
      </c>
      <c r="Q37" s="68"/>
      <c r="R37" s="68"/>
      <c r="S37" s="68"/>
      <c r="T37" s="69">
        <f>상세내역!AC38</f>
        <v>8500</v>
      </c>
      <c r="U37" s="69"/>
      <c r="V37" s="69"/>
      <c r="W37" s="69"/>
      <c r="X37" s="69"/>
      <c r="Y37" s="70"/>
      <c r="Z37" s="71">
        <f t="shared" si="1"/>
        <v>8500</v>
      </c>
      <c r="AA37" s="72"/>
      <c r="AB37" s="72"/>
      <c r="AC37" s="72"/>
      <c r="AD37" s="72"/>
      <c r="AE37" s="72"/>
      <c r="AF37" s="72"/>
      <c r="AG37" s="72"/>
      <c r="AH37" s="72"/>
      <c r="AI37" s="73"/>
      <c r="AJ37" s="71"/>
      <c r="AK37" s="72"/>
      <c r="AL37" s="72"/>
      <c r="AM37" s="72"/>
      <c r="AN37" s="72"/>
      <c r="AO37" s="72"/>
      <c r="AP37" s="72"/>
      <c r="AQ37" s="72"/>
      <c r="AR37" s="73"/>
    </row>
    <row r="38" spans="1:46" ht="15" customHeight="1">
      <c r="A38" s="79"/>
      <c r="B38" s="68"/>
      <c r="C38" s="68"/>
      <c r="D38" s="68"/>
      <c r="E38" s="68"/>
      <c r="F38" s="68" t="s">
        <v>137</v>
      </c>
      <c r="G38" s="68"/>
      <c r="H38" s="68"/>
      <c r="I38" s="68"/>
      <c r="J38" s="68"/>
      <c r="K38" s="68"/>
      <c r="L38" s="68" t="s">
        <v>99</v>
      </c>
      <c r="M38" s="68"/>
      <c r="N38" s="68"/>
      <c r="O38" s="68"/>
      <c r="P38" s="68">
        <v>1</v>
      </c>
      <c r="Q38" s="68"/>
      <c r="R38" s="68"/>
      <c r="S38" s="68"/>
      <c r="T38" s="69">
        <v>50000</v>
      </c>
      <c r="U38" s="69"/>
      <c r="V38" s="69"/>
      <c r="W38" s="69"/>
      <c r="X38" s="69"/>
      <c r="Y38" s="70"/>
      <c r="Z38" s="71">
        <f t="shared" ref="Z38" si="3">P38*T38</f>
        <v>50000</v>
      </c>
      <c r="AA38" s="72"/>
      <c r="AB38" s="72"/>
      <c r="AC38" s="72"/>
      <c r="AD38" s="72"/>
      <c r="AE38" s="72"/>
      <c r="AF38" s="72"/>
      <c r="AG38" s="72"/>
      <c r="AH38" s="72"/>
      <c r="AI38" s="73"/>
      <c r="AJ38" s="71"/>
      <c r="AK38" s="72"/>
      <c r="AL38" s="72"/>
      <c r="AM38" s="72"/>
      <c r="AN38" s="72"/>
      <c r="AO38" s="72"/>
      <c r="AP38" s="72"/>
      <c r="AQ38" s="72"/>
      <c r="AR38" s="73"/>
    </row>
    <row r="39" spans="1:46" ht="15" customHeight="1">
      <c r="A39" s="79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9"/>
      <c r="U39" s="69"/>
      <c r="V39" s="69"/>
      <c r="W39" s="69"/>
      <c r="X39" s="69"/>
      <c r="Y39" s="70"/>
      <c r="Z39" s="71"/>
      <c r="AA39" s="72"/>
      <c r="AB39" s="72"/>
      <c r="AC39" s="72"/>
      <c r="AD39" s="72"/>
      <c r="AE39" s="72"/>
      <c r="AF39" s="72"/>
      <c r="AG39" s="72"/>
      <c r="AH39" s="72"/>
      <c r="AI39" s="73"/>
      <c r="AJ39" s="71"/>
      <c r="AK39" s="72"/>
      <c r="AL39" s="72"/>
      <c r="AM39" s="72"/>
      <c r="AN39" s="72"/>
      <c r="AO39" s="72"/>
      <c r="AP39" s="72"/>
      <c r="AQ39" s="72"/>
      <c r="AR39" s="73"/>
    </row>
    <row r="40" spans="1:46" ht="15" customHeight="1">
      <c r="A40" s="7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9"/>
      <c r="U40" s="69"/>
      <c r="V40" s="69"/>
      <c r="W40" s="69"/>
      <c r="X40" s="69"/>
      <c r="Y40" s="70"/>
      <c r="Z40" s="71"/>
      <c r="AA40" s="72"/>
      <c r="AB40" s="72"/>
      <c r="AC40" s="72"/>
      <c r="AD40" s="72"/>
      <c r="AE40" s="72"/>
      <c r="AF40" s="72"/>
      <c r="AG40" s="72"/>
      <c r="AH40" s="72"/>
      <c r="AI40" s="73"/>
      <c r="AJ40" s="71"/>
      <c r="AK40" s="72"/>
      <c r="AL40" s="72"/>
      <c r="AM40" s="72"/>
      <c r="AN40" s="72"/>
      <c r="AO40" s="72"/>
      <c r="AP40" s="72"/>
      <c r="AQ40" s="72"/>
      <c r="AR40" s="73"/>
    </row>
    <row r="41" spans="1:46" ht="15" customHeight="1">
      <c r="A41" s="79" t="s">
        <v>123</v>
      </c>
      <c r="B41" s="68"/>
      <c r="C41" s="68"/>
      <c r="D41" s="68"/>
      <c r="E41" s="68"/>
      <c r="F41" s="68" t="s">
        <v>98</v>
      </c>
      <c r="G41" s="68"/>
      <c r="H41" s="68"/>
      <c r="I41" s="68"/>
      <c r="J41" s="68"/>
      <c r="K41" s="68"/>
      <c r="L41" s="68" t="s">
        <v>99</v>
      </c>
      <c r="M41" s="68"/>
      <c r="N41" s="68"/>
      <c r="O41" s="68"/>
      <c r="P41" s="68">
        <v>4</v>
      </c>
      <c r="Q41" s="68"/>
      <c r="R41" s="68"/>
      <c r="S41" s="68"/>
      <c r="T41" s="69">
        <v>2500</v>
      </c>
      <c r="U41" s="69"/>
      <c r="V41" s="69"/>
      <c r="W41" s="69"/>
      <c r="X41" s="69"/>
      <c r="Y41" s="70"/>
      <c r="Z41" s="71">
        <f t="shared" si="1"/>
        <v>10000</v>
      </c>
      <c r="AA41" s="72"/>
      <c r="AB41" s="72"/>
      <c r="AC41" s="72"/>
      <c r="AD41" s="72"/>
      <c r="AE41" s="72"/>
      <c r="AF41" s="72"/>
      <c r="AG41" s="72"/>
      <c r="AH41" s="72"/>
      <c r="AI41" s="73"/>
      <c r="AJ41" s="71"/>
      <c r="AK41" s="72"/>
      <c r="AL41" s="72"/>
      <c r="AM41" s="72"/>
      <c r="AN41" s="72"/>
      <c r="AO41" s="72"/>
      <c r="AP41" s="72"/>
      <c r="AQ41" s="72"/>
      <c r="AR41" s="73"/>
    </row>
    <row r="42" spans="1:46" ht="15" customHeight="1">
      <c r="A42" s="79"/>
      <c r="B42" s="68"/>
      <c r="C42" s="68"/>
      <c r="D42" s="68"/>
      <c r="E42" s="68"/>
      <c r="F42" s="68" t="s">
        <v>97</v>
      </c>
      <c r="G42" s="68"/>
      <c r="H42" s="68"/>
      <c r="I42" s="68"/>
      <c r="J42" s="68"/>
      <c r="K42" s="68"/>
      <c r="L42" s="68" t="s">
        <v>102</v>
      </c>
      <c r="M42" s="68"/>
      <c r="N42" s="68"/>
      <c r="O42" s="68"/>
      <c r="P42" s="68">
        <v>1</v>
      </c>
      <c r="Q42" s="68"/>
      <c r="R42" s="68"/>
      <c r="S42" s="68"/>
      <c r="T42" s="69">
        <f>ROUND((Z23*0.1)+SUM(Z26:AI38)*0.1, -2)</f>
        <v>140900</v>
      </c>
      <c r="U42" s="69"/>
      <c r="V42" s="69"/>
      <c r="W42" s="69"/>
      <c r="X42" s="69"/>
      <c r="Y42" s="70"/>
      <c r="Z42" s="71">
        <f t="shared" ref="Z42" si="4">P42*T42</f>
        <v>140900</v>
      </c>
      <c r="AA42" s="72"/>
      <c r="AB42" s="72"/>
      <c r="AC42" s="72"/>
      <c r="AD42" s="72"/>
      <c r="AE42" s="72"/>
      <c r="AF42" s="72"/>
      <c r="AG42" s="72"/>
      <c r="AH42" s="72"/>
      <c r="AI42" s="73"/>
      <c r="AJ42" s="71"/>
      <c r="AK42" s="72"/>
      <c r="AL42" s="72"/>
      <c r="AM42" s="72"/>
      <c r="AN42" s="72"/>
      <c r="AO42" s="72"/>
      <c r="AP42" s="72"/>
      <c r="AQ42" s="72"/>
      <c r="AR42" s="73"/>
      <c r="AT42" s="29" t="s">
        <v>126</v>
      </c>
    </row>
    <row r="43" spans="1:46" ht="15" customHeight="1" thickBot="1">
      <c r="A43" s="79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9"/>
      <c r="U43" s="69"/>
      <c r="V43" s="69"/>
      <c r="W43" s="69"/>
      <c r="X43" s="69"/>
      <c r="Y43" s="70"/>
      <c r="Z43" s="71"/>
      <c r="AA43" s="72"/>
      <c r="AB43" s="72"/>
      <c r="AC43" s="72"/>
      <c r="AD43" s="72"/>
      <c r="AE43" s="72"/>
      <c r="AF43" s="72"/>
      <c r="AG43" s="72"/>
      <c r="AH43" s="72"/>
      <c r="AI43" s="73"/>
      <c r="AJ43" s="71"/>
      <c r="AK43" s="72"/>
      <c r="AL43" s="72"/>
      <c r="AM43" s="72"/>
      <c r="AN43" s="72"/>
      <c r="AO43" s="72"/>
      <c r="AP43" s="72"/>
      <c r="AQ43" s="72"/>
      <c r="AR43" s="73"/>
    </row>
    <row r="44" spans="1:46" ht="20.100000000000001" customHeight="1" thickBot="1">
      <c r="A44" s="99" t="s">
        <v>84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1"/>
      <c r="Z44" s="96">
        <f>SUM(Z25:AI43)</f>
        <v>609900</v>
      </c>
      <c r="AA44" s="97"/>
      <c r="AB44" s="97"/>
      <c r="AC44" s="97"/>
      <c r="AD44" s="97"/>
      <c r="AE44" s="97"/>
      <c r="AF44" s="97"/>
      <c r="AG44" s="97"/>
      <c r="AH44" s="97"/>
      <c r="AI44" s="98"/>
      <c r="AJ44" s="96"/>
      <c r="AK44" s="97"/>
      <c r="AL44" s="97"/>
      <c r="AM44" s="97"/>
      <c r="AN44" s="97"/>
      <c r="AO44" s="97"/>
      <c r="AP44" s="97"/>
      <c r="AQ44" s="97"/>
      <c r="AR44" s="98"/>
      <c r="AS44" s="60">
        <f>Z44-Z38-Z42</f>
        <v>419000</v>
      </c>
      <c r="AT44" s="29" t="s">
        <v>139</v>
      </c>
    </row>
    <row r="45" spans="1:46" ht="9.9499999999999993" customHeight="1" thickBo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8"/>
      <c r="U45" s="78"/>
      <c r="V45" s="78"/>
      <c r="W45" s="78"/>
      <c r="X45" s="78"/>
      <c r="Y45" s="78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</row>
    <row r="46" spans="1:46" ht="15" customHeight="1" thickBot="1">
      <c r="A46" s="88" t="s">
        <v>124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 t="s">
        <v>102</v>
      </c>
      <c r="M46" s="82"/>
      <c r="N46" s="82"/>
      <c r="O46" s="82"/>
      <c r="P46" s="82">
        <v>1</v>
      </c>
      <c r="Q46" s="82"/>
      <c r="R46" s="82"/>
      <c r="S46" s="82"/>
      <c r="T46" s="83">
        <v>409900</v>
      </c>
      <c r="U46" s="83"/>
      <c r="V46" s="83"/>
      <c r="W46" s="83"/>
      <c r="X46" s="83"/>
      <c r="Y46" s="84"/>
      <c r="Z46" s="85">
        <f t="shared" ref="Z46" si="5">P46*T46</f>
        <v>409900</v>
      </c>
      <c r="AA46" s="86"/>
      <c r="AB46" s="86"/>
      <c r="AC46" s="86"/>
      <c r="AD46" s="86"/>
      <c r="AE46" s="86"/>
      <c r="AF46" s="86"/>
      <c r="AG46" s="86"/>
      <c r="AH46" s="86"/>
      <c r="AI46" s="87"/>
      <c r="AJ46" s="85"/>
      <c r="AK46" s="86"/>
      <c r="AL46" s="86"/>
      <c r="AM46" s="86"/>
      <c r="AN46" s="86"/>
      <c r="AO46" s="86"/>
      <c r="AP46" s="86"/>
      <c r="AQ46" s="86"/>
      <c r="AR46" s="87"/>
    </row>
    <row r="47" spans="1:46" ht="15" customHeight="1" thickBot="1">
      <c r="A47" s="88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3"/>
      <c r="U47" s="83"/>
      <c r="V47" s="83"/>
      <c r="W47" s="83"/>
      <c r="X47" s="83"/>
      <c r="Y47" s="84"/>
      <c r="Z47" s="85"/>
      <c r="AA47" s="86"/>
      <c r="AB47" s="86"/>
      <c r="AC47" s="86"/>
      <c r="AD47" s="86"/>
      <c r="AE47" s="86"/>
      <c r="AF47" s="86"/>
      <c r="AG47" s="86"/>
      <c r="AH47" s="86"/>
      <c r="AI47" s="87"/>
      <c r="AJ47" s="85"/>
      <c r="AK47" s="86"/>
      <c r="AL47" s="86"/>
      <c r="AM47" s="86"/>
      <c r="AN47" s="86"/>
      <c r="AO47" s="86"/>
      <c r="AP47" s="86"/>
      <c r="AQ47" s="86"/>
      <c r="AR47" s="87"/>
    </row>
    <row r="48" spans="1:46" ht="15" customHeight="1" thickBot="1">
      <c r="A48" s="88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3"/>
      <c r="U48" s="83"/>
      <c r="V48" s="83"/>
      <c r="W48" s="83"/>
      <c r="X48" s="83"/>
      <c r="Y48" s="84"/>
      <c r="Z48" s="85"/>
      <c r="AA48" s="86"/>
      <c r="AB48" s="86"/>
      <c r="AC48" s="86"/>
      <c r="AD48" s="86"/>
      <c r="AE48" s="86"/>
      <c r="AF48" s="86"/>
      <c r="AG48" s="86"/>
      <c r="AH48" s="86"/>
      <c r="AI48" s="87"/>
      <c r="AJ48" s="85"/>
      <c r="AK48" s="86"/>
      <c r="AL48" s="86"/>
      <c r="AM48" s="86"/>
      <c r="AN48" s="86"/>
      <c r="AO48" s="86"/>
      <c r="AP48" s="86"/>
      <c r="AQ48" s="86"/>
      <c r="AR48" s="87"/>
    </row>
    <row r="49" spans="1:46" ht="20.100000000000001" customHeight="1" thickBot="1">
      <c r="A49" s="99" t="s">
        <v>84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1"/>
      <c r="Z49" s="96">
        <f>SUM(Z46:AI48)</f>
        <v>409900</v>
      </c>
      <c r="AA49" s="97"/>
      <c r="AB49" s="97"/>
      <c r="AC49" s="97"/>
      <c r="AD49" s="97"/>
      <c r="AE49" s="97"/>
      <c r="AF49" s="97"/>
      <c r="AG49" s="97"/>
      <c r="AH49" s="97"/>
      <c r="AI49" s="98"/>
      <c r="AJ49" s="96"/>
      <c r="AK49" s="97"/>
      <c r="AL49" s="97"/>
      <c r="AM49" s="97"/>
      <c r="AN49" s="97"/>
      <c r="AO49" s="97"/>
      <c r="AP49" s="97"/>
      <c r="AQ49" s="97"/>
      <c r="AR49" s="98"/>
      <c r="AS49" s="60">
        <f>Z50-AS50</f>
        <v>0</v>
      </c>
      <c r="AT49" s="29" t="s">
        <v>124</v>
      </c>
    </row>
    <row r="50" spans="1:46" ht="20.100000000000001" customHeight="1" thickBot="1">
      <c r="A50" s="139" t="s">
        <v>80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1"/>
      <c r="Z50" s="136">
        <f>Z23+Z44-Z49</f>
        <v>1150000</v>
      </c>
      <c r="AA50" s="137"/>
      <c r="AB50" s="137"/>
      <c r="AC50" s="137"/>
      <c r="AD50" s="137"/>
      <c r="AE50" s="137"/>
      <c r="AF50" s="137"/>
      <c r="AG50" s="137"/>
      <c r="AH50" s="137"/>
      <c r="AI50" s="138"/>
      <c r="AJ50" s="136">
        <f>Z50*0.1</f>
        <v>115000</v>
      </c>
      <c r="AK50" s="137"/>
      <c r="AL50" s="137"/>
      <c r="AM50" s="137"/>
      <c r="AN50" s="137"/>
      <c r="AO50" s="137"/>
      <c r="AP50" s="137"/>
      <c r="AQ50" s="137"/>
      <c r="AR50" s="138"/>
      <c r="AS50" s="60">
        <v>1150000</v>
      </c>
    </row>
    <row r="52" spans="1:46">
      <c r="A52" s="80" t="s">
        <v>130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</row>
    <row r="53" spans="1:46">
      <c r="A53" s="80" t="s">
        <v>131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</row>
    <row r="54" spans="1:46">
      <c r="A54" s="80" t="s">
        <v>132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</row>
    <row r="55" spans="1:46">
      <c r="A55" s="80" t="s">
        <v>140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</row>
    <row r="56" spans="1:4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</row>
  </sheetData>
  <mergeCells count="280">
    <mergeCell ref="B7:N7"/>
    <mergeCell ref="V7:Z7"/>
    <mergeCell ref="AA7:AR7"/>
    <mergeCell ref="N1:AG3"/>
    <mergeCell ref="B2:C2"/>
    <mergeCell ref="D2:L2"/>
    <mergeCell ref="B5:D5"/>
    <mergeCell ref="F5:G5"/>
    <mergeCell ref="I5:K5"/>
    <mergeCell ref="T5:U9"/>
    <mergeCell ref="V5:Z5"/>
    <mergeCell ref="AA5:AR5"/>
    <mergeCell ref="V6:Z6"/>
    <mergeCell ref="V8:Z8"/>
    <mergeCell ref="AA8:AG8"/>
    <mergeCell ref="AH8:AI8"/>
    <mergeCell ref="AJ8:AR8"/>
    <mergeCell ref="V9:Z9"/>
    <mergeCell ref="AA9:AR9"/>
    <mergeCell ref="AA6:AG6"/>
    <mergeCell ref="AH6:AI6"/>
    <mergeCell ref="AJ6:AP6"/>
    <mergeCell ref="F20:K20"/>
    <mergeCell ref="AJ18:AR18"/>
    <mergeCell ref="L19:O19"/>
    <mergeCell ref="P19:S19"/>
    <mergeCell ref="T19:Y19"/>
    <mergeCell ref="Z19:AI19"/>
    <mergeCell ref="AJ19:AR19"/>
    <mergeCell ref="K10:L10"/>
    <mergeCell ref="M10:AE10"/>
    <mergeCell ref="AF10:AG10"/>
    <mergeCell ref="AH10:AI10"/>
    <mergeCell ref="AJ10:AQ10"/>
    <mergeCell ref="L18:O18"/>
    <mergeCell ref="P18:S18"/>
    <mergeCell ref="T18:Y18"/>
    <mergeCell ref="Z18:AI18"/>
    <mergeCell ref="A13:K13"/>
    <mergeCell ref="A16:K16"/>
    <mergeCell ref="L12:S12"/>
    <mergeCell ref="L13:S13"/>
    <mergeCell ref="AJ12:AR12"/>
    <mergeCell ref="AJ13:AR13"/>
    <mergeCell ref="T12:Y12"/>
    <mergeCell ref="T13:Y13"/>
    <mergeCell ref="A24:E24"/>
    <mergeCell ref="F24:K24"/>
    <mergeCell ref="L22:O22"/>
    <mergeCell ref="P22:S22"/>
    <mergeCell ref="T22:Y22"/>
    <mergeCell ref="Z22:AI22"/>
    <mergeCell ref="AJ22:AR22"/>
    <mergeCell ref="A22:E22"/>
    <mergeCell ref="F22:K22"/>
    <mergeCell ref="Z24:AI24"/>
    <mergeCell ref="AJ24:AR24"/>
    <mergeCell ref="L26:O26"/>
    <mergeCell ref="P26:S26"/>
    <mergeCell ref="T26:Y26"/>
    <mergeCell ref="Z26:AI26"/>
    <mergeCell ref="AJ26:AR26"/>
    <mergeCell ref="A26:E26"/>
    <mergeCell ref="F26:K26"/>
    <mergeCell ref="L25:O25"/>
    <mergeCell ref="P25:S25"/>
    <mergeCell ref="T25:Y25"/>
    <mergeCell ref="Z25:AI25"/>
    <mergeCell ref="AJ25:AR25"/>
    <mergeCell ref="A25:E25"/>
    <mergeCell ref="F25:K25"/>
    <mergeCell ref="L28:O28"/>
    <mergeCell ref="P28:S28"/>
    <mergeCell ref="T28:Y28"/>
    <mergeCell ref="Z28:AI28"/>
    <mergeCell ref="AJ28:AR28"/>
    <mergeCell ref="A28:E28"/>
    <mergeCell ref="F28:K28"/>
    <mergeCell ref="L27:O27"/>
    <mergeCell ref="P27:S27"/>
    <mergeCell ref="T27:Y27"/>
    <mergeCell ref="Z27:AI27"/>
    <mergeCell ref="AJ27:AR27"/>
    <mergeCell ref="A27:E27"/>
    <mergeCell ref="F27:K27"/>
    <mergeCell ref="L30:O30"/>
    <mergeCell ref="P30:S30"/>
    <mergeCell ref="T30:Y30"/>
    <mergeCell ref="Z30:AI30"/>
    <mergeCell ref="AJ30:AR30"/>
    <mergeCell ref="A30:E30"/>
    <mergeCell ref="F30:K30"/>
    <mergeCell ref="L29:O29"/>
    <mergeCell ref="P29:S29"/>
    <mergeCell ref="T29:Y29"/>
    <mergeCell ref="Z29:AI29"/>
    <mergeCell ref="AJ29:AR29"/>
    <mergeCell ref="A29:E29"/>
    <mergeCell ref="F29:K29"/>
    <mergeCell ref="L31:O31"/>
    <mergeCell ref="P31:S31"/>
    <mergeCell ref="T31:Y31"/>
    <mergeCell ref="Z31:AI31"/>
    <mergeCell ref="AJ31:AR31"/>
    <mergeCell ref="A31:E31"/>
    <mergeCell ref="F31:K31"/>
    <mergeCell ref="A32:E32"/>
    <mergeCell ref="F32:K32"/>
    <mergeCell ref="L32:O32"/>
    <mergeCell ref="P32:S32"/>
    <mergeCell ref="T32:Y32"/>
    <mergeCell ref="Z32:AI32"/>
    <mergeCell ref="AJ32:AR32"/>
    <mergeCell ref="T34:Y34"/>
    <mergeCell ref="Z34:AI34"/>
    <mergeCell ref="AJ34:AR34"/>
    <mergeCell ref="A34:E34"/>
    <mergeCell ref="F34:K34"/>
    <mergeCell ref="L33:O33"/>
    <mergeCell ref="P33:S33"/>
    <mergeCell ref="T33:Y33"/>
    <mergeCell ref="Z33:AI33"/>
    <mergeCell ref="AJ33:AR33"/>
    <mergeCell ref="A33:E33"/>
    <mergeCell ref="F33:K33"/>
    <mergeCell ref="L40:O40"/>
    <mergeCell ref="P40:S40"/>
    <mergeCell ref="T40:Y40"/>
    <mergeCell ref="Z40:AI40"/>
    <mergeCell ref="AJ40:AR40"/>
    <mergeCell ref="A40:E40"/>
    <mergeCell ref="F40:K40"/>
    <mergeCell ref="L37:O37"/>
    <mergeCell ref="P37:S37"/>
    <mergeCell ref="T37:Y37"/>
    <mergeCell ref="Z37:AI37"/>
    <mergeCell ref="AJ37:AR37"/>
    <mergeCell ref="A37:E37"/>
    <mergeCell ref="F37:K37"/>
    <mergeCell ref="A39:E39"/>
    <mergeCell ref="F39:K39"/>
    <mergeCell ref="L39:O39"/>
    <mergeCell ref="P39:S39"/>
    <mergeCell ref="T39:Y39"/>
    <mergeCell ref="Z39:AI39"/>
    <mergeCell ref="AJ39:AR39"/>
    <mergeCell ref="A38:E38"/>
    <mergeCell ref="F38:K38"/>
    <mergeCell ref="L38:O38"/>
    <mergeCell ref="L42:O42"/>
    <mergeCell ref="P42:S42"/>
    <mergeCell ref="T42:Y42"/>
    <mergeCell ref="Z42:AI42"/>
    <mergeCell ref="AJ42:AR42"/>
    <mergeCell ref="A42:E42"/>
    <mergeCell ref="F42:K42"/>
    <mergeCell ref="L41:O41"/>
    <mergeCell ref="P41:S41"/>
    <mergeCell ref="T41:Y41"/>
    <mergeCell ref="Z41:AI41"/>
    <mergeCell ref="AJ41:AR41"/>
    <mergeCell ref="A41:E41"/>
    <mergeCell ref="F41:K41"/>
    <mergeCell ref="Z50:AI50"/>
    <mergeCell ref="AJ50:AR50"/>
    <mergeCell ref="A50:Y50"/>
    <mergeCell ref="Z44:AI44"/>
    <mergeCell ref="AJ44:AR44"/>
    <mergeCell ref="L43:O43"/>
    <mergeCell ref="P43:S43"/>
    <mergeCell ref="T43:Y43"/>
    <mergeCell ref="Z43:AI43"/>
    <mergeCell ref="AJ43:AR43"/>
    <mergeCell ref="A43:E43"/>
    <mergeCell ref="F43:K43"/>
    <mergeCell ref="A44:Y44"/>
    <mergeCell ref="A46:E46"/>
    <mergeCell ref="F46:K46"/>
    <mergeCell ref="L46:O46"/>
    <mergeCell ref="P46:S46"/>
    <mergeCell ref="T46:Y46"/>
    <mergeCell ref="Z46:AI46"/>
    <mergeCell ref="AJ46:AR46"/>
    <mergeCell ref="Z49:AI49"/>
    <mergeCell ref="AJ49:AR49"/>
    <mergeCell ref="A49:Y49"/>
    <mergeCell ref="A47:E47"/>
    <mergeCell ref="AJ14:AR14"/>
    <mergeCell ref="A18:E18"/>
    <mergeCell ref="F18:K18"/>
    <mergeCell ref="A19:E19"/>
    <mergeCell ref="F19:K19"/>
    <mergeCell ref="AJ16:AR16"/>
    <mergeCell ref="A15:K15"/>
    <mergeCell ref="L15:S15"/>
    <mergeCell ref="T15:Y15"/>
    <mergeCell ref="Z15:AI15"/>
    <mergeCell ref="AJ15:AR15"/>
    <mergeCell ref="A14:K14"/>
    <mergeCell ref="L14:S14"/>
    <mergeCell ref="T16:Y16"/>
    <mergeCell ref="A17:E17"/>
    <mergeCell ref="F17:K17"/>
    <mergeCell ref="L17:O17"/>
    <mergeCell ref="P17:S17"/>
    <mergeCell ref="T17:Y17"/>
    <mergeCell ref="Z17:AI17"/>
    <mergeCell ref="AJ17:AR17"/>
    <mergeCell ref="AJ48:AR48"/>
    <mergeCell ref="Z12:AI12"/>
    <mergeCell ref="Z13:AI13"/>
    <mergeCell ref="Z16:AI16"/>
    <mergeCell ref="T14:Y14"/>
    <mergeCell ref="Z14:AI14"/>
    <mergeCell ref="A12:K12"/>
    <mergeCell ref="Z23:AI23"/>
    <mergeCell ref="AJ23:AR23"/>
    <mergeCell ref="A23:Y23"/>
    <mergeCell ref="L16:O16"/>
    <mergeCell ref="P16:S16"/>
    <mergeCell ref="L21:O21"/>
    <mergeCell ref="P21:S21"/>
    <mergeCell ref="T21:Y21"/>
    <mergeCell ref="Z21:AI21"/>
    <mergeCell ref="AJ21:AR21"/>
    <mergeCell ref="A21:E21"/>
    <mergeCell ref="F21:K21"/>
    <mergeCell ref="L20:O20"/>
    <mergeCell ref="P20:S20"/>
    <mergeCell ref="T20:Y20"/>
    <mergeCell ref="Z20:AI20"/>
    <mergeCell ref="AJ20:AR20"/>
    <mergeCell ref="A52:AR52"/>
    <mergeCell ref="A53:AR53"/>
    <mergeCell ref="A54:AR54"/>
    <mergeCell ref="A55:AR55"/>
    <mergeCell ref="A56:AR56"/>
    <mergeCell ref="A45:E45"/>
    <mergeCell ref="F45:K45"/>
    <mergeCell ref="L45:O45"/>
    <mergeCell ref="P45:S45"/>
    <mergeCell ref="T45:Y45"/>
    <mergeCell ref="Z45:AI45"/>
    <mergeCell ref="AJ45:AR45"/>
    <mergeCell ref="F47:K47"/>
    <mergeCell ref="L47:O47"/>
    <mergeCell ref="P47:S47"/>
    <mergeCell ref="T47:Y47"/>
    <mergeCell ref="Z47:AI47"/>
    <mergeCell ref="AJ47:AR47"/>
    <mergeCell ref="A48:E48"/>
    <mergeCell ref="F48:K48"/>
    <mergeCell ref="L48:O48"/>
    <mergeCell ref="P48:S48"/>
    <mergeCell ref="T48:Y48"/>
    <mergeCell ref="Z48:AI48"/>
    <mergeCell ref="P38:S38"/>
    <mergeCell ref="T38:Y38"/>
    <mergeCell ref="Z38:AI38"/>
    <mergeCell ref="AJ38:AR38"/>
    <mergeCell ref="A20:E20"/>
    <mergeCell ref="L24:O24"/>
    <mergeCell ref="P24:S24"/>
    <mergeCell ref="T24:Y24"/>
    <mergeCell ref="L36:O36"/>
    <mergeCell ref="P36:S36"/>
    <mergeCell ref="T36:Y36"/>
    <mergeCell ref="Z36:AI36"/>
    <mergeCell ref="AJ36:AR36"/>
    <mergeCell ref="A36:E36"/>
    <mergeCell ref="F36:K36"/>
    <mergeCell ref="L35:O35"/>
    <mergeCell ref="P35:S35"/>
    <mergeCell ref="T35:Y35"/>
    <mergeCell ref="Z35:AI35"/>
    <mergeCell ref="AJ35:AR35"/>
    <mergeCell ref="A35:E35"/>
    <mergeCell ref="F35:K35"/>
    <mergeCell ref="L34:O34"/>
    <mergeCell ref="P34:S34"/>
  </mergeCells>
  <phoneticPr fontId="1" type="noConversion"/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6F6-0F09-45B3-903B-96E36F77F7FC}">
  <sheetPr>
    <tabColor rgb="FFFFC000"/>
  </sheetPr>
  <dimension ref="A1:AC45"/>
  <sheetViews>
    <sheetView topLeftCell="A19" zoomScaleNormal="100" zoomScaleSheetLayoutView="115" workbookViewId="0">
      <selection activeCell="R49" sqref="R49"/>
    </sheetView>
  </sheetViews>
  <sheetFormatPr defaultRowHeight="16.5"/>
  <cols>
    <col min="3" max="3" width="8.375" bestFit="1" customWidth="1"/>
    <col min="4" max="4" width="10.25" bestFit="1" customWidth="1"/>
    <col min="5" max="7" width="11.625" customWidth="1"/>
    <col min="8" max="8" width="0.875" customWidth="1"/>
    <col min="9" max="11" width="10.625" customWidth="1"/>
    <col min="12" max="12" width="0.875" customWidth="1"/>
    <col min="13" max="13" width="11" bestFit="1" customWidth="1"/>
    <col min="14" max="14" width="11.75" bestFit="1" customWidth="1"/>
    <col min="15" max="15" width="11.75" customWidth="1"/>
    <col min="16" max="16" width="11" bestFit="1" customWidth="1"/>
    <col min="20" max="20" width="12.625" bestFit="1" customWidth="1"/>
    <col min="24" max="24" width="11" bestFit="1" customWidth="1"/>
    <col min="25" max="25" width="11" customWidth="1"/>
    <col min="26" max="26" width="11" bestFit="1" customWidth="1"/>
  </cols>
  <sheetData>
    <row r="1" spans="1:29" ht="17.25">
      <c r="A1" s="2" t="s">
        <v>39</v>
      </c>
    </row>
    <row r="2" spans="1:29">
      <c r="A2" s="198" t="s">
        <v>4</v>
      </c>
      <c r="B2" s="199"/>
      <c r="C2" s="202" t="s">
        <v>47</v>
      </c>
      <c r="D2" s="202" t="s">
        <v>46</v>
      </c>
      <c r="E2" s="202" t="s">
        <v>11</v>
      </c>
      <c r="F2" s="204" t="s">
        <v>86</v>
      </c>
      <c r="G2" s="204"/>
      <c r="H2" s="1"/>
      <c r="I2" s="193" t="s">
        <v>40</v>
      </c>
      <c r="J2" s="193"/>
      <c r="K2" s="193"/>
      <c r="L2" s="1"/>
      <c r="M2" s="193" t="s">
        <v>29</v>
      </c>
      <c r="N2" s="193"/>
      <c r="O2" s="193"/>
      <c r="P2" s="193"/>
      <c r="Q2" s="190" t="s">
        <v>20</v>
      </c>
      <c r="R2" s="191"/>
      <c r="S2" s="192"/>
      <c r="T2" s="193" t="s">
        <v>21</v>
      </c>
      <c r="U2" s="193"/>
      <c r="V2" s="193"/>
      <c r="W2" s="193"/>
      <c r="X2" s="193"/>
      <c r="Y2" s="193"/>
      <c r="Z2" s="193"/>
      <c r="AA2" s="193"/>
      <c r="AB2" s="193"/>
      <c r="AC2" s="193"/>
    </row>
    <row r="3" spans="1:29">
      <c r="A3" s="200"/>
      <c r="B3" s="201"/>
      <c r="C3" s="203"/>
      <c r="D3" s="203"/>
      <c r="E3" s="203"/>
      <c r="F3" s="39" t="s">
        <v>10</v>
      </c>
      <c r="G3" s="39" t="s">
        <v>11</v>
      </c>
      <c r="H3" s="1"/>
      <c r="I3" s="3" t="s">
        <v>17</v>
      </c>
      <c r="J3" s="3" t="s">
        <v>18</v>
      </c>
      <c r="K3" s="3" t="s">
        <v>19</v>
      </c>
      <c r="L3" s="1"/>
      <c r="M3" s="3" t="s">
        <v>17</v>
      </c>
      <c r="N3" s="190" t="s">
        <v>18</v>
      </c>
      <c r="O3" s="192"/>
      <c r="P3" s="3" t="s">
        <v>19</v>
      </c>
      <c r="Q3" s="3" t="s">
        <v>27</v>
      </c>
      <c r="R3" s="3" t="s">
        <v>28</v>
      </c>
      <c r="S3" s="3" t="s">
        <v>119</v>
      </c>
      <c r="T3" s="3" t="s">
        <v>41</v>
      </c>
      <c r="U3" s="3" t="s">
        <v>22</v>
      </c>
      <c r="V3" s="3" t="s">
        <v>23</v>
      </c>
      <c r="W3" s="190" t="s">
        <v>34</v>
      </c>
      <c r="X3" s="192"/>
      <c r="Y3" s="43" t="s">
        <v>116</v>
      </c>
      <c r="Z3" s="3" t="s">
        <v>24</v>
      </c>
      <c r="AA3" s="3" t="s">
        <v>42</v>
      </c>
      <c r="AB3" s="3" t="s">
        <v>25</v>
      </c>
      <c r="AC3" s="3" t="s">
        <v>26</v>
      </c>
    </row>
    <row r="4" spans="1:29">
      <c r="A4" s="189" t="s">
        <v>103</v>
      </c>
      <c r="B4" s="5" t="s">
        <v>0</v>
      </c>
      <c r="C4" s="48">
        <v>3.27</v>
      </c>
      <c r="D4" s="49">
        <v>2.4</v>
      </c>
      <c r="E4" s="7">
        <f>(C4*D4)</f>
        <v>7.8479999999999999</v>
      </c>
      <c r="F4" s="24">
        <f>D4</f>
        <v>2.4</v>
      </c>
      <c r="G4" s="7">
        <f>($C4*$F4)</f>
        <v>7.8479999999999999</v>
      </c>
      <c r="H4" s="13"/>
      <c r="J4">
        <f>CEILING($C4/0.53,1)</f>
        <v>7</v>
      </c>
      <c r="L4" s="13"/>
      <c r="M4" s="5"/>
      <c r="N4" s="187">
        <f>CEILING($C4/0.53,1)*$D4</f>
        <v>16.8</v>
      </c>
      <c r="O4" s="188"/>
      <c r="P4" s="5"/>
      <c r="Q4" s="5"/>
      <c r="R4" s="5"/>
      <c r="S4" s="5"/>
      <c r="T4" s="5">
        <f>CEILING($D4/1.1,1)*$C4</f>
        <v>9.81</v>
      </c>
      <c r="U4" s="5"/>
      <c r="V4" s="5"/>
      <c r="W4" s="185">
        <f t="shared" ref="W4:W21" si="0">$G4/$X$42</f>
        <v>1.4039355992844365</v>
      </c>
      <c r="X4" s="186"/>
      <c r="Y4" s="45"/>
      <c r="Z4" s="5"/>
      <c r="AA4" s="5"/>
      <c r="AB4" s="5"/>
      <c r="AC4" s="5"/>
    </row>
    <row r="5" spans="1:29">
      <c r="A5" s="189"/>
      <c r="B5" s="5" t="s">
        <v>1</v>
      </c>
      <c r="C5" s="48">
        <v>3.27</v>
      </c>
      <c r="D5" s="49">
        <v>2.4</v>
      </c>
      <c r="E5" s="7">
        <f t="shared" ref="E5:E29" si="1">(C5*D5)</f>
        <v>7.8479999999999999</v>
      </c>
      <c r="F5" s="24">
        <f t="shared" ref="F5:F29" si="2">D5</f>
        <v>2.4</v>
      </c>
      <c r="G5" s="7">
        <f t="shared" ref="G5:G29" si="3">($C5*$F5)</f>
        <v>7.8479999999999999</v>
      </c>
      <c r="H5" s="13"/>
      <c r="J5">
        <f t="shared" ref="J5:J29" si="4">CEILING($C5/0.53,1)</f>
        <v>7</v>
      </c>
      <c r="L5" s="13"/>
      <c r="M5" s="5"/>
      <c r="N5" s="187">
        <f t="shared" ref="N5:N29" si="5">CEILING($C5/0.53,1)*$D5</f>
        <v>16.8</v>
      </c>
      <c r="O5" s="188"/>
      <c r="P5" s="5"/>
      <c r="Q5" s="5"/>
      <c r="R5" s="5"/>
      <c r="S5" s="5"/>
      <c r="T5" s="5">
        <f t="shared" ref="T5:T27" si="6">CEILING($D5/1.1,1)*$C5</f>
        <v>9.81</v>
      </c>
      <c r="U5" s="5"/>
      <c r="V5" s="5"/>
      <c r="W5" s="185">
        <f t="shared" si="0"/>
        <v>1.4039355992844365</v>
      </c>
      <c r="X5" s="186"/>
      <c r="Y5" s="45"/>
      <c r="Z5" s="5"/>
      <c r="AA5" s="5"/>
      <c r="AB5" s="5"/>
      <c r="AC5" s="5"/>
    </row>
    <row r="6" spans="1:29">
      <c r="A6" s="189"/>
      <c r="B6" s="5" t="s">
        <v>2</v>
      </c>
      <c r="C6" s="48">
        <v>3.93</v>
      </c>
      <c r="D6" s="49">
        <v>2.4</v>
      </c>
      <c r="E6" s="7">
        <f t="shared" si="1"/>
        <v>9.4320000000000004</v>
      </c>
      <c r="F6" s="24">
        <f t="shared" si="2"/>
        <v>2.4</v>
      </c>
      <c r="G6" s="7">
        <f t="shared" si="3"/>
        <v>9.4320000000000004</v>
      </c>
      <c r="H6" s="13"/>
      <c r="J6">
        <f t="shared" si="4"/>
        <v>8</v>
      </c>
      <c r="L6" s="13"/>
      <c r="M6" s="5"/>
      <c r="N6" s="187">
        <f t="shared" si="5"/>
        <v>19.2</v>
      </c>
      <c r="O6" s="188"/>
      <c r="P6" s="5"/>
      <c r="Q6" s="5"/>
      <c r="R6" s="5"/>
      <c r="S6" s="5"/>
      <c r="T6" s="5">
        <f t="shared" si="6"/>
        <v>11.790000000000001</v>
      </c>
      <c r="U6" s="5"/>
      <c r="V6" s="5"/>
      <c r="W6" s="185">
        <f t="shared" si="0"/>
        <v>1.6872987477638641</v>
      </c>
      <c r="X6" s="186"/>
      <c r="Y6" s="45"/>
      <c r="Z6" s="5"/>
      <c r="AA6" s="5"/>
      <c r="AB6" s="5"/>
      <c r="AC6" s="5"/>
    </row>
    <row r="7" spans="1:29">
      <c r="A7" s="189"/>
      <c r="B7" s="5" t="s">
        <v>3</v>
      </c>
      <c r="C7" s="48">
        <v>3.93</v>
      </c>
      <c r="D7" s="49">
        <v>2.4</v>
      </c>
      <c r="E7" s="7">
        <f t="shared" si="1"/>
        <v>9.4320000000000004</v>
      </c>
      <c r="F7" s="24">
        <f t="shared" si="2"/>
        <v>2.4</v>
      </c>
      <c r="G7" s="7">
        <f t="shared" si="3"/>
        <v>9.4320000000000004</v>
      </c>
      <c r="H7" s="13"/>
      <c r="J7">
        <f t="shared" si="4"/>
        <v>8</v>
      </c>
      <c r="L7" s="13"/>
      <c r="M7" s="5"/>
      <c r="N7" s="187">
        <f t="shared" si="5"/>
        <v>19.2</v>
      </c>
      <c r="O7" s="188"/>
      <c r="P7" s="5"/>
      <c r="Q7" s="5"/>
      <c r="R7" s="5"/>
      <c r="S7" s="5"/>
      <c r="T7" s="5">
        <f t="shared" si="6"/>
        <v>11.790000000000001</v>
      </c>
      <c r="U7" s="5"/>
      <c r="V7" s="5"/>
      <c r="W7" s="185">
        <f t="shared" si="0"/>
        <v>1.6872987477638641</v>
      </c>
      <c r="X7" s="186"/>
      <c r="Y7" s="45"/>
      <c r="Z7" s="5"/>
      <c r="AA7" s="5"/>
      <c r="AB7" s="5"/>
      <c r="AC7" s="5"/>
    </row>
    <row r="8" spans="1:29">
      <c r="A8" s="189"/>
      <c r="B8" s="5" t="s">
        <v>8</v>
      </c>
      <c r="C8" s="48">
        <v>3.27</v>
      </c>
      <c r="D8" s="50">
        <v>3.93</v>
      </c>
      <c r="E8" s="7">
        <f t="shared" si="1"/>
        <v>12.851100000000001</v>
      </c>
      <c r="F8" s="24">
        <f t="shared" si="2"/>
        <v>3.93</v>
      </c>
      <c r="G8" s="7">
        <f t="shared" si="3"/>
        <v>12.851100000000001</v>
      </c>
      <c r="H8" s="13"/>
      <c r="J8">
        <f t="shared" si="4"/>
        <v>7</v>
      </c>
      <c r="L8" s="13"/>
      <c r="M8" s="5"/>
      <c r="N8" s="187">
        <f t="shared" si="5"/>
        <v>27.51</v>
      </c>
      <c r="O8" s="188"/>
      <c r="P8" s="5"/>
      <c r="Q8" s="5"/>
      <c r="R8" s="5"/>
      <c r="S8" s="5"/>
      <c r="T8" s="5">
        <f t="shared" si="6"/>
        <v>13.08</v>
      </c>
      <c r="U8" s="5"/>
      <c r="V8" s="5"/>
      <c r="W8" s="185">
        <f t="shared" si="0"/>
        <v>2.2989445438282647</v>
      </c>
      <c r="X8" s="186"/>
      <c r="Y8" s="45"/>
      <c r="Z8" s="5"/>
      <c r="AA8" s="5"/>
      <c r="AB8" s="5"/>
      <c r="AC8" s="5"/>
    </row>
    <row r="9" spans="1:29">
      <c r="A9" s="189" t="s">
        <v>104</v>
      </c>
      <c r="B9" s="5" t="s">
        <v>0</v>
      </c>
      <c r="C9" s="48">
        <v>2.65</v>
      </c>
      <c r="D9" s="49">
        <v>2.4</v>
      </c>
      <c r="E9" s="7">
        <f t="shared" si="1"/>
        <v>6.3599999999999994</v>
      </c>
      <c r="F9" s="24">
        <f t="shared" si="2"/>
        <v>2.4</v>
      </c>
      <c r="G9" s="7">
        <f t="shared" si="3"/>
        <v>6.3599999999999994</v>
      </c>
      <c r="H9" s="13"/>
      <c r="J9">
        <f t="shared" si="4"/>
        <v>5</v>
      </c>
      <c r="L9" s="13"/>
      <c r="M9" s="5"/>
      <c r="N9" s="187">
        <f t="shared" si="5"/>
        <v>12</v>
      </c>
      <c r="O9" s="188"/>
      <c r="P9" s="5"/>
      <c r="Q9" s="5"/>
      <c r="R9" s="5"/>
      <c r="S9" s="5"/>
      <c r="T9" s="5">
        <f t="shared" si="6"/>
        <v>7.9499999999999993</v>
      </c>
      <c r="U9" s="5"/>
      <c r="V9" s="5"/>
      <c r="W9" s="185">
        <f t="shared" si="0"/>
        <v>1.1377459749552772</v>
      </c>
      <c r="X9" s="186"/>
      <c r="Y9" s="45"/>
      <c r="Z9" s="5"/>
      <c r="AA9" s="5"/>
      <c r="AB9" s="5"/>
      <c r="AC9" s="5"/>
    </row>
    <row r="10" spans="1:29">
      <c r="A10" s="189"/>
      <c r="B10" s="5" t="s">
        <v>1</v>
      </c>
      <c r="C10" s="48">
        <v>2.65</v>
      </c>
      <c r="D10" s="49">
        <v>2.4</v>
      </c>
      <c r="E10" s="7">
        <f t="shared" si="1"/>
        <v>6.3599999999999994</v>
      </c>
      <c r="F10" s="24">
        <f t="shared" si="2"/>
        <v>2.4</v>
      </c>
      <c r="G10" s="7">
        <f t="shared" si="3"/>
        <v>6.3599999999999994</v>
      </c>
      <c r="H10" s="13"/>
      <c r="J10">
        <f t="shared" si="4"/>
        <v>5</v>
      </c>
      <c r="L10" s="13"/>
      <c r="M10" s="5"/>
      <c r="N10" s="187">
        <f t="shared" si="5"/>
        <v>12</v>
      </c>
      <c r="O10" s="188"/>
      <c r="P10" s="5"/>
      <c r="Q10" s="5"/>
      <c r="R10" s="5"/>
      <c r="S10" s="5"/>
      <c r="T10" s="5">
        <f t="shared" si="6"/>
        <v>7.9499999999999993</v>
      </c>
      <c r="U10" s="5"/>
      <c r="V10" s="5"/>
      <c r="W10" s="185">
        <f t="shared" si="0"/>
        <v>1.1377459749552772</v>
      </c>
      <c r="X10" s="186"/>
      <c r="Y10" s="45"/>
      <c r="Z10" s="5"/>
      <c r="AA10" s="5"/>
      <c r="AB10" s="5"/>
      <c r="AC10" s="5"/>
    </row>
    <row r="11" spans="1:29">
      <c r="A11" s="189"/>
      <c r="B11" s="5" t="s">
        <v>2</v>
      </c>
      <c r="C11" s="48">
        <v>3.43</v>
      </c>
      <c r="D11" s="49">
        <v>2.4</v>
      </c>
      <c r="E11" s="7">
        <f t="shared" si="1"/>
        <v>8.2319999999999993</v>
      </c>
      <c r="F11" s="24">
        <f t="shared" si="2"/>
        <v>2.4</v>
      </c>
      <c r="G11" s="7">
        <f t="shared" si="3"/>
        <v>8.2319999999999993</v>
      </c>
      <c r="H11" s="13"/>
      <c r="J11">
        <f t="shared" si="4"/>
        <v>7</v>
      </c>
      <c r="L11" s="13"/>
      <c r="M11" s="5"/>
      <c r="N11" s="187">
        <f t="shared" si="5"/>
        <v>16.8</v>
      </c>
      <c r="O11" s="188"/>
      <c r="P11" s="5"/>
      <c r="Q11" s="5"/>
      <c r="R11" s="5"/>
      <c r="S11" s="5"/>
      <c r="T11" s="5">
        <f t="shared" si="6"/>
        <v>10.290000000000001</v>
      </c>
      <c r="U11" s="5"/>
      <c r="V11" s="5"/>
      <c r="W11" s="185">
        <f t="shared" si="0"/>
        <v>1.4726296958855098</v>
      </c>
      <c r="X11" s="186"/>
      <c r="Y11" s="45"/>
      <c r="Z11" s="5"/>
      <c r="AA11" s="5"/>
      <c r="AB11" s="5"/>
      <c r="AC11" s="5"/>
    </row>
    <row r="12" spans="1:29">
      <c r="A12" s="189"/>
      <c r="B12" s="5" t="s">
        <v>3</v>
      </c>
      <c r="C12" s="48">
        <v>3.43</v>
      </c>
      <c r="D12" s="49">
        <v>2.4</v>
      </c>
      <c r="E12" s="7">
        <f t="shared" si="1"/>
        <v>8.2319999999999993</v>
      </c>
      <c r="F12" s="24">
        <f t="shared" si="2"/>
        <v>2.4</v>
      </c>
      <c r="G12" s="7">
        <f t="shared" si="3"/>
        <v>8.2319999999999993</v>
      </c>
      <c r="H12" s="13"/>
      <c r="J12">
        <f t="shared" si="4"/>
        <v>7</v>
      </c>
      <c r="L12" s="13"/>
      <c r="M12" s="5"/>
      <c r="N12" s="187">
        <f t="shared" si="5"/>
        <v>16.8</v>
      </c>
      <c r="O12" s="188"/>
      <c r="P12" s="5"/>
      <c r="Q12" s="5"/>
      <c r="R12" s="5"/>
      <c r="S12" s="5"/>
      <c r="T12" s="5">
        <f t="shared" si="6"/>
        <v>10.290000000000001</v>
      </c>
      <c r="U12" s="5"/>
      <c r="V12" s="5"/>
      <c r="W12" s="185">
        <f t="shared" si="0"/>
        <v>1.4726296958855098</v>
      </c>
      <c r="X12" s="186"/>
      <c r="Y12" s="45"/>
      <c r="Z12" s="5"/>
      <c r="AA12" s="5"/>
      <c r="AB12" s="5"/>
      <c r="AC12" s="5"/>
    </row>
    <row r="13" spans="1:29">
      <c r="A13" s="189"/>
      <c r="B13" s="5" t="s">
        <v>8</v>
      </c>
      <c r="C13" s="48">
        <v>2.65</v>
      </c>
      <c r="D13" s="50">
        <v>3.43</v>
      </c>
      <c r="E13" s="7">
        <f t="shared" si="1"/>
        <v>9.0894999999999992</v>
      </c>
      <c r="F13" s="24">
        <f t="shared" si="2"/>
        <v>3.43</v>
      </c>
      <c r="G13" s="7">
        <f t="shared" si="3"/>
        <v>9.0894999999999992</v>
      </c>
      <c r="H13" s="13"/>
      <c r="J13">
        <f t="shared" si="4"/>
        <v>5</v>
      </c>
      <c r="L13" s="13"/>
      <c r="M13" s="5"/>
      <c r="N13" s="187">
        <f t="shared" si="5"/>
        <v>17.150000000000002</v>
      </c>
      <c r="O13" s="188"/>
      <c r="P13" s="5"/>
      <c r="Q13" s="5"/>
      <c r="R13" s="5"/>
      <c r="S13" s="5"/>
      <c r="T13" s="5">
        <f t="shared" si="6"/>
        <v>10.6</v>
      </c>
      <c r="U13" s="5"/>
      <c r="V13" s="5"/>
      <c r="W13" s="185">
        <f t="shared" si="0"/>
        <v>1.6260286225402503</v>
      </c>
      <c r="X13" s="186"/>
      <c r="Y13" s="45"/>
      <c r="Z13" s="5"/>
      <c r="AA13" s="5"/>
      <c r="AB13" s="5"/>
      <c r="AC13" s="5"/>
    </row>
    <row r="14" spans="1:29">
      <c r="A14" s="189" t="s">
        <v>105</v>
      </c>
      <c r="B14" s="5" t="s">
        <v>0</v>
      </c>
      <c r="C14" s="48">
        <v>3.33</v>
      </c>
      <c r="D14" s="49">
        <v>2.4</v>
      </c>
      <c r="E14" s="7">
        <f t="shared" si="1"/>
        <v>7.992</v>
      </c>
      <c r="F14" s="24">
        <f t="shared" si="2"/>
        <v>2.4</v>
      </c>
      <c r="G14" s="7">
        <f t="shared" si="3"/>
        <v>7.992</v>
      </c>
      <c r="H14" s="13"/>
      <c r="J14">
        <f t="shared" si="4"/>
        <v>7</v>
      </c>
      <c r="L14" s="13"/>
      <c r="M14" s="5"/>
      <c r="N14" s="187">
        <f t="shared" si="5"/>
        <v>16.8</v>
      </c>
      <c r="O14" s="188"/>
      <c r="P14" s="5"/>
      <c r="Q14" s="5"/>
      <c r="R14" s="5"/>
      <c r="S14" s="5"/>
      <c r="T14" s="5">
        <f t="shared" si="6"/>
        <v>9.99</v>
      </c>
      <c r="U14" s="5"/>
      <c r="V14" s="5"/>
      <c r="W14" s="185">
        <f t="shared" si="0"/>
        <v>1.4296958855098389</v>
      </c>
      <c r="X14" s="186"/>
      <c r="Y14" s="45"/>
      <c r="Z14" s="5"/>
      <c r="AA14" s="5"/>
      <c r="AB14" s="5"/>
      <c r="AC14" s="5"/>
    </row>
    <row r="15" spans="1:29">
      <c r="A15" s="189"/>
      <c r="B15" s="5" t="s">
        <v>1</v>
      </c>
      <c r="C15" s="48">
        <v>3.33</v>
      </c>
      <c r="D15" s="49">
        <v>2.4</v>
      </c>
      <c r="E15" s="7">
        <f t="shared" si="1"/>
        <v>7.992</v>
      </c>
      <c r="F15" s="24">
        <f t="shared" si="2"/>
        <v>2.4</v>
      </c>
      <c r="G15" s="7">
        <f t="shared" si="3"/>
        <v>7.992</v>
      </c>
      <c r="H15" s="13"/>
      <c r="J15">
        <f t="shared" si="4"/>
        <v>7</v>
      </c>
      <c r="L15" s="13"/>
      <c r="M15" s="5"/>
      <c r="N15" s="187">
        <f t="shared" si="5"/>
        <v>16.8</v>
      </c>
      <c r="O15" s="188"/>
      <c r="P15" s="5"/>
      <c r="Q15" s="5"/>
      <c r="R15" s="5"/>
      <c r="S15" s="5"/>
      <c r="T15" s="5">
        <f t="shared" si="6"/>
        <v>9.99</v>
      </c>
      <c r="U15" s="5"/>
      <c r="V15" s="5"/>
      <c r="W15" s="185">
        <f t="shared" si="0"/>
        <v>1.4296958855098389</v>
      </c>
      <c r="X15" s="186"/>
      <c r="Y15" s="45"/>
      <c r="Z15" s="5"/>
      <c r="AA15" s="5"/>
      <c r="AB15" s="5"/>
      <c r="AC15" s="5"/>
    </row>
    <row r="16" spans="1:29">
      <c r="A16" s="189"/>
      <c r="B16" s="5" t="s">
        <v>2</v>
      </c>
      <c r="C16" s="48">
        <v>2.23</v>
      </c>
      <c r="D16" s="49">
        <v>2.4</v>
      </c>
      <c r="E16" s="7">
        <f t="shared" si="1"/>
        <v>5.3519999999999994</v>
      </c>
      <c r="F16" s="24">
        <f t="shared" si="2"/>
        <v>2.4</v>
      </c>
      <c r="G16" s="7">
        <f t="shared" si="3"/>
        <v>5.3519999999999994</v>
      </c>
      <c r="H16" s="13"/>
      <c r="J16">
        <f t="shared" si="4"/>
        <v>5</v>
      </c>
      <c r="L16" s="13"/>
      <c r="M16" s="5"/>
      <c r="N16" s="187">
        <f t="shared" si="5"/>
        <v>12</v>
      </c>
      <c r="O16" s="188"/>
      <c r="P16" s="5"/>
      <c r="Q16" s="5"/>
      <c r="R16" s="5"/>
      <c r="S16" s="5"/>
      <c r="T16" s="5">
        <f t="shared" si="6"/>
        <v>6.6899999999999995</v>
      </c>
      <c r="U16" s="5"/>
      <c r="V16" s="5"/>
      <c r="W16" s="185">
        <f t="shared" si="0"/>
        <v>0.95742397137745971</v>
      </c>
      <c r="X16" s="186"/>
      <c r="Y16" s="45"/>
      <c r="Z16" s="5"/>
      <c r="AA16" s="5"/>
      <c r="AB16" s="5"/>
      <c r="AC16" s="5"/>
    </row>
    <row r="17" spans="1:29">
      <c r="A17" s="189"/>
      <c r="B17" s="5" t="s">
        <v>3</v>
      </c>
      <c r="C17" s="48">
        <v>2.23</v>
      </c>
      <c r="D17" s="49">
        <v>2.4</v>
      </c>
      <c r="E17" s="7">
        <f t="shared" si="1"/>
        <v>5.3519999999999994</v>
      </c>
      <c r="F17" s="24">
        <f t="shared" si="2"/>
        <v>2.4</v>
      </c>
      <c r="G17" s="7">
        <f t="shared" si="3"/>
        <v>5.3519999999999994</v>
      </c>
      <c r="H17" s="13"/>
      <c r="J17">
        <f t="shared" si="4"/>
        <v>5</v>
      </c>
      <c r="L17" s="13"/>
      <c r="M17" s="5"/>
      <c r="N17" s="187">
        <f t="shared" si="5"/>
        <v>12</v>
      </c>
      <c r="O17" s="188"/>
      <c r="P17" s="5"/>
      <c r="Q17" s="5"/>
      <c r="R17" s="5"/>
      <c r="S17" s="5"/>
      <c r="T17" s="5">
        <f t="shared" si="6"/>
        <v>6.6899999999999995</v>
      </c>
      <c r="U17" s="5"/>
      <c r="V17" s="5"/>
      <c r="W17" s="185">
        <f t="shared" si="0"/>
        <v>0.95742397137745971</v>
      </c>
      <c r="X17" s="186"/>
      <c r="Y17" s="45"/>
      <c r="Z17" s="5"/>
      <c r="AA17" s="5"/>
      <c r="AB17" s="5"/>
      <c r="AC17" s="5"/>
    </row>
    <row r="18" spans="1:29">
      <c r="A18" s="189"/>
      <c r="B18" s="5" t="s">
        <v>8</v>
      </c>
      <c r="C18" s="48">
        <v>2.2330000000000001</v>
      </c>
      <c r="D18" s="50">
        <v>3.33</v>
      </c>
      <c r="E18" s="7">
        <f t="shared" si="1"/>
        <v>7.4358900000000006</v>
      </c>
      <c r="F18" s="24">
        <f t="shared" si="2"/>
        <v>3.33</v>
      </c>
      <c r="G18" s="7">
        <f t="shared" si="3"/>
        <v>7.4358900000000006</v>
      </c>
      <c r="H18" s="13"/>
      <c r="J18">
        <f t="shared" si="4"/>
        <v>5</v>
      </c>
      <c r="L18" s="13"/>
      <c r="M18" s="5"/>
      <c r="N18" s="187">
        <f t="shared" si="5"/>
        <v>16.649999999999999</v>
      </c>
      <c r="O18" s="188"/>
      <c r="P18" s="5"/>
      <c r="Q18" s="5"/>
      <c r="R18" s="5"/>
      <c r="S18" s="5"/>
      <c r="T18" s="5">
        <f t="shared" si="6"/>
        <v>8.9320000000000004</v>
      </c>
      <c r="U18" s="5"/>
      <c r="V18" s="5"/>
      <c r="W18" s="185">
        <f t="shared" si="0"/>
        <v>1.3302128801431128</v>
      </c>
      <c r="X18" s="186"/>
      <c r="Y18" s="45"/>
      <c r="Z18" s="5"/>
      <c r="AA18" s="5"/>
      <c r="AB18" s="5"/>
      <c r="AC18" s="5"/>
    </row>
    <row r="19" spans="1:29">
      <c r="A19" s="189" t="s">
        <v>106</v>
      </c>
      <c r="B19" s="5" t="s">
        <v>0</v>
      </c>
      <c r="C19" s="48">
        <v>2.12</v>
      </c>
      <c r="D19" s="49">
        <v>2.4</v>
      </c>
      <c r="E19" s="7">
        <f t="shared" si="1"/>
        <v>5.0880000000000001</v>
      </c>
      <c r="F19" s="24">
        <f t="shared" si="2"/>
        <v>2.4</v>
      </c>
      <c r="G19" s="7">
        <f t="shared" si="3"/>
        <v>5.0880000000000001</v>
      </c>
      <c r="H19" s="13"/>
      <c r="J19">
        <f t="shared" si="4"/>
        <v>4</v>
      </c>
      <c r="L19" s="13"/>
      <c r="M19" s="5"/>
      <c r="N19" s="187">
        <f t="shared" si="5"/>
        <v>9.6</v>
      </c>
      <c r="O19" s="188"/>
      <c r="P19" s="5"/>
      <c r="Q19" s="5"/>
      <c r="R19" s="5"/>
      <c r="S19" s="5"/>
      <c r="T19" s="5">
        <f t="shared" si="6"/>
        <v>6.36</v>
      </c>
      <c r="U19" s="5"/>
      <c r="V19" s="5"/>
      <c r="W19" s="185">
        <f t="shared" si="0"/>
        <v>0.91019677996422188</v>
      </c>
      <c r="X19" s="186"/>
      <c r="Y19" s="45"/>
      <c r="Z19" s="5"/>
      <c r="AA19" s="5"/>
      <c r="AB19" s="5"/>
      <c r="AC19" s="5"/>
    </row>
    <row r="20" spans="1:29">
      <c r="A20" s="189"/>
      <c r="B20" s="5" t="s">
        <v>1</v>
      </c>
      <c r="C20" s="48">
        <v>3.43</v>
      </c>
      <c r="D20" s="49">
        <v>2.4</v>
      </c>
      <c r="E20" s="7">
        <f t="shared" si="1"/>
        <v>8.2319999999999993</v>
      </c>
      <c r="F20" s="24">
        <f t="shared" si="2"/>
        <v>2.4</v>
      </c>
      <c r="G20" s="7">
        <f t="shared" si="3"/>
        <v>8.2319999999999993</v>
      </c>
      <c r="H20" s="13"/>
      <c r="J20">
        <f t="shared" si="4"/>
        <v>7</v>
      </c>
      <c r="L20" s="13"/>
      <c r="M20" s="5"/>
      <c r="N20" s="187">
        <f t="shared" si="5"/>
        <v>16.8</v>
      </c>
      <c r="O20" s="188"/>
      <c r="P20" s="5"/>
      <c r="Q20" s="5"/>
      <c r="R20" s="5"/>
      <c r="S20" s="5"/>
      <c r="T20" s="5">
        <f t="shared" si="6"/>
        <v>10.290000000000001</v>
      </c>
      <c r="U20" s="5"/>
      <c r="V20" s="5"/>
      <c r="W20" s="185">
        <f t="shared" si="0"/>
        <v>1.4726296958855098</v>
      </c>
      <c r="X20" s="186"/>
      <c r="Y20" s="45"/>
      <c r="Z20" s="5"/>
      <c r="AA20" s="5"/>
      <c r="AB20" s="5"/>
      <c r="AC20" s="5"/>
    </row>
    <row r="21" spans="1:29">
      <c r="A21" s="189"/>
      <c r="B21" s="5" t="s">
        <v>2</v>
      </c>
      <c r="C21" s="48">
        <v>2.35</v>
      </c>
      <c r="D21" s="49">
        <v>2.4</v>
      </c>
      <c r="E21" s="7">
        <f t="shared" si="1"/>
        <v>5.64</v>
      </c>
      <c r="F21" s="24">
        <f t="shared" si="2"/>
        <v>2.4</v>
      </c>
      <c r="G21" s="7">
        <f t="shared" si="3"/>
        <v>5.64</v>
      </c>
      <c r="H21" s="13"/>
      <c r="J21">
        <f t="shared" si="4"/>
        <v>5</v>
      </c>
      <c r="L21" s="13"/>
      <c r="M21" s="5"/>
      <c r="N21" s="187">
        <f t="shared" si="5"/>
        <v>12</v>
      </c>
      <c r="O21" s="188"/>
      <c r="P21" s="5"/>
      <c r="Q21" s="5"/>
      <c r="R21" s="5"/>
      <c r="S21" s="5"/>
      <c r="T21" s="5">
        <f t="shared" si="6"/>
        <v>7.0500000000000007</v>
      </c>
      <c r="U21" s="5"/>
      <c r="V21" s="5"/>
      <c r="W21" s="185">
        <f t="shared" si="0"/>
        <v>1.0089445438282647</v>
      </c>
      <c r="X21" s="186"/>
      <c r="Y21" s="45"/>
      <c r="Z21" s="5"/>
      <c r="AA21" s="5"/>
      <c r="AB21" s="5"/>
      <c r="AC21" s="5"/>
    </row>
    <row r="22" spans="1:29">
      <c r="A22" s="189"/>
      <c r="B22" s="5" t="s">
        <v>3</v>
      </c>
      <c r="C22" s="48">
        <v>3.89</v>
      </c>
      <c r="D22" s="49">
        <v>2.4</v>
      </c>
      <c r="E22" s="7">
        <f t="shared" si="1"/>
        <v>9.3360000000000003</v>
      </c>
      <c r="F22" s="24">
        <f t="shared" si="2"/>
        <v>2.4</v>
      </c>
      <c r="G22" s="7">
        <f t="shared" si="3"/>
        <v>9.3360000000000003</v>
      </c>
      <c r="H22" s="13"/>
      <c r="J22">
        <f t="shared" si="4"/>
        <v>8</v>
      </c>
      <c r="L22" s="13"/>
      <c r="M22" s="5"/>
      <c r="N22" s="187">
        <f t="shared" si="5"/>
        <v>19.2</v>
      </c>
      <c r="O22" s="188"/>
      <c r="P22" s="5"/>
      <c r="Q22" s="5"/>
      <c r="R22" s="5"/>
      <c r="S22" s="5"/>
      <c r="T22" s="5">
        <f t="shared" si="6"/>
        <v>11.67</v>
      </c>
      <c r="U22" s="5"/>
      <c r="V22" s="5"/>
      <c r="W22" s="185">
        <f t="shared" ref="W22:W29" si="7">$G22/$X$42</f>
        <v>1.6701252236135957</v>
      </c>
      <c r="X22" s="186"/>
      <c r="Y22" s="45"/>
      <c r="Z22" s="5"/>
      <c r="AA22" s="5"/>
      <c r="AB22" s="5"/>
      <c r="AC22" s="5"/>
    </row>
    <row r="23" spans="1:29">
      <c r="A23" s="189"/>
      <c r="B23" s="5" t="s">
        <v>107</v>
      </c>
      <c r="C23" s="48">
        <v>3.3</v>
      </c>
      <c r="D23" s="49">
        <v>2.4</v>
      </c>
      <c r="E23" s="7">
        <f t="shared" si="1"/>
        <v>7.919999999999999</v>
      </c>
      <c r="F23" s="24">
        <f t="shared" si="2"/>
        <v>2.4</v>
      </c>
      <c r="G23" s="7">
        <f t="shared" si="3"/>
        <v>7.919999999999999</v>
      </c>
      <c r="H23" s="13"/>
      <c r="J23">
        <f t="shared" si="4"/>
        <v>7</v>
      </c>
      <c r="L23" s="13"/>
      <c r="M23" s="5"/>
      <c r="N23" s="187">
        <f t="shared" si="5"/>
        <v>16.8</v>
      </c>
      <c r="O23" s="188"/>
      <c r="P23" s="5"/>
      <c r="Q23" s="5"/>
      <c r="R23" s="5"/>
      <c r="S23" s="5"/>
      <c r="T23" s="5">
        <f t="shared" si="6"/>
        <v>9.8999999999999986</v>
      </c>
      <c r="U23" s="5"/>
      <c r="V23" s="5"/>
      <c r="W23" s="185">
        <f t="shared" si="7"/>
        <v>1.4168157423971377</v>
      </c>
      <c r="X23" s="186"/>
      <c r="Y23" s="45"/>
      <c r="Z23" s="5"/>
      <c r="AA23" s="5"/>
      <c r="AB23" s="5"/>
      <c r="AC23" s="5"/>
    </row>
    <row r="24" spans="1:29">
      <c r="A24" s="189"/>
      <c r="B24" s="5" t="s">
        <v>108</v>
      </c>
      <c r="C24" s="48">
        <v>0.42</v>
      </c>
      <c r="D24" s="49">
        <v>2.4</v>
      </c>
      <c r="E24" s="7">
        <f t="shared" si="1"/>
        <v>1.008</v>
      </c>
      <c r="F24" s="24">
        <f t="shared" si="2"/>
        <v>2.4</v>
      </c>
      <c r="G24" s="7">
        <f t="shared" si="3"/>
        <v>1.008</v>
      </c>
      <c r="H24" s="13"/>
      <c r="J24">
        <f t="shared" si="4"/>
        <v>1</v>
      </c>
      <c r="L24" s="13"/>
      <c r="M24" s="5"/>
      <c r="N24" s="187">
        <f t="shared" si="5"/>
        <v>2.4</v>
      </c>
      <c r="O24" s="188"/>
      <c r="P24" s="5"/>
      <c r="Q24" s="5"/>
      <c r="R24" s="5"/>
      <c r="S24" s="5"/>
      <c r="T24" s="5">
        <f t="shared" si="6"/>
        <v>1.26</v>
      </c>
      <c r="U24" s="5"/>
      <c r="V24" s="5"/>
      <c r="W24" s="185">
        <f t="shared" si="7"/>
        <v>0.18032200357781752</v>
      </c>
      <c r="X24" s="186"/>
      <c r="Y24" s="45"/>
      <c r="Z24" s="5"/>
      <c r="AA24" s="5"/>
      <c r="AB24" s="5"/>
      <c r="AC24" s="5"/>
    </row>
    <row r="25" spans="1:29">
      <c r="A25" s="189"/>
      <c r="B25" s="5" t="s">
        <v>109</v>
      </c>
      <c r="C25" s="48">
        <v>2.4</v>
      </c>
      <c r="D25" s="49">
        <v>2.4</v>
      </c>
      <c r="E25" s="7">
        <f t="shared" ref="E25:E27" si="8">(C25*D25)</f>
        <v>5.76</v>
      </c>
      <c r="F25" s="24">
        <f t="shared" si="2"/>
        <v>2.4</v>
      </c>
      <c r="G25" s="7">
        <f t="shared" si="3"/>
        <v>5.76</v>
      </c>
      <c r="H25" s="13"/>
      <c r="J25">
        <f t="shared" si="4"/>
        <v>5</v>
      </c>
      <c r="L25" s="13"/>
      <c r="M25" s="5"/>
      <c r="N25" s="187">
        <f t="shared" si="5"/>
        <v>12</v>
      </c>
      <c r="O25" s="188"/>
      <c r="P25" s="5"/>
      <c r="Q25" s="5"/>
      <c r="R25" s="5"/>
      <c r="S25" s="5"/>
      <c r="T25" s="5">
        <f t="shared" si="6"/>
        <v>7.1999999999999993</v>
      </c>
      <c r="U25" s="5"/>
      <c r="V25" s="5"/>
      <c r="W25" s="185">
        <f t="shared" si="7"/>
        <v>1.0304114490161003</v>
      </c>
      <c r="X25" s="186"/>
      <c r="Y25" s="45"/>
      <c r="Z25" s="5"/>
      <c r="AA25" s="5"/>
      <c r="AB25" s="5"/>
      <c r="AC25" s="5"/>
    </row>
    <row r="26" spans="1:29">
      <c r="A26" s="189"/>
      <c r="B26" s="5" t="s">
        <v>110</v>
      </c>
      <c r="C26" s="48">
        <f>0.5+1.18</f>
        <v>1.68</v>
      </c>
      <c r="D26" s="49">
        <v>2.4</v>
      </c>
      <c r="E26" s="7">
        <f t="shared" si="8"/>
        <v>4.032</v>
      </c>
      <c r="F26" s="24">
        <f t="shared" si="2"/>
        <v>2.4</v>
      </c>
      <c r="G26" s="7">
        <f t="shared" si="3"/>
        <v>4.032</v>
      </c>
      <c r="H26" s="13"/>
      <c r="J26">
        <f t="shared" si="4"/>
        <v>4</v>
      </c>
      <c r="L26" s="13"/>
      <c r="M26" s="5"/>
      <c r="N26" s="187">
        <f t="shared" si="5"/>
        <v>9.6</v>
      </c>
      <c r="O26" s="188"/>
      <c r="P26" s="5"/>
      <c r="Q26" s="5"/>
      <c r="R26" s="5"/>
      <c r="S26" s="5"/>
      <c r="T26" s="5">
        <f t="shared" si="6"/>
        <v>5.04</v>
      </c>
      <c r="U26" s="5"/>
      <c r="V26" s="5"/>
      <c r="W26" s="185">
        <f t="shared" si="7"/>
        <v>0.7212880143112701</v>
      </c>
      <c r="X26" s="186"/>
      <c r="Y26" s="45"/>
      <c r="Z26" s="5"/>
      <c r="AA26" s="5"/>
      <c r="AB26" s="5"/>
      <c r="AC26" s="5"/>
    </row>
    <row r="27" spans="1:29">
      <c r="A27" s="189"/>
      <c r="B27" s="5" t="s">
        <v>115</v>
      </c>
      <c r="C27" s="48">
        <v>1</v>
      </c>
      <c r="D27" s="49">
        <v>1.9</v>
      </c>
      <c r="E27" s="7">
        <f t="shared" si="8"/>
        <v>1.9</v>
      </c>
      <c r="F27" s="24">
        <f t="shared" si="2"/>
        <v>1.9</v>
      </c>
      <c r="G27" s="7">
        <f t="shared" si="3"/>
        <v>1.9</v>
      </c>
      <c r="H27" s="13"/>
      <c r="J27">
        <f t="shared" si="4"/>
        <v>2</v>
      </c>
      <c r="L27" s="13"/>
      <c r="M27" s="5"/>
      <c r="N27" s="187">
        <f t="shared" si="5"/>
        <v>3.8</v>
      </c>
      <c r="O27" s="188"/>
      <c r="P27" s="5"/>
      <c r="Q27" s="5"/>
      <c r="R27" s="5"/>
      <c r="S27" s="5"/>
      <c r="T27" s="5">
        <f t="shared" si="6"/>
        <v>2</v>
      </c>
      <c r="U27" s="5"/>
      <c r="V27" s="5"/>
      <c r="W27" s="185">
        <f t="shared" si="7"/>
        <v>0.33989266547406083</v>
      </c>
      <c r="X27" s="186"/>
      <c r="Y27" s="45"/>
      <c r="Z27" s="5"/>
      <c r="AA27" s="5"/>
      <c r="AB27" s="5"/>
      <c r="AC27" s="5"/>
    </row>
    <row r="28" spans="1:29">
      <c r="A28" s="189"/>
      <c r="B28" s="5" t="s">
        <v>111</v>
      </c>
      <c r="C28" s="48">
        <v>2.12</v>
      </c>
      <c r="D28" s="49">
        <f>3.43+3.89+0.42</f>
        <v>7.74</v>
      </c>
      <c r="E28" s="7">
        <f t="shared" si="1"/>
        <v>16.408800000000003</v>
      </c>
      <c r="F28" s="24">
        <f t="shared" si="2"/>
        <v>7.74</v>
      </c>
      <c r="G28" s="7">
        <f t="shared" si="3"/>
        <v>16.408800000000003</v>
      </c>
      <c r="H28" s="13"/>
      <c r="J28">
        <f t="shared" si="4"/>
        <v>4</v>
      </c>
      <c r="L28" s="13"/>
      <c r="M28" s="5"/>
      <c r="N28" s="187">
        <f t="shared" si="5"/>
        <v>30.96</v>
      </c>
      <c r="O28" s="188"/>
      <c r="P28" s="5"/>
      <c r="Q28" s="5"/>
      <c r="R28" s="5"/>
      <c r="S28" s="5"/>
      <c r="T28" s="5"/>
      <c r="U28" s="5"/>
      <c r="V28" s="5"/>
      <c r="W28" s="185">
        <f t="shared" si="7"/>
        <v>2.9353846153846161</v>
      </c>
      <c r="X28" s="186"/>
      <c r="Y28" s="45"/>
      <c r="Z28" s="5"/>
      <c r="AA28" s="5"/>
      <c r="AB28" s="5"/>
      <c r="AC28" s="5"/>
    </row>
    <row r="29" spans="1:29">
      <c r="A29" s="189"/>
      <c r="B29" s="5" t="s">
        <v>112</v>
      </c>
      <c r="C29" s="48">
        <v>2.35</v>
      </c>
      <c r="D29" s="49">
        <v>3.89</v>
      </c>
      <c r="E29" s="7">
        <f t="shared" si="1"/>
        <v>9.1415000000000006</v>
      </c>
      <c r="F29" s="24">
        <f t="shared" si="2"/>
        <v>3.89</v>
      </c>
      <c r="G29" s="7">
        <f t="shared" si="3"/>
        <v>9.1415000000000006</v>
      </c>
      <c r="H29" s="13"/>
      <c r="J29">
        <f t="shared" si="4"/>
        <v>5</v>
      </c>
      <c r="L29" s="13"/>
      <c r="M29" s="5"/>
      <c r="N29" s="187">
        <f t="shared" si="5"/>
        <v>19.45</v>
      </c>
      <c r="O29" s="188"/>
      <c r="P29" s="5"/>
      <c r="Q29" s="5"/>
      <c r="R29" s="5"/>
      <c r="S29" s="5"/>
      <c r="T29" s="5"/>
      <c r="U29" s="5"/>
      <c r="V29" s="5"/>
      <c r="W29" s="185">
        <f t="shared" si="7"/>
        <v>1.635330948121646</v>
      </c>
      <c r="X29" s="186"/>
      <c r="Y29" s="45"/>
      <c r="Z29" s="5"/>
      <c r="AA29" s="5"/>
      <c r="AB29" s="5"/>
      <c r="AC29" s="5"/>
    </row>
    <row r="30" spans="1:29">
      <c r="A30" s="180" t="s">
        <v>12</v>
      </c>
      <c r="B30" s="183" t="s">
        <v>113</v>
      </c>
      <c r="C30" s="10"/>
      <c r="D30" s="10"/>
      <c r="E30" s="11">
        <f>SUM(E4:E29)</f>
        <v>194.27479000000002</v>
      </c>
      <c r="F30" s="11"/>
      <c r="G30" s="11">
        <f>SUM(G4:G29)</f>
        <v>194.27479000000002</v>
      </c>
      <c r="H30" s="13"/>
      <c r="I30" s="13"/>
      <c r="J30" s="13"/>
      <c r="K30" s="13"/>
      <c r="L30" s="13"/>
      <c r="M30" s="12"/>
      <c r="N30" s="206">
        <f>SUM(N4:N29)</f>
        <v>401.12000000000006</v>
      </c>
      <c r="O30" s="207"/>
      <c r="P30" s="9"/>
      <c r="Q30" s="9">
        <f>CEILING($E31/30,1)</f>
        <v>2</v>
      </c>
      <c r="R30" s="9"/>
      <c r="S30" s="9">
        <f>CEILING($E31/20,1)</f>
        <v>3</v>
      </c>
      <c r="T30" s="12">
        <f>SUM(T4:T29)</f>
        <v>206.42199999999997</v>
      </c>
      <c r="U30" s="9"/>
      <c r="V30" s="9"/>
      <c r="W30" s="205">
        <f>SUM(W4:X29)</f>
        <v>34.753987477638638</v>
      </c>
      <c r="X30" s="196"/>
      <c r="Y30" s="44">
        <v>1</v>
      </c>
      <c r="Z30" s="9"/>
      <c r="AA30" s="9">
        <v>1</v>
      </c>
      <c r="AB30" s="9">
        <v>3</v>
      </c>
      <c r="AC30" s="9">
        <v>1</v>
      </c>
    </row>
    <row r="31" spans="1:29">
      <c r="A31" s="181"/>
      <c r="B31" s="184"/>
      <c r="C31" s="10"/>
      <c r="D31" s="10"/>
      <c r="E31" s="55">
        <f>E30*0.3025</f>
        <v>58.768123975000009</v>
      </c>
      <c r="F31" s="11"/>
      <c r="G31" s="11"/>
      <c r="H31" s="13"/>
      <c r="I31" s="13"/>
      <c r="J31" s="13"/>
      <c r="K31" s="13"/>
      <c r="L31" s="13"/>
      <c r="M31" s="53"/>
      <c r="N31" s="54"/>
      <c r="O31" s="54"/>
      <c r="P31" s="53"/>
      <c r="Q31" s="52"/>
      <c r="R31" s="52"/>
      <c r="S31" s="52"/>
      <c r="T31" s="53"/>
      <c r="U31" s="52"/>
      <c r="V31" s="52"/>
      <c r="W31" s="51"/>
      <c r="X31" s="51"/>
      <c r="Y31" s="51"/>
      <c r="Z31" s="52"/>
      <c r="AA31" s="52"/>
      <c r="AB31" s="52"/>
      <c r="AC31" s="52"/>
    </row>
    <row r="32" spans="1:29">
      <c r="A32" s="182"/>
      <c r="B32" s="56" t="s">
        <v>114</v>
      </c>
      <c r="C32" s="10"/>
      <c r="D32" s="10"/>
      <c r="E32" s="55">
        <f>(E8+E13+E18+E28+E29)*0.3025</f>
        <v>16.615353975000001</v>
      </c>
      <c r="F32" s="11"/>
      <c r="G32" s="11"/>
      <c r="H32" s="13"/>
      <c r="I32" s="13"/>
      <c r="J32" s="13"/>
      <c r="K32" s="13"/>
      <c r="L32" s="13"/>
      <c r="M32" s="53"/>
      <c r="N32" s="54"/>
      <c r="O32" s="54"/>
      <c r="P32" s="53"/>
      <c r="Q32" s="52"/>
      <c r="R32" s="52"/>
      <c r="S32" s="52"/>
      <c r="T32" s="53"/>
      <c r="U32" s="52"/>
      <c r="V32" s="52"/>
      <c r="W32" s="51"/>
      <c r="X32" s="51"/>
      <c r="Y32" s="51"/>
      <c r="Z32" s="52"/>
      <c r="AA32" s="52"/>
      <c r="AB32" s="52"/>
      <c r="AC32" s="52"/>
    </row>
    <row r="33" spans="1:29" ht="6" customHeight="1">
      <c r="A33" s="1"/>
      <c r="C33" s="14"/>
      <c r="D33" s="14"/>
      <c r="E33" s="13"/>
      <c r="F33" s="13"/>
      <c r="G33" s="13"/>
      <c r="H33" s="13"/>
      <c r="I33" s="13"/>
      <c r="J33" s="13"/>
      <c r="K33" s="13"/>
      <c r="L33" s="13"/>
      <c r="M33" s="15"/>
      <c r="N33" s="15"/>
      <c r="O33" s="15"/>
      <c r="P33" s="15"/>
    </row>
    <row r="34" spans="1:29">
      <c r="A34" s="4" t="s">
        <v>35</v>
      </c>
      <c r="B34" s="5"/>
      <c r="C34" s="6"/>
      <c r="D34" s="6"/>
      <c r="E34" s="7"/>
      <c r="F34" s="7"/>
      <c r="G34" s="7"/>
      <c r="H34" s="13"/>
      <c r="I34" s="13"/>
      <c r="J34" s="13"/>
      <c r="K34" s="13"/>
      <c r="L34" s="13"/>
      <c r="M34" s="17"/>
      <c r="N34" s="187" t="s">
        <v>36</v>
      </c>
      <c r="O34" s="188"/>
      <c r="P34" s="17"/>
      <c r="Q34" s="5"/>
      <c r="R34" s="5"/>
      <c r="S34" s="5"/>
      <c r="T34" s="5"/>
      <c r="U34" s="5"/>
      <c r="V34" s="5"/>
      <c r="W34" s="17"/>
      <c r="X34" s="17"/>
      <c r="Y34" s="17" t="s">
        <v>117</v>
      </c>
      <c r="Z34" s="4" t="s">
        <v>50</v>
      </c>
      <c r="AA34" s="4"/>
      <c r="AB34" s="17"/>
      <c r="AC34" s="5"/>
    </row>
    <row r="35" spans="1:29">
      <c r="A35" s="4" t="s">
        <v>44</v>
      </c>
      <c r="B35" s="5"/>
      <c r="C35" s="6"/>
      <c r="D35" s="6"/>
      <c r="E35" s="7"/>
      <c r="F35" s="7"/>
      <c r="G35" s="7"/>
      <c r="H35" s="13"/>
      <c r="I35" s="13"/>
      <c r="J35" s="13"/>
      <c r="K35" s="13"/>
      <c r="L35" s="13"/>
      <c r="M35" s="17"/>
      <c r="N35" s="187" t="s">
        <v>45</v>
      </c>
      <c r="O35" s="188"/>
      <c r="P35" s="17"/>
      <c r="Q35" s="5"/>
      <c r="R35" s="5"/>
      <c r="S35" s="5"/>
      <c r="T35" s="5"/>
      <c r="U35" s="5"/>
      <c r="V35" s="5"/>
      <c r="W35" s="17"/>
      <c r="X35" s="17"/>
      <c r="Y35" s="17"/>
      <c r="Z35" s="4">
        <v>205</v>
      </c>
      <c r="AA35" s="4" t="s">
        <v>52</v>
      </c>
      <c r="AB35" s="17"/>
      <c r="AC35" s="5"/>
    </row>
    <row r="36" spans="1:29">
      <c r="A36" s="4" t="s">
        <v>14</v>
      </c>
      <c r="B36" s="5"/>
      <c r="C36" s="6"/>
      <c r="D36" s="6"/>
      <c r="E36" s="7"/>
      <c r="F36" s="7"/>
      <c r="G36" s="7"/>
      <c r="H36" s="13"/>
      <c r="I36" s="13"/>
      <c r="J36" s="13"/>
      <c r="K36" s="13"/>
      <c r="L36" s="13"/>
      <c r="M36" s="16"/>
      <c r="N36" s="16" t="s">
        <v>53</v>
      </c>
      <c r="O36" s="16" t="s">
        <v>54</v>
      </c>
      <c r="P36" s="16"/>
      <c r="Q36" s="5"/>
      <c r="R36" s="5"/>
      <c r="S36" s="5"/>
      <c r="T36" s="17" t="s">
        <v>138</v>
      </c>
      <c r="U36" s="5"/>
      <c r="V36" s="5"/>
      <c r="W36" s="17" t="s">
        <v>48</v>
      </c>
      <c r="X36" s="17" t="s">
        <v>37</v>
      </c>
      <c r="Y36" s="17" t="s">
        <v>118</v>
      </c>
      <c r="Z36" s="4" t="s">
        <v>43</v>
      </c>
      <c r="AA36" s="17" t="s">
        <v>51</v>
      </c>
      <c r="AB36" s="17" t="s">
        <v>38</v>
      </c>
      <c r="AC36" s="5"/>
    </row>
    <row r="37" spans="1:29">
      <c r="A37" s="18" t="s">
        <v>13</v>
      </c>
      <c r="B37" s="5"/>
      <c r="C37" s="5"/>
      <c r="D37" s="5"/>
      <c r="E37" s="5"/>
      <c r="F37" s="5"/>
      <c r="G37" s="5"/>
      <c r="M37" s="5"/>
      <c r="N37" s="5">
        <f>CEILING(N30*1.2/62.5,1)</f>
        <v>8</v>
      </c>
      <c r="O37" s="5">
        <f>CEILING((N30*1.2/12.3),1)</f>
        <v>40</v>
      </c>
      <c r="P37" s="5"/>
      <c r="Q37" s="5">
        <f>Q30</f>
        <v>2</v>
      </c>
      <c r="R37" s="5">
        <f>R30</f>
        <v>0</v>
      </c>
      <c r="S37" s="5">
        <f>S30</f>
        <v>3</v>
      </c>
      <c r="T37" s="5">
        <f>CEILING((T30*1.2)/30,1)</f>
        <v>9</v>
      </c>
      <c r="U37" s="5"/>
      <c r="V37" s="5"/>
      <c r="W37" s="5">
        <f>CEILING((((N30*0.53)/X42)*1.2)/7,1)</f>
        <v>7</v>
      </c>
      <c r="X37" s="5"/>
      <c r="Y37" s="5">
        <f>Y30</f>
        <v>1</v>
      </c>
      <c r="Z37" s="5">
        <v>5</v>
      </c>
      <c r="AA37" s="5">
        <v>1</v>
      </c>
      <c r="AB37" s="5">
        <f>AB30</f>
        <v>3</v>
      </c>
      <c r="AC37" s="5">
        <f>AC30</f>
        <v>1</v>
      </c>
    </row>
    <row r="38" spans="1:29" ht="17.25">
      <c r="A38" s="18" t="s">
        <v>15</v>
      </c>
      <c r="B38" s="19"/>
      <c r="C38" s="19"/>
      <c r="D38" s="5"/>
      <c r="E38" s="17"/>
      <c r="F38" s="17"/>
      <c r="G38" s="17"/>
      <c r="M38" s="20"/>
      <c r="N38" s="20">
        <v>23000</v>
      </c>
      <c r="O38" s="20">
        <v>4500</v>
      </c>
      <c r="P38" s="20"/>
      <c r="Q38" s="20">
        <v>250000</v>
      </c>
      <c r="R38" s="20">
        <v>150000</v>
      </c>
      <c r="S38" s="5">
        <v>150000</v>
      </c>
      <c r="T38" s="20">
        <v>15000</v>
      </c>
      <c r="U38" s="5"/>
      <c r="V38" s="5"/>
      <c r="W38" s="20">
        <v>3500</v>
      </c>
      <c r="X38" s="20">
        <v>15000</v>
      </c>
      <c r="Y38" s="20">
        <v>18000</v>
      </c>
      <c r="Z38" s="20">
        <v>1300</v>
      </c>
      <c r="AA38" s="20">
        <v>22000</v>
      </c>
      <c r="AB38" s="20">
        <v>3500</v>
      </c>
      <c r="AC38" s="20">
        <v>8500</v>
      </c>
    </row>
    <row r="39" spans="1:29">
      <c r="A39" s="4" t="s">
        <v>16</v>
      </c>
      <c r="B39" s="5"/>
      <c r="C39" s="4"/>
      <c r="D39" s="4"/>
      <c r="E39" s="4"/>
      <c r="F39" s="4"/>
      <c r="G39" s="4"/>
      <c r="H39" s="1"/>
      <c r="I39" s="1"/>
      <c r="J39" s="1"/>
      <c r="K39" s="1"/>
      <c r="L39" s="1"/>
      <c r="M39" s="20"/>
      <c r="N39" s="20">
        <f>N37*N38</f>
        <v>184000</v>
      </c>
      <c r="O39" s="20">
        <f>O37*O38</f>
        <v>180000</v>
      </c>
      <c r="P39" s="20"/>
      <c r="Q39" s="20">
        <f>Q37*Q38</f>
        <v>500000</v>
      </c>
      <c r="R39" s="20">
        <f>R37*R38</f>
        <v>0</v>
      </c>
      <c r="S39" s="20">
        <f>S37*S38</f>
        <v>450000</v>
      </c>
      <c r="T39" s="20">
        <f>T37*T38</f>
        <v>135000</v>
      </c>
      <c r="U39" s="5"/>
      <c r="V39" s="5"/>
      <c r="W39" s="20">
        <f t="shared" ref="W39:AC39" si="9">W37*W38</f>
        <v>24500</v>
      </c>
      <c r="X39" s="20"/>
      <c r="Y39" s="20">
        <f t="shared" si="9"/>
        <v>18000</v>
      </c>
      <c r="Z39" s="20">
        <f t="shared" si="9"/>
        <v>6500</v>
      </c>
      <c r="AA39" s="20">
        <f t="shared" si="9"/>
        <v>22000</v>
      </c>
      <c r="AB39" s="20">
        <f t="shared" si="9"/>
        <v>10500</v>
      </c>
      <c r="AC39" s="20">
        <f t="shared" si="9"/>
        <v>8500</v>
      </c>
    </row>
    <row r="40" spans="1:29">
      <c r="A40" s="8" t="s">
        <v>12</v>
      </c>
      <c r="B40" s="194"/>
      <c r="C40" s="195"/>
      <c r="D40" s="195"/>
      <c r="E40" s="196"/>
      <c r="F40" s="8"/>
      <c r="G40" s="8"/>
      <c r="H40" s="13"/>
      <c r="I40" s="13"/>
      <c r="J40" s="13"/>
      <c r="K40" s="13"/>
      <c r="L40" s="13"/>
      <c r="M40" s="23"/>
      <c r="N40" s="23">
        <f>SUM($Q$39:$AC$39)+N39</f>
        <v>1359000</v>
      </c>
      <c r="O40" s="23"/>
      <c r="P40" s="23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2"/>
    </row>
    <row r="41" spans="1:29">
      <c r="A41" s="197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</row>
    <row r="42" spans="1:29">
      <c r="A42" s="1"/>
      <c r="W42" s="46" t="s">
        <v>49</v>
      </c>
      <c r="X42" s="47">
        <f>ROUND((0.53*12.3*12)/14,2)</f>
        <v>5.59</v>
      </c>
      <c r="Y42" s="25"/>
      <c r="Z42" s="25"/>
    </row>
    <row r="43" spans="1:29">
      <c r="A43" s="1"/>
      <c r="E43" s="57"/>
      <c r="Q43" t="s">
        <v>93</v>
      </c>
      <c r="R43" t="s">
        <v>122</v>
      </c>
    </row>
    <row r="44" spans="1:29">
      <c r="A44" s="1"/>
      <c r="Q44" t="s">
        <v>19</v>
      </c>
      <c r="R44" t="s">
        <v>121</v>
      </c>
    </row>
    <row r="45" spans="1:29">
      <c r="Q45" t="s">
        <v>125</v>
      </c>
      <c r="R45" s="57">
        <f>ROUNDUP(E31*3000,-4)</f>
        <v>180000</v>
      </c>
      <c r="S45" t="s">
        <v>141</v>
      </c>
    </row>
  </sheetData>
  <mergeCells count="75">
    <mergeCell ref="N35:O35"/>
    <mergeCell ref="N34:O34"/>
    <mergeCell ref="W7:X7"/>
    <mergeCell ref="W8:X8"/>
    <mergeCell ref="W30:X30"/>
    <mergeCell ref="N8:O8"/>
    <mergeCell ref="N30:O30"/>
    <mergeCell ref="N24:O24"/>
    <mergeCell ref="N29:O29"/>
    <mergeCell ref="W9:X9"/>
    <mergeCell ref="W10:X10"/>
    <mergeCell ref="W11:X11"/>
    <mergeCell ref="W12:X12"/>
    <mergeCell ref="W13:X13"/>
    <mergeCell ref="W14:X14"/>
    <mergeCell ref="W15:X15"/>
    <mergeCell ref="N3:O3"/>
    <mergeCell ref="N4:O4"/>
    <mergeCell ref="N5:O5"/>
    <mergeCell ref="N6:O6"/>
    <mergeCell ref="N7:O7"/>
    <mergeCell ref="Q2:S2"/>
    <mergeCell ref="T2:AC2"/>
    <mergeCell ref="A4:A8"/>
    <mergeCell ref="B40:E40"/>
    <mergeCell ref="A41:AC41"/>
    <mergeCell ref="W3:X3"/>
    <mergeCell ref="W4:X4"/>
    <mergeCell ref="W5:X5"/>
    <mergeCell ref="W6:X6"/>
    <mergeCell ref="A2:B3"/>
    <mergeCell ref="C2:C3"/>
    <mergeCell ref="D2:D3"/>
    <mergeCell ref="E2:E3"/>
    <mergeCell ref="I2:K2"/>
    <mergeCell ref="M2:P2"/>
    <mergeCell ref="F2:G2"/>
    <mergeCell ref="A9:A13"/>
    <mergeCell ref="A14:A18"/>
    <mergeCell ref="A19:A29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W16:X16"/>
    <mergeCell ref="W17:X17"/>
    <mergeCell ref="W18:X18"/>
    <mergeCell ref="W19:X19"/>
    <mergeCell ref="W20:X20"/>
    <mergeCell ref="W21:X21"/>
    <mergeCell ref="W24:X24"/>
    <mergeCell ref="W29:X29"/>
    <mergeCell ref="N22:O22"/>
    <mergeCell ref="N23:O23"/>
    <mergeCell ref="N25:O25"/>
    <mergeCell ref="N26:O26"/>
    <mergeCell ref="N27:O27"/>
    <mergeCell ref="N28:O28"/>
    <mergeCell ref="A30:A32"/>
    <mergeCell ref="B30:B31"/>
    <mergeCell ref="W22:X22"/>
    <mergeCell ref="W23:X23"/>
    <mergeCell ref="W25:X25"/>
    <mergeCell ref="W26:X26"/>
    <mergeCell ref="W28:X28"/>
    <mergeCell ref="W27:X27"/>
  </mergeCells>
  <phoneticPr fontId="1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B7E0-5BC0-4EDC-BF9B-8457E0641441}">
  <dimension ref="A1:U25"/>
  <sheetViews>
    <sheetView zoomScaleNormal="100" zoomScaleSheetLayoutView="115" workbookViewId="0">
      <selection activeCell="G30" sqref="G30"/>
    </sheetView>
  </sheetViews>
  <sheetFormatPr defaultRowHeight="16.5"/>
  <cols>
    <col min="5" max="5" width="11.625" customWidth="1"/>
    <col min="6" max="6" width="0.875" customWidth="1"/>
    <col min="7" max="9" width="10.625" customWidth="1"/>
    <col min="10" max="10" width="0.875" customWidth="1"/>
    <col min="11" max="13" width="11" bestFit="1" customWidth="1"/>
  </cols>
  <sheetData>
    <row r="1" spans="1:21" ht="17.25">
      <c r="A1" s="2" t="s">
        <v>39</v>
      </c>
    </row>
    <row r="2" spans="1:21">
      <c r="A2" s="198" t="s">
        <v>4</v>
      </c>
      <c r="B2" s="199"/>
      <c r="C2" s="202" t="s">
        <v>9</v>
      </c>
      <c r="D2" s="202" t="s">
        <v>10</v>
      </c>
      <c r="E2" s="202" t="s">
        <v>11</v>
      </c>
      <c r="F2" s="1"/>
      <c r="G2" s="193" t="s">
        <v>40</v>
      </c>
      <c r="H2" s="193"/>
      <c r="I2" s="193"/>
      <c r="J2" s="1"/>
      <c r="K2" s="193" t="s">
        <v>29</v>
      </c>
      <c r="L2" s="193"/>
      <c r="M2" s="193"/>
      <c r="N2" s="190" t="s">
        <v>20</v>
      </c>
      <c r="O2" s="192"/>
      <c r="P2" s="193" t="s">
        <v>21</v>
      </c>
      <c r="Q2" s="193"/>
      <c r="R2" s="193"/>
      <c r="S2" s="193"/>
      <c r="T2" s="193"/>
      <c r="U2" s="193"/>
    </row>
    <row r="3" spans="1:21">
      <c r="A3" s="200"/>
      <c r="B3" s="201"/>
      <c r="C3" s="203"/>
      <c r="D3" s="203"/>
      <c r="E3" s="203"/>
      <c r="F3" s="1"/>
      <c r="G3" s="3" t="s">
        <v>17</v>
      </c>
      <c r="H3" s="3" t="s">
        <v>18</v>
      </c>
      <c r="I3" s="3" t="s">
        <v>19</v>
      </c>
      <c r="J3" s="1"/>
      <c r="K3" s="3" t="s">
        <v>17</v>
      </c>
      <c r="L3" s="3" t="s">
        <v>18</v>
      </c>
      <c r="M3" s="3" t="s">
        <v>19</v>
      </c>
      <c r="N3" s="3" t="s">
        <v>27</v>
      </c>
      <c r="O3" s="3" t="s">
        <v>28</v>
      </c>
      <c r="P3" s="3" t="s">
        <v>22</v>
      </c>
      <c r="Q3" s="3" t="s">
        <v>23</v>
      </c>
      <c r="R3" s="3" t="s">
        <v>34</v>
      </c>
      <c r="S3" s="3" t="s">
        <v>24</v>
      </c>
      <c r="T3" s="3" t="s">
        <v>25</v>
      </c>
      <c r="U3" s="3" t="s">
        <v>26</v>
      </c>
    </row>
    <row r="4" spans="1:21">
      <c r="A4" s="189" t="s">
        <v>5</v>
      </c>
      <c r="B4" s="5" t="s">
        <v>0</v>
      </c>
      <c r="C4" s="6">
        <v>3</v>
      </c>
      <c r="D4" s="24">
        <v>2.4</v>
      </c>
      <c r="E4" s="7">
        <f>(C4*D4)</f>
        <v>7.1999999999999993</v>
      </c>
      <c r="F4" s="13"/>
      <c r="G4">
        <f>CEILING($C4/0.93,1)</f>
        <v>4</v>
      </c>
      <c r="H4">
        <f>CEILING($C4/0.53,1)</f>
        <v>6</v>
      </c>
      <c r="I4">
        <f>CEILING($C4/1.06,1)</f>
        <v>3</v>
      </c>
      <c r="J4" s="13"/>
      <c r="K4" s="5">
        <f>CEILING($C4/0.93,1)*$D4</f>
        <v>9.6</v>
      </c>
      <c r="L4" s="5">
        <f>CEILING($C4/0.53,1)*$D4</f>
        <v>14.399999999999999</v>
      </c>
      <c r="M4" s="5">
        <f>CEILING($C4/1.06,1)*$D4</f>
        <v>7.1999999999999993</v>
      </c>
      <c r="N4" s="5"/>
      <c r="O4" s="5"/>
      <c r="P4" s="5"/>
      <c r="Q4" s="5"/>
      <c r="R4" s="5"/>
      <c r="S4" s="5"/>
      <c r="T4" s="5"/>
      <c r="U4" s="5"/>
    </row>
    <row r="5" spans="1:21">
      <c r="A5" s="189"/>
      <c r="B5" s="5" t="s">
        <v>1</v>
      </c>
      <c r="C5" s="6">
        <v>3.7</v>
      </c>
      <c r="D5" s="24">
        <v>2.4</v>
      </c>
      <c r="E5" s="7">
        <f t="shared" ref="E5:E13" si="0">(C5*D5)</f>
        <v>8.8800000000000008</v>
      </c>
      <c r="F5" s="13"/>
      <c r="G5">
        <f t="shared" ref="G5:G13" si="1">CEILING($C5/0.93,1)</f>
        <v>4</v>
      </c>
      <c r="H5">
        <f t="shared" ref="H5:H13" si="2">CEILING($C5/0.53,1)</f>
        <v>7</v>
      </c>
      <c r="I5">
        <f t="shared" ref="I5:I13" si="3">CEILING($C5/1.06,1)</f>
        <v>4</v>
      </c>
      <c r="J5" s="13"/>
      <c r="K5" s="5">
        <f t="shared" ref="K5:K13" si="4">CEILING($C5/0.93,1)*$D5</f>
        <v>9.6</v>
      </c>
      <c r="L5" s="5">
        <f t="shared" ref="L5:L13" si="5">CEILING($C5/0.53,1)*$D5</f>
        <v>16.8</v>
      </c>
      <c r="M5" s="5">
        <f t="shared" ref="M5:M13" si="6">CEILING($C5/1.06,1)*$D5</f>
        <v>9.6</v>
      </c>
      <c r="N5" s="5"/>
      <c r="O5" s="5"/>
      <c r="P5" s="5"/>
      <c r="Q5" s="5"/>
      <c r="R5" s="5"/>
      <c r="S5" s="5"/>
      <c r="T5" s="5"/>
      <c r="U5" s="5"/>
    </row>
    <row r="6" spans="1:21">
      <c r="A6" s="189"/>
      <c r="B6" s="5" t="s">
        <v>2</v>
      </c>
      <c r="C6" s="6">
        <v>3</v>
      </c>
      <c r="D6" s="24">
        <v>2.4</v>
      </c>
      <c r="E6" s="7">
        <f t="shared" si="0"/>
        <v>7.1999999999999993</v>
      </c>
      <c r="F6" s="13"/>
      <c r="G6">
        <f t="shared" si="1"/>
        <v>4</v>
      </c>
      <c r="H6">
        <f t="shared" si="2"/>
        <v>6</v>
      </c>
      <c r="I6">
        <f t="shared" si="3"/>
        <v>3</v>
      </c>
      <c r="J6" s="13"/>
      <c r="K6" s="5">
        <f t="shared" si="4"/>
        <v>9.6</v>
      </c>
      <c r="L6" s="5">
        <f t="shared" si="5"/>
        <v>14.399999999999999</v>
      </c>
      <c r="M6" s="5">
        <f t="shared" si="6"/>
        <v>7.1999999999999993</v>
      </c>
      <c r="N6" s="5"/>
      <c r="O6" s="5"/>
      <c r="P6" s="5"/>
      <c r="Q6" s="5"/>
      <c r="R6" s="5"/>
      <c r="S6" s="5"/>
      <c r="T6" s="5"/>
      <c r="U6" s="5"/>
    </row>
    <row r="7" spans="1:21">
      <c r="A7" s="189"/>
      <c r="B7" s="5" t="s">
        <v>3</v>
      </c>
      <c r="C7" s="6">
        <v>3.7</v>
      </c>
      <c r="D7" s="24">
        <v>2.4</v>
      </c>
      <c r="E7" s="7">
        <f t="shared" si="0"/>
        <v>8.8800000000000008</v>
      </c>
      <c r="F7" s="13"/>
      <c r="G7">
        <f t="shared" si="1"/>
        <v>4</v>
      </c>
      <c r="H7">
        <f t="shared" si="2"/>
        <v>7</v>
      </c>
      <c r="I7">
        <f t="shared" si="3"/>
        <v>4</v>
      </c>
      <c r="J7" s="13"/>
      <c r="K7" s="5">
        <f t="shared" si="4"/>
        <v>9.6</v>
      </c>
      <c r="L7" s="5">
        <f t="shared" si="5"/>
        <v>16.8</v>
      </c>
      <c r="M7" s="5">
        <f t="shared" si="6"/>
        <v>9.6</v>
      </c>
      <c r="N7" s="5"/>
      <c r="O7" s="5"/>
      <c r="P7" s="5"/>
      <c r="Q7" s="5"/>
      <c r="R7" s="5"/>
      <c r="S7" s="5"/>
      <c r="T7" s="5"/>
      <c r="U7" s="5"/>
    </row>
    <row r="8" spans="1:21">
      <c r="A8" s="189"/>
      <c r="B8" s="5" t="s">
        <v>8</v>
      </c>
      <c r="C8" s="6">
        <v>3.7</v>
      </c>
      <c r="D8" s="24">
        <v>3</v>
      </c>
      <c r="E8" s="7">
        <f t="shared" si="0"/>
        <v>11.100000000000001</v>
      </c>
      <c r="F8" s="13"/>
      <c r="G8">
        <f t="shared" si="1"/>
        <v>4</v>
      </c>
      <c r="H8">
        <f t="shared" si="2"/>
        <v>7</v>
      </c>
      <c r="I8">
        <f t="shared" si="3"/>
        <v>4</v>
      </c>
      <c r="J8" s="13"/>
      <c r="K8" s="5">
        <f t="shared" si="4"/>
        <v>12</v>
      </c>
      <c r="L8" s="5">
        <f t="shared" si="5"/>
        <v>21</v>
      </c>
      <c r="M8" s="5">
        <f t="shared" si="6"/>
        <v>12</v>
      </c>
      <c r="N8" s="5"/>
      <c r="O8" s="5"/>
      <c r="P8" s="5"/>
      <c r="Q8" s="5"/>
      <c r="R8" s="5"/>
      <c r="S8" s="5"/>
      <c r="T8" s="5"/>
      <c r="U8" s="5"/>
    </row>
    <row r="9" spans="1:21">
      <c r="A9" s="189" t="s">
        <v>6</v>
      </c>
      <c r="B9" s="5" t="s">
        <v>0</v>
      </c>
      <c r="C9" s="6">
        <v>1.7</v>
      </c>
      <c r="D9" s="24">
        <v>1.2</v>
      </c>
      <c r="E9" s="7">
        <f t="shared" si="0"/>
        <v>2.04</v>
      </c>
      <c r="F9" s="13"/>
      <c r="G9">
        <f t="shared" si="1"/>
        <v>2</v>
      </c>
      <c r="H9">
        <f t="shared" si="2"/>
        <v>4</v>
      </c>
      <c r="I9">
        <f t="shared" si="3"/>
        <v>2</v>
      </c>
      <c r="J9" s="13"/>
      <c r="K9" s="5">
        <f t="shared" si="4"/>
        <v>2.4</v>
      </c>
      <c r="L9" s="5">
        <f t="shared" si="5"/>
        <v>4.8</v>
      </c>
      <c r="M9" s="5">
        <f t="shared" si="6"/>
        <v>2.4</v>
      </c>
      <c r="N9" s="5"/>
      <c r="O9" s="5"/>
      <c r="P9" s="5"/>
      <c r="Q9" s="5"/>
      <c r="R9" s="5"/>
      <c r="S9" s="5"/>
      <c r="T9" s="5"/>
      <c r="U9" s="5"/>
    </row>
    <row r="10" spans="1:21">
      <c r="A10" s="189"/>
      <c r="B10" s="5" t="s">
        <v>1</v>
      </c>
      <c r="C10" s="6">
        <v>1.3</v>
      </c>
      <c r="D10" s="24">
        <v>2.4</v>
      </c>
      <c r="E10" s="7">
        <f t="shared" si="0"/>
        <v>3.12</v>
      </c>
      <c r="F10" s="13"/>
      <c r="G10">
        <f t="shared" si="1"/>
        <v>2</v>
      </c>
      <c r="H10">
        <f t="shared" si="2"/>
        <v>3</v>
      </c>
      <c r="I10">
        <f t="shared" si="3"/>
        <v>2</v>
      </c>
      <c r="J10" s="13"/>
      <c r="K10" s="5">
        <f t="shared" si="4"/>
        <v>4.8</v>
      </c>
      <c r="L10" s="5">
        <f t="shared" si="5"/>
        <v>7.1999999999999993</v>
      </c>
      <c r="M10" s="5">
        <f t="shared" si="6"/>
        <v>4.8</v>
      </c>
      <c r="N10" s="5"/>
      <c r="O10" s="5"/>
      <c r="P10" s="5"/>
      <c r="Q10" s="5"/>
      <c r="R10" s="5"/>
      <c r="S10" s="5"/>
      <c r="T10" s="5"/>
      <c r="U10" s="5"/>
    </row>
    <row r="11" spans="1:21">
      <c r="A11" s="189"/>
      <c r="B11" s="5" t="s">
        <v>2</v>
      </c>
      <c r="C11" s="6">
        <v>1.7</v>
      </c>
      <c r="D11" s="24">
        <v>1.2</v>
      </c>
      <c r="E11" s="7">
        <f t="shared" si="0"/>
        <v>2.04</v>
      </c>
      <c r="F11" s="13"/>
      <c r="G11">
        <f t="shared" si="1"/>
        <v>2</v>
      </c>
      <c r="H11">
        <f t="shared" si="2"/>
        <v>4</v>
      </c>
      <c r="I11">
        <f t="shared" si="3"/>
        <v>2</v>
      </c>
      <c r="J11" s="13"/>
      <c r="K11" s="5">
        <f t="shared" si="4"/>
        <v>2.4</v>
      </c>
      <c r="L11" s="5">
        <f t="shared" si="5"/>
        <v>4.8</v>
      </c>
      <c r="M11" s="5">
        <f t="shared" si="6"/>
        <v>2.4</v>
      </c>
      <c r="N11" s="5"/>
      <c r="O11" s="5"/>
      <c r="P11" s="5"/>
      <c r="Q11" s="5"/>
      <c r="R11" s="5"/>
      <c r="S11" s="5"/>
      <c r="T11" s="5"/>
      <c r="U11" s="5"/>
    </row>
    <row r="12" spans="1:21">
      <c r="A12" s="189"/>
      <c r="B12" s="5" t="s">
        <v>8</v>
      </c>
      <c r="C12" s="6">
        <v>1.3</v>
      </c>
      <c r="D12" s="24">
        <v>1.7</v>
      </c>
      <c r="E12" s="7">
        <f t="shared" si="0"/>
        <v>2.21</v>
      </c>
      <c r="F12" s="13"/>
      <c r="G12">
        <f t="shared" si="1"/>
        <v>2</v>
      </c>
      <c r="H12">
        <f t="shared" si="2"/>
        <v>3</v>
      </c>
      <c r="I12">
        <f t="shared" si="3"/>
        <v>2</v>
      </c>
      <c r="J12" s="13"/>
      <c r="K12" s="5">
        <f t="shared" si="4"/>
        <v>3.4</v>
      </c>
      <c r="L12" s="5">
        <f t="shared" si="5"/>
        <v>5.0999999999999996</v>
      </c>
      <c r="M12" s="5">
        <f t="shared" si="6"/>
        <v>3.4</v>
      </c>
      <c r="N12" s="5"/>
      <c r="O12" s="5"/>
      <c r="P12" s="5"/>
      <c r="Q12" s="5"/>
      <c r="R12" s="5"/>
      <c r="S12" s="5"/>
      <c r="T12" s="5"/>
      <c r="U12" s="5"/>
    </row>
    <row r="13" spans="1:21">
      <c r="A13" s="4" t="s">
        <v>7</v>
      </c>
      <c r="B13" s="5" t="s">
        <v>8</v>
      </c>
      <c r="C13" s="6">
        <v>1.3</v>
      </c>
      <c r="D13" s="24">
        <v>1.3</v>
      </c>
      <c r="E13" s="7">
        <f t="shared" si="0"/>
        <v>1.6900000000000002</v>
      </c>
      <c r="F13" s="13"/>
      <c r="G13">
        <f t="shared" si="1"/>
        <v>2</v>
      </c>
      <c r="H13">
        <f t="shared" si="2"/>
        <v>3</v>
      </c>
      <c r="I13">
        <f t="shared" si="3"/>
        <v>2</v>
      </c>
      <c r="J13" s="13"/>
      <c r="K13" s="5">
        <f t="shared" si="4"/>
        <v>2.6</v>
      </c>
      <c r="L13" s="5">
        <f t="shared" si="5"/>
        <v>3.9000000000000004</v>
      </c>
      <c r="M13" s="5">
        <f t="shared" si="6"/>
        <v>2.6</v>
      </c>
      <c r="N13" s="5"/>
      <c r="O13" s="5"/>
      <c r="P13" s="5"/>
      <c r="Q13" s="5"/>
      <c r="R13" s="5"/>
      <c r="S13" s="5"/>
      <c r="T13" s="5"/>
      <c r="U13" s="5"/>
    </row>
    <row r="14" spans="1:21">
      <c r="A14" s="8" t="s">
        <v>12</v>
      </c>
      <c r="B14" s="9"/>
      <c r="C14" s="10"/>
      <c r="D14" s="10"/>
      <c r="E14" s="11">
        <f>SUM(E4:E13)</f>
        <v>54.359999999999992</v>
      </c>
      <c r="F14" s="13"/>
      <c r="G14" s="13"/>
      <c r="H14" s="13"/>
      <c r="I14" s="13"/>
      <c r="J14" s="13"/>
      <c r="K14" s="12">
        <f>SUM(K4:K13)</f>
        <v>65.999999999999986</v>
      </c>
      <c r="L14" s="12">
        <f>SUM(L4:L13)</f>
        <v>109.19999999999999</v>
      </c>
      <c r="M14" s="12">
        <f>SUM(M4:M13)</f>
        <v>61.199999999999989</v>
      </c>
      <c r="N14" s="9">
        <v>0.5</v>
      </c>
      <c r="O14" s="9"/>
      <c r="P14" s="9"/>
      <c r="Q14" s="9"/>
      <c r="R14" s="9"/>
      <c r="S14" s="9"/>
      <c r="T14" s="9">
        <v>1</v>
      </c>
      <c r="U14" s="9">
        <v>1</v>
      </c>
    </row>
    <row r="15" spans="1:21" ht="6" customHeight="1">
      <c r="A15" s="1"/>
      <c r="C15" s="14"/>
      <c r="D15" s="14"/>
      <c r="E15" s="13"/>
      <c r="F15" s="13"/>
      <c r="G15" s="13"/>
      <c r="H15" s="13"/>
      <c r="I15" s="13"/>
      <c r="J15" s="13"/>
      <c r="K15" s="15"/>
      <c r="L15" s="15"/>
      <c r="M15" s="15"/>
    </row>
    <row r="16" spans="1:21">
      <c r="A16" s="4" t="s">
        <v>35</v>
      </c>
      <c r="B16" s="5"/>
      <c r="C16" s="6"/>
      <c r="D16" s="6"/>
      <c r="E16" s="7"/>
      <c r="F16" s="13"/>
      <c r="G16" s="13"/>
      <c r="H16" s="13"/>
      <c r="I16" s="13"/>
      <c r="J16" s="13"/>
      <c r="K16" s="17" t="s">
        <v>31</v>
      </c>
      <c r="L16" s="17" t="s">
        <v>36</v>
      </c>
      <c r="M16" s="17" t="s">
        <v>31</v>
      </c>
      <c r="N16" s="5"/>
      <c r="O16" s="5"/>
      <c r="P16" s="5"/>
      <c r="Q16" s="5"/>
      <c r="R16" s="17"/>
      <c r="S16" s="5"/>
      <c r="T16" s="17"/>
      <c r="U16" s="5"/>
    </row>
    <row r="17" spans="1:21">
      <c r="A17" s="4" t="s">
        <v>14</v>
      </c>
      <c r="B17" s="5"/>
      <c r="C17" s="6"/>
      <c r="D17" s="6"/>
      <c r="E17" s="7"/>
      <c r="F17" s="13"/>
      <c r="G17" s="13"/>
      <c r="H17" s="13"/>
      <c r="I17" s="13"/>
      <c r="J17" s="13"/>
      <c r="K17" s="16" t="s">
        <v>30</v>
      </c>
      <c r="L17" s="16" t="s">
        <v>32</v>
      </c>
      <c r="M17" s="16" t="s">
        <v>33</v>
      </c>
      <c r="N17" s="5"/>
      <c r="O17" s="5"/>
      <c r="P17" s="5"/>
      <c r="Q17" s="5"/>
      <c r="R17" s="17" t="s">
        <v>37</v>
      </c>
      <c r="S17" s="5"/>
      <c r="T17" s="17" t="s">
        <v>38</v>
      </c>
      <c r="U17" s="5"/>
    </row>
    <row r="18" spans="1:21">
      <c r="A18" s="18" t="s">
        <v>13</v>
      </c>
      <c r="B18" s="5"/>
      <c r="C18" s="5"/>
      <c r="D18" s="5"/>
      <c r="E18" s="5"/>
      <c r="K18" s="5">
        <f>CEILING(K14/17.75,1)</f>
        <v>4</v>
      </c>
      <c r="L18" s="5">
        <f>CEILING(L14/62.5,1)</f>
        <v>2</v>
      </c>
      <c r="M18" s="5">
        <f>CEILING(M14/15.5,1)</f>
        <v>4</v>
      </c>
      <c r="N18" s="5">
        <f>N14</f>
        <v>0.5</v>
      </c>
      <c r="O18" s="5"/>
      <c r="P18" s="5"/>
      <c r="Q18" s="5"/>
      <c r="R18" s="5">
        <f>CEILING(K18/5,1)</f>
        <v>1</v>
      </c>
      <c r="S18" s="5"/>
      <c r="T18" s="5">
        <f>T14</f>
        <v>1</v>
      </c>
      <c r="U18" s="5">
        <f>U14</f>
        <v>1</v>
      </c>
    </row>
    <row r="19" spans="1:21" ht="17.25">
      <c r="A19" s="18" t="s">
        <v>15</v>
      </c>
      <c r="B19" s="19"/>
      <c r="C19" s="19"/>
      <c r="D19" s="5"/>
      <c r="E19" s="17"/>
      <c r="K19" s="20">
        <v>21700</v>
      </c>
      <c r="L19" s="20">
        <v>30900</v>
      </c>
      <c r="M19" s="20">
        <v>37000</v>
      </c>
      <c r="N19" s="20">
        <v>250000</v>
      </c>
      <c r="O19" s="5"/>
      <c r="P19" s="5"/>
      <c r="Q19" s="5"/>
      <c r="R19" s="20">
        <v>15000</v>
      </c>
      <c r="S19" s="5"/>
      <c r="T19" s="5">
        <v>3500</v>
      </c>
      <c r="U19" s="20">
        <v>8000</v>
      </c>
    </row>
    <row r="20" spans="1:21">
      <c r="A20" s="4" t="s">
        <v>16</v>
      </c>
      <c r="B20" s="5"/>
      <c r="C20" s="4"/>
      <c r="D20" s="4"/>
      <c r="E20" s="4"/>
      <c r="F20" s="1"/>
      <c r="G20" s="1"/>
      <c r="H20" s="1"/>
      <c r="I20" s="1"/>
      <c r="J20" s="1"/>
      <c r="K20" s="20">
        <f>K18*K19</f>
        <v>86800</v>
      </c>
      <c r="L20" s="20">
        <f>L18*L19</f>
        <v>61800</v>
      </c>
      <c r="M20" s="20">
        <f>M18*M19</f>
        <v>148000</v>
      </c>
      <c r="N20" s="20">
        <f>N18*N19</f>
        <v>125000</v>
      </c>
      <c r="O20" s="5"/>
      <c r="P20" s="5"/>
      <c r="Q20" s="5"/>
      <c r="R20" s="20">
        <f>R18*R19</f>
        <v>15000</v>
      </c>
      <c r="S20" s="5"/>
      <c r="T20" s="5">
        <f>T18*T19</f>
        <v>3500</v>
      </c>
      <c r="U20" s="20">
        <f>U18*U19</f>
        <v>8000</v>
      </c>
    </row>
    <row r="21" spans="1:21">
      <c r="A21" s="8" t="s">
        <v>12</v>
      </c>
      <c r="B21" s="194"/>
      <c r="C21" s="195"/>
      <c r="D21" s="195"/>
      <c r="E21" s="196"/>
      <c r="F21" s="13"/>
      <c r="G21" s="13"/>
      <c r="H21" s="13"/>
      <c r="I21" s="13"/>
      <c r="J21" s="13"/>
      <c r="K21" s="23">
        <f>SUM($N$20:$U$20)+K20</f>
        <v>238300</v>
      </c>
      <c r="L21" s="23">
        <f>SUM($N$20:$U$20)+L20</f>
        <v>213300</v>
      </c>
      <c r="M21" s="23">
        <f>SUM($N$20:$U$20)+M20</f>
        <v>299500</v>
      </c>
      <c r="N21" s="21"/>
      <c r="O21" s="21"/>
      <c r="P21" s="21"/>
      <c r="Q21" s="21"/>
      <c r="R21" s="21"/>
      <c r="S21" s="21"/>
      <c r="T21" s="21"/>
      <c r="U21" s="22"/>
    </row>
    <row r="22" spans="1:21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</row>
    <row r="23" spans="1:21">
      <c r="A23" s="1"/>
    </row>
    <row r="24" spans="1:21">
      <c r="A24" s="1"/>
    </row>
    <row r="25" spans="1:21">
      <c r="A25" s="1"/>
    </row>
  </sheetData>
  <mergeCells count="12">
    <mergeCell ref="A22:U22"/>
    <mergeCell ref="E2:E3"/>
    <mergeCell ref="P2:U2"/>
    <mergeCell ref="N2:O2"/>
    <mergeCell ref="B21:E21"/>
    <mergeCell ref="A4:A8"/>
    <mergeCell ref="A9:A12"/>
    <mergeCell ref="K2:M2"/>
    <mergeCell ref="A2:B3"/>
    <mergeCell ref="C2:C3"/>
    <mergeCell ref="D2:D3"/>
    <mergeCell ref="G2:I2"/>
  </mergeCells>
  <phoneticPr fontId="1" type="noConversion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E6E-0B43-4EFB-A4D5-19BD5257E4FE}">
  <dimension ref="A1:J8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6.5"/>
  <cols>
    <col min="1" max="1" width="11.125" style="1" customWidth="1"/>
    <col min="2" max="2" width="10" style="1" customWidth="1"/>
    <col min="3" max="4" width="11.5" style="1" customWidth="1"/>
    <col min="5" max="5" width="9" style="61" bestFit="1" customWidth="1"/>
    <col min="6" max="8" width="9" style="62"/>
    <col min="9" max="9" width="9.375" style="62" customWidth="1"/>
    <col min="10" max="16384" width="9" style="1"/>
  </cols>
  <sheetData>
    <row r="1" spans="1:10" ht="29.25" customHeight="1">
      <c r="A1" s="63" t="s">
        <v>143</v>
      </c>
      <c r="B1" s="63" t="s">
        <v>144</v>
      </c>
      <c r="C1" s="63" t="s">
        <v>14</v>
      </c>
      <c r="D1" s="63" t="s">
        <v>35</v>
      </c>
      <c r="E1" s="209" t="s">
        <v>179</v>
      </c>
      <c r="F1" s="209"/>
      <c r="G1" s="209" t="s">
        <v>181</v>
      </c>
      <c r="H1" s="209"/>
      <c r="I1" s="209"/>
      <c r="J1" s="63" t="s">
        <v>177</v>
      </c>
    </row>
    <row r="2" spans="1:10" ht="29.25" customHeight="1">
      <c r="A2" s="66"/>
      <c r="B2" s="66"/>
      <c r="C2" s="66"/>
      <c r="D2" s="66"/>
      <c r="E2" s="64" t="s">
        <v>175</v>
      </c>
      <c r="F2" s="65" t="s">
        <v>176</v>
      </c>
      <c r="G2" s="67" t="s">
        <v>180</v>
      </c>
      <c r="H2" s="67" t="s">
        <v>21</v>
      </c>
      <c r="I2" s="67" t="s">
        <v>20</v>
      </c>
      <c r="J2" s="63"/>
    </row>
    <row r="3" spans="1:10">
      <c r="A3" s="208" t="s">
        <v>119</v>
      </c>
      <c r="B3" s="1" t="s">
        <v>142</v>
      </c>
      <c r="C3" s="1" t="s">
        <v>153</v>
      </c>
      <c r="E3" s="61">
        <v>500000</v>
      </c>
      <c r="F3" s="62">
        <v>600000</v>
      </c>
    </row>
    <row r="4" spans="1:10">
      <c r="A4" s="208"/>
      <c r="B4" s="1" t="s">
        <v>145</v>
      </c>
      <c r="C4" s="1" t="s">
        <v>174</v>
      </c>
      <c r="E4" s="61">
        <v>40000</v>
      </c>
    </row>
    <row r="5" spans="1:10">
      <c r="A5" s="208"/>
      <c r="B5" s="1" t="s">
        <v>146</v>
      </c>
      <c r="C5" s="1" t="s">
        <v>153</v>
      </c>
      <c r="E5" s="61">
        <v>65000</v>
      </c>
      <c r="J5" s="1" t="s">
        <v>178</v>
      </c>
    </row>
    <row r="6" spans="1:10">
      <c r="A6" s="208"/>
      <c r="B6" s="1" t="s">
        <v>147</v>
      </c>
      <c r="C6" s="1" t="s">
        <v>99</v>
      </c>
      <c r="E6" s="61">
        <v>10000</v>
      </c>
    </row>
    <row r="7" spans="1:10">
      <c r="A7" s="208"/>
      <c r="B7" s="1" t="s">
        <v>148</v>
      </c>
      <c r="C7" s="1" t="s">
        <v>99</v>
      </c>
      <c r="E7" s="61">
        <v>30000</v>
      </c>
    </row>
    <row r="8" spans="1:10">
      <c r="A8" s="208"/>
      <c r="B8" s="1" t="s">
        <v>149</v>
      </c>
      <c r="C8" s="1" t="s">
        <v>99</v>
      </c>
    </row>
    <row r="9" spans="1:10">
      <c r="A9" s="208"/>
      <c r="B9" s="1" t="s">
        <v>150</v>
      </c>
      <c r="C9" s="1" t="s">
        <v>153</v>
      </c>
      <c r="E9" s="61">
        <v>70000</v>
      </c>
      <c r="F9" s="62">
        <v>110000</v>
      </c>
    </row>
    <row r="10" spans="1:10">
      <c r="A10" s="208"/>
      <c r="B10" s="1" t="s">
        <v>151</v>
      </c>
      <c r="C10" s="1" t="s">
        <v>99</v>
      </c>
      <c r="E10" s="61">
        <v>10000</v>
      </c>
      <c r="F10" s="62">
        <v>30000</v>
      </c>
    </row>
    <row r="12" spans="1:10">
      <c r="A12" s="1" t="s">
        <v>89</v>
      </c>
      <c r="B12" s="1" t="s">
        <v>19</v>
      </c>
      <c r="C12" s="1" t="s">
        <v>153</v>
      </c>
      <c r="E12" s="61">
        <v>50000</v>
      </c>
      <c r="F12" s="62">
        <v>80000</v>
      </c>
    </row>
    <row r="13" spans="1:10">
      <c r="B13" s="1" t="s">
        <v>152</v>
      </c>
      <c r="C13" s="1" t="s">
        <v>153</v>
      </c>
      <c r="E13" s="61">
        <v>20000</v>
      </c>
      <c r="F13" s="62">
        <v>35000</v>
      </c>
      <c r="H13" s="62">
        <f>18*2.5*E13</f>
        <v>900000</v>
      </c>
    </row>
    <row r="15" spans="1:10">
      <c r="A15" s="1" t="s">
        <v>154</v>
      </c>
      <c r="B15" s="1" t="s">
        <v>155</v>
      </c>
      <c r="C15" s="1" t="s">
        <v>153</v>
      </c>
      <c r="E15" s="61">
        <v>28000</v>
      </c>
      <c r="F15" s="62">
        <v>60000</v>
      </c>
    </row>
    <row r="16" spans="1:10">
      <c r="B16" s="1" t="s">
        <v>150</v>
      </c>
      <c r="C16" s="1" t="s">
        <v>153</v>
      </c>
      <c r="E16" s="61">
        <v>80000</v>
      </c>
      <c r="F16" s="62">
        <v>110000</v>
      </c>
    </row>
    <row r="17" spans="1:6">
      <c r="B17" s="1" t="s">
        <v>156</v>
      </c>
      <c r="C17" s="1" t="s">
        <v>153</v>
      </c>
      <c r="E17" s="61">
        <v>65000</v>
      </c>
      <c r="F17" s="62">
        <v>70000</v>
      </c>
    </row>
    <row r="18" spans="1:6">
      <c r="B18" s="208" t="s">
        <v>157</v>
      </c>
      <c r="C18" s="1" t="s">
        <v>153</v>
      </c>
      <c r="D18" s="1" t="s">
        <v>154</v>
      </c>
      <c r="E18" s="61">
        <v>80000</v>
      </c>
      <c r="F18" s="62">
        <v>100000</v>
      </c>
    </row>
    <row r="19" spans="1:6">
      <c r="B19" s="208"/>
      <c r="C19" s="1" t="s">
        <v>153</v>
      </c>
      <c r="D19" s="1" t="s">
        <v>211</v>
      </c>
      <c r="E19" s="61">
        <v>60000</v>
      </c>
      <c r="F19" s="62">
        <v>100000</v>
      </c>
    </row>
    <row r="20" spans="1:6">
      <c r="B20" s="1" t="s">
        <v>158</v>
      </c>
      <c r="C20" s="1" t="s">
        <v>153</v>
      </c>
      <c r="E20" s="61">
        <v>33000</v>
      </c>
      <c r="F20" s="62">
        <v>75000</v>
      </c>
    </row>
    <row r="22" spans="1:6">
      <c r="A22" s="1" t="s">
        <v>151</v>
      </c>
      <c r="B22" s="1" t="s">
        <v>159</v>
      </c>
      <c r="C22" s="1" t="s">
        <v>99</v>
      </c>
    </row>
    <row r="23" spans="1:6">
      <c r="B23" s="1" t="s">
        <v>160</v>
      </c>
      <c r="C23" s="1" t="s">
        <v>99</v>
      </c>
    </row>
    <row r="24" spans="1:6">
      <c r="B24" s="1" t="s">
        <v>161</v>
      </c>
      <c r="C24" s="1" t="s">
        <v>99</v>
      </c>
    </row>
    <row r="25" spans="1:6">
      <c r="B25" s="1" t="s">
        <v>162</v>
      </c>
      <c r="C25" s="1" t="s">
        <v>99</v>
      </c>
    </row>
    <row r="26" spans="1:6">
      <c r="B26" s="1" t="s">
        <v>163</v>
      </c>
      <c r="C26" s="1" t="s">
        <v>99</v>
      </c>
    </row>
    <row r="27" spans="1:6">
      <c r="B27" s="1" t="s">
        <v>164</v>
      </c>
      <c r="C27" s="1" t="s">
        <v>99</v>
      </c>
    </row>
    <row r="29" spans="1:6">
      <c r="A29" s="1" t="s">
        <v>165</v>
      </c>
      <c r="B29" s="1" t="s">
        <v>147</v>
      </c>
      <c r="C29" s="1" t="s">
        <v>99</v>
      </c>
    </row>
    <row r="30" spans="1:6">
      <c r="B30" s="1" t="s">
        <v>166</v>
      </c>
      <c r="C30" s="1" t="s">
        <v>99</v>
      </c>
    </row>
    <row r="31" spans="1:6">
      <c r="B31" s="1" t="s">
        <v>167</v>
      </c>
      <c r="C31" s="1" t="s">
        <v>99</v>
      </c>
    </row>
    <row r="32" spans="1:6">
      <c r="B32" s="1" t="s">
        <v>168</v>
      </c>
      <c r="C32" s="1" t="s">
        <v>99</v>
      </c>
    </row>
    <row r="34" spans="1:3">
      <c r="A34" s="1" t="s">
        <v>169</v>
      </c>
      <c r="B34" s="1" t="s">
        <v>170</v>
      </c>
      <c r="C34" s="1" t="s">
        <v>153</v>
      </c>
    </row>
    <row r="35" spans="1:3">
      <c r="B35" s="1" t="s">
        <v>147</v>
      </c>
      <c r="C35" s="1" t="s">
        <v>99</v>
      </c>
    </row>
    <row r="36" spans="1:3">
      <c r="B36" s="1" t="s">
        <v>148</v>
      </c>
      <c r="C36" s="1" t="s">
        <v>99</v>
      </c>
    </row>
    <row r="37" spans="1:3">
      <c r="B37" s="1" t="s">
        <v>146</v>
      </c>
      <c r="C37" s="1" t="s">
        <v>174</v>
      </c>
    </row>
    <row r="38" spans="1:3">
      <c r="B38" s="1" t="s">
        <v>173</v>
      </c>
      <c r="C38" s="1" t="s">
        <v>174</v>
      </c>
    </row>
    <row r="39" spans="1:3">
      <c r="B39" s="1" t="s">
        <v>168</v>
      </c>
      <c r="C39" s="1" t="s">
        <v>99</v>
      </c>
    </row>
    <row r="41" spans="1:3">
      <c r="A41" s="1" t="s">
        <v>182</v>
      </c>
      <c r="B41" s="1" t="s">
        <v>145</v>
      </c>
    </row>
    <row r="42" spans="1:3">
      <c r="B42" s="1" t="s">
        <v>147</v>
      </c>
    </row>
    <row r="43" spans="1:3">
      <c r="B43" s="1" t="s">
        <v>148</v>
      </c>
    </row>
    <row r="44" spans="1:3">
      <c r="B44" s="1" t="s">
        <v>171</v>
      </c>
    </row>
    <row r="45" spans="1:3">
      <c r="B45" s="1" t="s">
        <v>172</v>
      </c>
    </row>
    <row r="47" spans="1:3">
      <c r="A47" s="1" t="s">
        <v>183</v>
      </c>
      <c r="B47" s="1" t="s">
        <v>145</v>
      </c>
    </row>
    <row r="48" spans="1:3">
      <c r="B48" s="1" t="s">
        <v>184</v>
      </c>
    </row>
    <row r="49" spans="1:2">
      <c r="B49" s="1" t="s">
        <v>185</v>
      </c>
    </row>
    <row r="50" spans="1:2">
      <c r="B50" s="1" t="s">
        <v>172</v>
      </c>
    </row>
    <row r="52" spans="1:2">
      <c r="A52" s="1" t="s">
        <v>186</v>
      </c>
      <c r="B52" s="1" t="s">
        <v>106</v>
      </c>
    </row>
    <row r="53" spans="1:2">
      <c r="B53" s="1" t="s">
        <v>187</v>
      </c>
    </row>
    <row r="55" spans="1:2">
      <c r="A55" s="1" t="s">
        <v>188</v>
      </c>
      <c r="B55" s="1" t="s">
        <v>170</v>
      </c>
    </row>
    <row r="56" spans="1:2">
      <c r="B56" s="1" t="s">
        <v>106</v>
      </c>
    </row>
    <row r="57" spans="1:2">
      <c r="B57" s="1" t="s">
        <v>189</v>
      </c>
    </row>
    <row r="58" spans="1:2">
      <c r="B58" s="1" t="s">
        <v>5</v>
      </c>
    </row>
    <row r="60" spans="1:2">
      <c r="A60" s="1" t="s">
        <v>190</v>
      </c>
      <c r="B60" s="1" t="s">
        <v>146</v>
      </c>
    </row>
    <row r="61" spans="1:2">
      <c r="B61" s="1" t="s">
        <v>173</v>
      </c>
    </row>
    <row r="62" spans="1:2">
      <c r="B62" s="1" t="s">
        <v>8</v>
      </c>
    </row>
    <row r="63" spans="1:2">
      <c r="B63" s="1" t="s">
        <v>191</v>
      </c>
    </row>
    <row r="64" spans="1:2">
      <c r="B64" s="1" t="s">
        <v>192</v>
      </c>
    </row>
    <row r="66" spans="1:2">
      <c r="A66" s="1" t="s">
        <v>193</v>
      </c>
      <c r="B66" s="1" t="s">
        <v>170</v>
      </c>
    </row>
    <row r="67" spans="1:2">
      <c r="B67" s="1" t="s">
        <v>5</v>
      </c>
    </row>
    <row r="69" spans="1:2">
      <c r="A69" s="1" t="s">
        <v>194</v>
      </c>
      <c r="B69" s="1" t="s">
        <v>195</v>
      </c>
    </row>
    <row r="70" spans="1:2">
      <c r="B70" s="1" t="s">
        <v>142</v>
      </c>
    </row>
    <row r="71" spans="1:2">
      <c r="B71" s="1" t="s">
        <v>189</v>
      </c>
    </row>
    <row r="73" spans="1:2">
      <c r="A73" s="1" t="s">
        <v>97</v>
      </c>
      <c r="B73" s="1" t="s">
        <v>196</v>
      </c>
    </row>
    <row r="74" spans="1:2">
      <c r="B74" s="1" t="s">
        <v>197</v>
      </c>
    </row>
    <row r="75" spans="1:2">
      <c r="B75" s="1" t="s">
        <v>198</v>
      </c>
    </row>
    <row r="76" spans="1:2">
      <c r="B76" s="1" t="s">
        <v>199</v>
      </c>
    </row>
    <row r="77" spans="1:2">
      <c r="B77" s="1" t="s">
        <v>200</v>
      </c>
    </row>
    <row r="78" spans="1:2">
      <c r="B78" s="1" t="s">
        <v>201</v>
      </c>
    </row>
    <row r="79" spans="1:2">
      <c r="B79" s="1" t="s">
        <v>202</v>
      </c>
    </row>
    <row r="80" spans="1:2">
      <c r="B80" s="1" t="s">
        <v>203</v>
      </c>
    </row>
    <row r="81" spans="2:2">
      <c r="B81" s="1" t="s">
        <v>204</v>
      </c>
    </row>
    <row r="82" spans="2:2">
      <c r="B82" s="1" t="s">
        <v>205</v>
      </c>
    </row>
    <row r="83" spans="2:2">
      <c r="B83" s="1" t="s">
        <v>206</v>
      </c>
    </row>
    <row r="84" spans="2:2">
      <c r="B84" s="1" t="s">
        <v>207</v>
      </c>
    </row>
    <row r="85" spans="2:2">
      <c r="B85" s="1" t="s">
        <v>208</v>
      </c>
    </row>
    <row r="86" spans="2:2">
      <c r="B86" s="1" t="s">
        <v>209</v>
      </c>
    </row>
    <row r="87" spans="2:2">
      <c r="B87" s="1" t="s">
        <v>210</v>
      </c>
    </row>
  </sheetData>
  <mergeCells count="4">
    <mergeCell ref="A3:A10"/>
    <mergeCell ref="E1:F1"/>
    <mergeCell ref="G1:I1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갑지</vt:lpstr>
      <vt:lpstr>상세내역</vt:lpstr>
      <vt:lpstr>원룸(X)</vt:lpstr>
      <vt:lpstr>철거</vt:lpstr>
      <vt:lpstr>갑지!Print_Area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WONSE LEE</dc:creator>
  <cp:lastModifiedBy>WONSE LEE</cp:lastModifiedBy>
  <cp:lastPrinted>2025-04-28T20:53:58Z</cp:lastPrinted>
  <dcterms:created xsi:type="dcterms:W3CDTF">2025-04-16T09:37:47Z</dcterms:created>
  <dcterms:modified xsi:type="dcterms:W3CDTF">2025-08-25T13:43:28Z</dcterms:modified>
</cp:coreProperties>
</file>