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tokyo-my.sharepoint.com/personal/2564998293_utac_u-tokyo_ac_jp/Documents/ドキュメント/"/>
    </mc:Choice>
  </mc:AlternateContent>
  <bookViews>
    <workbookView xWindow="0" yWindow="0" windowWidth="23040" windowHeight="9096" activeTab="1"/>
  </bookViews>
  <sheets>
    <sheet name="全体シミュレーション" sheetId="1" r:id="rId1"/>
    <sheet name="大学１グラ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B7" i="2"/>
  <c r="C6" i="2"/>
  <c r="D6" i="2"/>
  <c r="E6" i="2"/>
  <c r="F6" i="2"/>
  <c r="G6" i="2"/>
  <c r="H6" i="2"/>
  <c r="I6" i="2"/>
  <c r="J6" i="2"/>
  <c r="K6" i="2"/>
  <c r="L6" i="2"/>
  <c r="B6" i="2"/>
  <c r="C5" i="2"/>
  <c r="D5" i="2"/>
  <c r="E5" i="2"/>
  <c r="F5" i="2"/>
  <c r="G5" i="2"/>
  <c r="H5" i="2"/>
  <c r="I5" i="2"/>
  <c r="J5" i="2"/>
  <c r="K5" i="2"/>
  <c r="L5" i="2"/>
  <c r="B5" i="2"/>
  <c r="C4" i="2"/>
  <c r="D4" i="2"/>
  <c r="E4" i="2"/>
  <c r="F4" i="2"/>
  <c r="G4" i="2"/>
  <c r="H4" i="2"/>
  <c r="I4" i="2"/>
  <c r="J4" i="2"/>
  <c r="K4" i="2"/>
  <c r="L4" i="2"/>
  <c r="B4" i="2"/>
  <c r="C3" i="2"/>
  <c r="D3" i="2"/>
  <c r="E3" i="2"/>
  <c r="F3" i="2"/>
  <c r="G3" i="2"/>
  <c r="H3" i="2"/>
  <c r="I3" i="2"/>
  <c r="J3" i="2"/>
  <c r="K3" i="2"/>
  <c r="L3" i="2"/>
  <c r="B3" i="2"/>
  <c r="BL13" i="1"/>
  <c r="BK13" i="1"/>
  <c r="BE13" i="1"/>
  <c r="BL12" i="1"/>
  <c r="BK12" i="1"/>
  <c r="BE12" i="1"/>
  <c r="BF12" i="1" s="1"/>
  <c r="BH12" i="1" s="1"/>
  <c r="BL11" i="1"/>
  <c r="BK11" i="1"/>
  <c r="BL10" i="1"/>
  <c r="BK10" i="1"/>
  <c r="BL9" i="1"/>
  <c r="BK9" i="1"/>
  <c r="BL8" i="1"/>
  <c r="BK8" i="1"/>
  <c r="BL7" i="1"/>
  <c r="BK7" i="1"/>
  <c r="BD7" i="1"/>
  <c r="BD8" i="1" s="1"/>
  <c r="BL6" i="1"/>
  <c r="BL14" i="1" s="1"/>
  <c r="BK6" i="1"/>
  <c r="BD6" i="1"/>
  <c r="BE6" i="1" s="1"/>
  <c r="BL5" i="1"/>
  <c r="BK5" i="1"/>
  <c r="BD5" i="1"/>
  <c r="BE5" i="1" s="1"/>
  <c r="BL4" i="1"/>
  <c r="BK4" i="1"/>
  <c r="BK14" i="1" s="1"/>
  <c r="BE4" i="1"/>
  <c r="BH2" i="1"/>
  <c r="BG2" i="1"/>
  <c r="BG12" i="1" s="1"/>
  <c r="BI12" i="1" s="1"/>
  <c r="AX5" i="1"/>
  <c r="AX6" i="1"/>
  <c r="AX7" i="1"/>
  <c r="AX8" i="1"/>
  <c r="AX9" i="1"/>
  <c r="AX10" i="1"/>
  <c r="AX11" i="1"/>
  <c r="AX12" i="1"/>
  <c r="AX13" i="1"/>
  <c r="AX4" i="1"/>
  <c r="AZ13" i="1"/>
  <c r="AY13" i="1"/>
  <c r="AZ12" i="1"/>
  <c r="AY12" i="1"/>
  <c r="AZ11" i="1"/>
  <c r="AY11" i="1"/>
  <c r="AZ10" i="1"/>
  <c r="AY10" i="1"/>
  <c r="AZ9" i="1"/>
  <c r="AY9" i="1"/>
  <c r="AZ8" i="1"/>
  <c r="AY8" i="1"/>
  <c r="AZ7" i="1"/>
  <c r="AY7" i="1"/>
  <c r="AZ6" i="1"/>
  <c r="AY6" i="1"/>
  <c r="AZ5" i="1"/>
  <c r="AY5" i="1"/>
  <c r="AZ4" i="1"/>
  <c r="AZ14" i="1" s="1"/>
  <c r="AY4" i="1"/>
  <c r="AY14" i="1" s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B4" i="1"/>
  <c r="AA4" i="1"/>
  <c r="P5" i="1"/>
  <c r="P6" i="1"/>
  <c r="O6" i="1" s="1"/>
  <c r="P7" i="1"/>
  <c r="O7" i="1" s="1"/>
  <c r="P8" i="1"/>
  <c r="O8" i="1" s="1"/>
  <c r="P9" i="1"/>
  <c r="P10" i="1"/>
  <c r="P11" i="1"/>
  <c r="P12" i="1"/>
  <c r="P13" i="1"/>
  <c r="O13" i="1" s="1"/>
  <c r="P4" i="1"/>
  <c r="O4" i="1" s="1"/>
  <c r="O5" i="1"/>
  <c r="O9" i="1"/>
  <c r="O10" i="1"/>
  <c r="O11" i="1"/>
  <c r="O12" i="1"/>
  <c r="Z13" i="1"/>
  <c r="N4" i="1"/>
  <c r="N5" i="1"/>
  <c r="N6" i="1"/>
  <c r="N7" i="1"/>
  <c r="N8" i="1"/>
  <c r="N9" i="1"/>
  <c r="N10" i="1"/>
  <c r="N11" i="1"/>
  <c r="N12" i="1"/>
  <c r="N13" i="1"/>
  <c r="I4" i="1"/>
  <c r="J4" i="1" s="1"/>
  <c r="J11" i="1"/>
  <c r="J12" i="1"/>
  <c r="J13" i="1"/>
  <c r="X2" i="1"/>
  <c r="AJ2" i="1"/>
  <c r="AV2" i="1" s="1"/>
  <c r="AS14" i="1"/>
  <c r="AR14" i="1"/>
  <c r="AG14" i="1"/>
  <c r="AF14" i="1"/>
  <c r="BG4" i="1" l="1"/>
  <c r="BI4" i="1" s="1"/>
  <c r="BG13" i="1"/>
  <c r="BI13" i="1" s="1"/>
  <c r="BN13" i="1" s="1"/>
  <c r="BG5" i="1"/>
  <c r="BI5" i="1" s="1"/>
  <c r="BF5" i="1"/>
  <c r="BH5" i="1" s="1"/>
  <c r="BF6" i="1"/>
  <c r="BH6" i="1" s="1"/>
  <c r="BG6" i="1"/>
  <c r="BI6" i="1" s="1"/>
  <c r="BD9" i="1"/>
  <c r="BE8" i="1"/>
  <c r="BJ12" i="1"/>
  <c r="BM12" i="1" s="1"/>
  <c r="BJ4" i="1"/>
  <c r="BN4" i="1" s="1"/>
  <c r="BJ13" i="1"/>
  <c r="BF4" i="1"/>
  <c r="BH4" i="1" s="1"/>
  <c r="BE7" i="1"/>
  <c r="BF13" i="1"/>
  <c r="BH13" i="1" s="1"/>
  <c r="I5" i="1"/>
  <c r="B8" i="1"/>
  <c r="B9" i="1"/>
  <c r="B10" i="1"/>
  <c r="B12" i="1"/>
  <c r="B13" i="1"/>
  <c r="B4" i="1"/>
  <c r="D12" i="1"/>
  <c r="D13" i="1"/>
  <c r="D4" i="1"/>
  <c r="E4" i="1" s="1"/>
  <c r="H5" i="1"/>
  <c r="U4" i="1"/>
  <c r="T5" i="1"/>
  <c r="AG13" i="1"/>
  <c r="AG12" i="1"/>
  <c r="AG4" i="1"/>
  <c r="AH4" i="1" s="1"/>
  <c r="AJ4" i="1" s="1"/>
  <c r="AS12" i="1"/>
  <c r="AS13" i="1"/>
  <c r="AS4" i="1"/>
  <c r="AT4" i="1" s="1"/>
  <c r="C5" i="1"/>
  <c r="C6" i="1" s="1"/>
  <c r="C7" i="1" s="1"/>
  <c r="C8" i="1" s="1"/>
  <c r="C9" i="1" s="1"/>
  <c r="C10" i="1" s="1"/>
  <c r="C11" i="1" s="1"/>
  <c r="B11" i="1" s="1"/>
  <c r="AI2" i="1"/>
  <c r="AF5" i="1"/>
  <c r="AF6" i="1" s="1"/>
  <c r="AF7" i="1" s="1"/>
  <c r="AF8" i="1" s="1"/>
  <c r="AF9" i="1" s="1"/>
  <c r="AF10" i="1" s="1"/>
  <c r="AF11" i="1" s="1"/>
  <c r="AG11" i="1" s="1"/>
  <c r="AR5" i="1"/>
  <c r="AR6" i="1" s="1"/>
  <c r="AR7" i="1" s="1"/>
  <c r="AR8" i="1" s="1"/>
  <c r="AR9" i="1" s="1"/>
  <c r="AR10" i="1" s="1"/>
  <c r="AR11" i="1" s="1"/>
  <c r="AS11" i="1" s="1"/>
  <c r="AU2" i="1"/>
  <c r="K13" i="1"/>
  <c r="M13" i="1" s="1"/>
  <c r="L13" i="1"/>
  <c r="K12" i="1"/>
  <c r="M12" i="1" s="1"/>
  <c r="L12" i="1"/>
  <c r="K11" i="1"/>
  <c r="M11" i="1" s="1"/>
  <c r="L11" i="1"/>
  <c r="K4" i="1"/>
  <c r="M4" i="1" s="1"/>
  <c r="L4" i="1"/>
  <c r="V11" i="1"/>
  <c r="W11" i="1"/>
  <c r="V12" i="1"/>
  <c r="W12" i="1"/>
  <c r="V13" i="1"/>
  <c r="W13" i="1"/>
  <c r="BJ5" i="1" l="1"/>
  <c r="BM5" i="1" s="1"/>
  <c r="BN12" i="1"/>
  <c r="BM4" i="1"/>
  <c r="BM13" i="1"/>
  <c r="BG8" i="1"/>
  <c r="BI8" i="1" s="1"/>
  <c r="BF8" i="1"/>
  <c r="BH8" i="1" s="1"/>
  <c r="BG7" i="1"/>
  <c r="BI7" i="1" s="1"/>
  <c r="BF7" i="1"/>
  <c r="BH7" i="1" s="1"/>
  <c r="BE9" i="1"/>
  <c r="BD10" i="1"/>
  <c r="BJ6" i="1"/>
  <c r="BN6" i="1" s="1"/>
  <c r="BM6" i="1"/>
  <c r="I6" i="1"/>
  <c r="J5" i="1"/>
  <c r="T6" i="1"/>
  <c r="T7" i="1" s="1"/>
  <c r="T8" i="1" s="1"/>
  <c r="T9" i="1" s="1"/>
  <c r="T10" i="1" s="1"/>
  <c r="T11" i="1" s="1"/>
  <c r="T14" i="1"/>
  <c r="H6" i="1"/>
  <c r="H7" i="1" s="1"/>
  <c r="H8" i="1" s="1"/>
  <c r="H9" i="1" s="1"/>
  <c r="H10" i="1" s="1"/>
  <c r="H11" i="1" s="1"/>
  <c r="L5" i="1"/>
  <c r="W4" i="1"/>
  <c r="U5" i="1"/>
  <c r="U6" i="1" s="1"/>
  <c r="U7" i="1" s="1"/>
  <c r="U8" i="1" s="1"/>
  <c r="U9" i="1" s="1"/>
  <c r="U10" i="1" s="1"/>
  <c r="V10" i="1" s="1"/>
  <c r="B6" i="1"/>
  <c r="B7" i="1"/>
  <c r="B5" i="1"/>
  <c r="F5" i="1" s="1"/>
  <c r="F4" i="1"/>
  <c r="AI11" i="1"/>
  <c r="AK11" i="1" s="1"/>
  <c r="D11" i="1"/>
  <c r="D10" i="1"/>
  <c r="D9" i="1"/>
  <c r="D8" i="1"/>
  <c r="D7" i="1"/>
  <c r="D6" i="1"/>
  <c r="D5" i="1"/>
  <c r="AI13" i="1"/>
  <c r="AK13" i="1" s="1"/>
  <c r="AS10" i="1"/>
  <c r="AS5" i="1"/>
  <c r="AT5" i="1" s="1"/>
  <c r="AS8" i="1"/>
  <c r="AS6" i="1"/>
  <c r="AT6" i="1" s="1"/>
  <c r="AS7" i="1"/>
  <c r="AT7" i="1" s="1"/>
  <c r="AS9" i="1"/>
  <c r="R12" i="1"/>
  <c r="R13" i="1"/>
  <c r="V4" i="1"/>
  <c r="AG6" i="1"/>
  <c r="AH6" i="1" s="1"/>
  <c r="AJ6" i="1" s="1"/>
  <c r="AG7" i="1"/>
  <c r="AH7" i="1" s="1"/>
  <c r="AJ7" i="1" s="1"/>
  <c r="AG8" i="1"/>
  <c r="AH8" i="1" s="1"/>
  <c r="AJ8" i="1" s="1"/>
  <c r="AG9" i="1"/>
  <c r="AI9" i="1" s="1"/>
  <c r="AK9" i="1" s="1"/>
  <c r="AG5" i="1"/>
  <c r="AI5" i="1" s="1"/>
  <c r="AK5" i="1" s="1"/>
  <c r="AG10" i="1"/>
  <c r="AH10" i="1" s="1"/>
  <c r="AJ10" i="1" s="1"/>
  <c r="AI12" i="1"/>
  <c r="AK12" i="1" s="1"/>
  <c r="Q12" i="1"/>
  <c r="Q13" i="1"/>
  <c r="AH11" i="1"/>
  <c r="AJ11" i="1" s="1"/>
  <c r="AH12" i="1"/>
  <c r="AJ12" i="1" s="1"/>
  <c r="AI4" i="1"/>
  <c r="AK4" i="1" s="1"/>
  <c r="AH13" i="1"/>
  <c r="AJ13" i="1" s="1"/>
  <c r="AU4" i="1"/>
  <c r="AU11" i="1"/>
  <c r="K5" i="1"/>
  <c r="M5" i="1" s="1"/>
  <c r="F12" i="1"/>
  <c r="F13" i="1"/>
  <c r="O14" i="1"/>
  <c r="E12" i="1"/>
  <c r="E13" i="1"/>
  <c r="BN5" i="1" l="1"/>
  <c r="BJ7" i="1"/>
  <c r="BG9" i="1"/>
  <c r="BI9" i="1" s="1"/>
  <c r="BF9" i="1"/>
  <c r="BH9" i="1" s="1"/>
  <c r="BJ8" i="1"/>
  <c r="BN8" i="1" s="1"/>
  <c r="BM8" i="1"/>
  <c r="BE10" i="1"/>
  <c r="BD11" i="1"/>
  <c r="AM14" i="1"/>
  <c r="I7" i="1"/>
  <c r="J6" i="1"/>
  <c r="H14" i="1"/>
  <c r="U14" i="1"/>
  <c r="W6" i="1"/>
  <c r="W7" i="1"/>
  <c r="V7" i="1"/>
  <c r="W5" i="1"/>
  <c r="V9" i="1"/>
  <c r="W10" i="1"/>
  <c r="V8" i="1"/>
  <c r="W8" i="1"/>
  <c r="Q4" i="1"/>
  <c r="V6" i="1"/>
  <c r="R4" i="1"/>
  <c r="AU5" i="1"/>
  <c r="V5" i="1"/>
  <c r="AN14" i="1"/>
  <c r="W9" i="1"/>
  <c r="AI6" i="1"/>
  <c r="AK6" i="1" s="1"/>
  <c r="AH5" i="1"/>
  <c r="AJ5" i="1" s="1"/>
  <c r="AH9" i="1"/>
  <c r="AJ9" i="1" s="1"/>
  <c r="AI8" i="1"/>
  <c r="AK8" i="1" s="1"/>
  <c r="AI7" i="1"/>
  <c r="AK7" i="1" s="1"/>
  <c r="AI10" i="1"/>
  <c r="AK10" i="1" s="1"/>
  <c r="AU6" i="1"/>
  <c r="AU7" i="1"/>
  <c r="AU8" i="1"/>
  <c r="AT8" i="1"/>
  <c r="AT10" i="1"/>
  <c r="AU10" i="1"/>
  <c r="AT11" i="1"/>
  <c r="AU9" i="1"/>
  <c r="AT9" i="1"/>
  <c r="AU12" i="1"/>
  <c r="AT12" i="1"/>
  <c r="K6" i="1"/>
  <c r="M6" i="1" s="1"/>
  <c r="L6" i="1"/>
  <c r="E5" i="1"/>
  <c r="BN7" i="1" l="1"/>
  <c r="BJ9" i="1"/>
  <c r="BN9" i="1" s="1"/>
  <c r="BM7" i="1"/>
  <c r="BE11" i="1"/>
  <c r="BD14" i="1"/>
  <c r="BF10" i="1"/>
  <c r="BH10" i="1" s="1"/>
  <c r="BG10" i="1"/>
  <c r="BI10" i="1" s="1"/>
  <c r="BE14" i="1"/>
  <c r="BM9" i="1"/>
  <c r="J7" i="1"/>
  <c r="I8" i="1"/>
  <c r="R5" i="1"/>
  <c r="E6" i="1"/>
  <c r="Q5" i="1"/>
  <c r="AU13" i="1"/>
  <c r="AT13" i="1"/>
  <c r="K7" i="1"/>
  <c r="M7" i="1" s="1"/>
  <c r="L7" i="1"/>
  <c r="F6" i="1"/>
  <c r="BJ10" i="1" l="1"/>
  <c r="BN10" i="1" s="1"/>
  <c r="BG11" i="1"/>
  <c r="BI11" i="1" s="1"/>
  <c r="BF11" i="1"/>
  <c r="BH11" i="1" s="1"/>
  <c r="J8" i="1"/>
  <c r="I9" i="1"/>
  <c r="R6" i="1"/>
  <c r="Q6" i="1"/>
  <c r="L8" i="1"/>
  <c r="K8" i="1"/>
  <c r="M8" i="1" s="1"/>
  <c r="F7" i="1"/>
  <c r="E7" i="1"/>
  <c r="BM11" i="1" l="1"/>
  <c r="BJ11" i="1"/>
  <c r="BJ14" i="1" s="1"/>
  <c r="BI2" i="1" s="1"/>
  <c r="BN11" i="1"/>
  <c r="BI14" i="1"/>
  <c r="BN14" i="1" s="1"/>
  <c r="BH14" i="1"/>
  <c r="BM14" i="1" s="1"/>
  <c r="BM10" i="1"/>
  <c r="I10" i="1"/>
  <c r="J10" i="1" s="1"/>
  <c r="J9" i="1"/>
  <c r="R7" i="1"/>
  <c r="Q7" i="1"/>
  <c r="K9" i="1"/>
  <c r="M9" i="1" s="1"/>
  <c r="I14" i="1"/>
  <c r="L9" i="1"/>
  <c r="F8" i="1"/>
  <c r="E8" i="1"/>
  <c r="R8" i="1" l="1"/>
  <c r="Q8" i="1"/>
  <c r="K10" i="1"/>
  <c r="M10" i="1" s="1"/>
  <c r="L10" i="1"/>
  <c r="F9" i="1"/>
  <c r="E9" i="1"/>
  <c r="M14" i="1" l="1"/>
  <c r="R9" i="1"/>
  <c r="Q9" i="1"/>
  <c r="L14" i="1"/>
  <c r="AJ14" i="1"/>
  <c r="F10" i="1"/>
  <c r="R10" i="1" l="1"/>
  <c r="Q10" i="1"/>
  <c r="AK14" i="1"/>
  <c r="F11" i="1"/>
  <c r="E11" i="1"/>
  <c r="B14" i="1"/>
  <c r="F14" i="1" s="1"/>
  <c r="R11" i="1" l="1"/>
  <c r="Q11" i="1"/>
  <c r="N14" i="1"/>
  <c r="C14" i="1"/>
  <c r="E10" i="1"/>
  <c r="E14" i="1" s="1"/>
  <c r="D14" i="1"/>
  <c r="Q14" i="1" l="1"/>
  <c r="R14" i="1"/>
  <c r="X10" i="1"/>
  <c r="X12" i="1"/>
  <c r="X7" i="1"/>
  <c r="X9" i="1"/>
  <c r="AC9" i="1"/>
  <c r="Y12" i="1"/>
  <c r="Z12" i="1"/>
  <c r="AL12" i="1" s="1"/>
  <c r="AP12" i="1" s="1"/>
  <c r="X8" i="1"/>
  <c r="Y10" i="1"/>
  <c r="Y5" i="1"/>
  <c r="Z5" i="1" s="1"/>
  <c r="Y9" i="1"/>
  <c r="Z9" i="1"/>
  <c r="AL9" i="1"/>
  <c r="Y13" i="1"/>
  <c r="AL13" i="1"/>
  <c r="X6" i="1"/>
  <c r="Y6" i="1"/>
  <c r="Z6" i="1" s="1"/>
  <c r="Y11" i="1"/>
  <c r="X5" i="1"/>
  <c r="X4" i="1"/>
  <c r="Y8" i="1"/>
  <c r="Z8" i="1" s="1"/>
  <c r="X13" i="1"/>
  <c r="Y7" i="1"/>
  <c r="Z7" i="1"/>
  <c r="AL7" i="1" s="1"/>
  <c r="Y4" i="1"/>
  <c r="X11" i="1"/>
  <c r="AC5" i="1" l="1"/>
  <c r="AD9" i="1"/>
  <c r="AL8" i="1"/>
  <c r="AP8" i="1" s="1"/>
  <c r="AD8" i="1"/>
  <c r="Z4" i="1"/>
  <c r="AL4" i="1" s="1"/>
  <c r="AP4" i="1" s="1"/>
  <c r="AD12" i="1"/>
  <c r="AC4" i="1"/>
  <c r="AD7" i="1"/>
  <c r="AC8" i="1"/>
  <c r="AC13" i="1"/>
  <c r="AC12" i="1"/>
  <c r="Z11" i="1"/>
  <c r="AL11" i="1" s="1"/>
  <c r="AO11" i="1" s="1"/>
  <c r="Z10" i="1"/>
  <c r="AD10" i="1" s="1"/>
  <c r="AO7" i="1"/>
  <c r="AP7" i="1"/>
  <c r="AD6" i="1"/>
  <c r="AL6" i="1"/>
  <c r="AC6" i="1"/>
  <c r="AP13" i="1"/>
  <c r="AO13" i="1"/>
  <c r="AL5" i="1"/>
  <c r="Y14" i="1"/>
  <c r="AO12" i="1"/>
  <c r="AD5" i="1"/>
  <c r="AO9" i="1"/>
  <c r="AD13" i="1"/>
  <c r="AP9" i="1"/>
  <c r="AC7" i="1"/>
  <c r="X14" i="1"/>
  <c r="AC11" i="1" l="1"/>
  <c r="AD11" i="1"/>
  <c r="AP11" i="1"/>
  <c r="Z14" i="1"/>
  <c r="AO8" i="1"/>
  <c r="AO4" i="1"/>
  <c r="AD4" i="1"/>
  <c r="AC10" i="1"/>
  <c r="AL10" i="1"/>
  <c r="AL14" i="1" s="1"/>
  <c r="AO5" i="1"/>
  <c r="AP5" i="1"/>
  <c r="AP6" i="1"/>
  <c r="AO6" i="1"/>
  <c r="Y2" i="1" l="1"/>
  <c r="AK2" i="1"/>
  <c r="AC14" i="1"/>
  <c r="AJ17" i="1"/>
  <c r="AD14" i="1"/>
  <c r="AP10" i="1"/>
  <c r="AO10" i="1"/>
  <c r="AP14" i="1"/>
  <c r="AO14" i="1"/>
  <c r="AV9" i="1"/>
  <c r="AV5" i="1"/>
  <c r="AW12" i="1"/>
  <c r="AV7" i="1"/>
  <c r="AV11" i="1"/>
  <c r="AV13" i="1"/>
  <c r="AW10" i="1"/>
  <c r="AW9" i="1"/>
  <c r="BB9" i="1" s="1"/>
  <c r="AV8" i="1"/>
  <c r="AV4" i="1"/>
  <c r="AW13" i="1"/>
  <c r="BB13" i="1"/>
  <c r="AW8" i="1"/>
  <c r="AW11" i="1"/>
  <c r="AW6" i="1"/>
  <c r="BB6" i="1" s="1"/>
  <c r="AV6" i="1"/>
  <c r="AW5" i="1"/>
  <c r="BB5" i="1" s="1"/>
  <c r="AV12" i="1"/>
  <c r="AV10" i="1"/>
  <c r="AW7" i="1"/>
  <c r="BB7" i="1"/>
  <c r="AW4" i="1"/>
  <c r="BB4" i="1" s="1"/>
  <c r="BA7" i="1" l="1"/>
  <c r="BA13" i="1"/>
  <c r="BA11" i="1"/>
  <c r="BA4" i="1"/>
  <c r="BA6" i="1"/>
  <c r="BB11" i="1"/>
  <c r="AV14" i="1"/>
  <c r="BA9" i="1"/>
  <c r="AW14" i="1"/>
  <c r="BA12" i="1"/>
  <c r="BB12" i="1"/>
  <c r="BA5" i="1"/>
  <c r="BA8" i="1"/>
  <c r="BB10" i="1"/>
  <c r="AX14" i="1" l="1"/>
  <c r="AW2" i="1" s="1"/>
  <c r="BA10" i="1"/>
  <c r="BB8" i="1"/>
  <c r="BA14" i="1" l="1"/>
  <c r="BB14" i="1"/>
  <c r="P14" i="1"/>
</calcChain>
</file>

<file path=xl/sharedStrings.xml><?xml version="1.0" encoding="utf-8"?>
<sst xmlns="http://schemas.openxmlformats.org/spreadsheetml/2006/main" count="149" uniqueCount="58">
  <si>
    <t>大学1</t>
    <rPh sb="0" eb="2">
      <t>ダイガク</t>
    </rPh>
    <phoneticPr fontId="1"/>
  </si>
  <si>
    <t>大学2</t>
    <rPh sb="0" eb="2">
      <t>ダイガク</t>
    </rPh>
    <phoneticPr fontId="1"/>
  </si>
  <si>
    <t>大学3</t>
    <rPh sb="0" eb="2">
      <t>ダイガク</t>
    </rPh>
    <phoneticPr fontId="1"/>
  </si>
  <si>
    <t>大学4</t>
    <rPh sb="0" eb="2">
      <t>ダイガク</t>
    </rPh>
    <phoneticPr fontId="1"/>
  </si>
  <si>
    <t>大学5</t>
    <rPh sb="0" eb="2">
      <t>ダイガク</t>
    </rPh>
    <phoneticPr fontId="1"/>
  </si>
  <si>
    <t>大学6</t>
    <rPh sb="0" eb="2">
      <t>ダイガク</t>
    </rPh>
    <phoneticPr fontId="1"/>
  </si>
  <si>
    <t>大学7</t>
    <rPh sb="0" eb="2">
      <t>ダイガク</t>
    </rPh>
    <phoneticPr fontId="1"/>
  </si>
  <si>
    <t>大学8</t>
    <rPh sb="0" eb="2">
      <t>ダイガク</t>
    </rPh>
    <phoneticPr fontId="1"/>
  </si>
  <si>
    <t>大学9</t>
    <rPh sb="0" eb="2">
      <t>ダイガク</t>
    </rPh>
    <phoneticPr fontId="1"/>
  </si>
  <si>
    <t>大学10</t>
    <rPh sb="0" eb="2">
      <t>ダイガク</t>
    </rPh>
    <phoneticPr fontId="1"/>
  </si>
  <si>
    <t>冊子購読料</t>
    <rPh sb="0" eb="2">
      <t>サッシ</t>
    </rPh>
    <rPh sb="2" eb="5">
      <t>コウドクリョウ</t>
    </rPh>
    <phoneticPr fontId="1"/>
  </si>
  <si>
    <t>冊子購読タイトル数</t>
    <rPh sb="0" eb="2">
      <t>サッシ</t>
    </rPh>
    <rPh sb="2" eb="4">
      <t>コウドク</t>
    </rPh>
    <rPh sb="8" eb="9">
      <t>スウ</t>
    </rPh>
    <phoneticPr fontId="1"/>
  </si>
  <si>
    <t>全大学が全タイトルを購入した場合からの逸失利益</t>
    <rPh sb="0" eb="3">
      <t>ゼンダイガク</t>
    </rPh>
    <rPh sb="4" eb="5">
      <t>ゼン</t>
    </rPh>
    <rPh sb="10" eb="12">
      <t>コウニュウ</t>
    </rPh>
    <rPh sb="14" eb="16">
      <t>バアイ</t>
    </rPh>
    <rPh sb="19" eb="21">
      <t>イッシツ</t>
    </rPh>
    <rPh sb="21" eb="23">
      <t>リエキ</t>
    </rPh>
    <phoneticPr fontId="1"/>
  </si>
  <si>
    <t>ビッグディール購読タイトル数</t>
    <rPh sb="7" eb="9">
      <t>コウドク</t>
    </rPh>
    <rPh sb="13" eb="14">
      <t>スウ</t>
    </rPh>
    <phoneticPr fontId="1"/>
  </si>
  <si>
    <t>冊子購読料（千万円）</t>
    <rPh sb="0" eb="2">
      <t>サッシ</t>
    </rPh>
    <rPh sb="2" eb="5">
      <t>コウドクリョウ</t>
    </rPh>
    <rPh sb="6" eb="7">
      <t>セン</t>
    </rPh>
    <rPh sb="7" eb="9">
      <t>マンエン</t>
    </rPh>
    <phoneticPr fontId="1"/>
  </si>
  <si>
    <t>出版社収入（大学支出）</t>
    <rPh sb="0" eb="3">
      <t>シュッパンシャ</t>
    </rPh>
    <rPh sb="3" eb="5">
      <t>シュウニュウ</t>
    </rPh>
    <rPh sb="6" eb="8">
      <t>ダイガク</t>
    </rPh>
    <rPh sb="8" eb="10">
      <t>シシュツ</t>
    </rPh>
    <phoneticPr fontId="1"/>
  </si>
  <si>
    <t>係数</t>
    <rPh sb="0" eb="2">
      <t>ケイスウ</t>
    </rPh>
    <phoneticPr fontId="1"/>
  </si>
  <si>
    <t>OA論文出版数（APC件数）</t>
    <rPh sb="2" eb="4">
      <t>ロンブン</t>
    </rPh>
    <rPh sb="4" eb="6">
      <t>シュッパン</t>
    </rPh>
    <rPh sb="6" eb="7">
      <t>スウ</t>
    </rPh>
    <rPh sb="11" eb="13">
      <t>ケンスウ</t>
    </rPh>
    <phoneticPr fontId="1"/>
  </si>
  <si>
    <t>TA件数</t>
    <rPh sb="2" eb="4">
      <t>ケンスウ</t>
    </rPh>
    <phoneticPr fontId="1"/>
  </si>
  <si>
    <t>APC（研究者個人払い）支出1報30万円で試算）</t>
    <rPh sb="4" eb="6">
      <t>ケンキュウ</t>
    </rPh>
    <rPh sb="6" eb="7">
      <t>シャ</t>
    </rPh>
    <rPh sb="7" eb="9">
      <t>コジン</t>
    </rPh>
    <rPh sb="9" eb="10">
      <t>バラ</t>
    </rPh>
    <rPh sb="12" eb="14">
      <t>シシュツ</t>
    </rPh>
    <phoneticPr fontId="1"/>
  </si>
  <si>
    <t>TAのPublish分（TA件数×1報30万円で試算）</t>
    <rPh sb="14" eb="16">
      <t>ケンスウ</t>
    </rPh>
    <rPh sb="18" eb="19">
      <t>ホウ</t>
    </rPh>
    <rPh sb="21" eb="23">
      <t>マンエン</t>
    </rPh>
    <rPh sb="24" eb="26">
      <t>シサン</t>
    </rPh>
    <phoneticPr fontId="1"/>
  </si>
  <si>
    <t>図書館支出</t>
    <rPh sb="0" eb="3">
      <t>トショカン</t>
    </rPh>
    <rPh sb="3" eb="5">
      <t>シシュツ</t>
    </rPh>
    <phoneticPr fontId="1"/>
  </si>
  <si>
    <t>APC（研究者個人払い）件数</t>
    <rPh sb="4" eb="6">
      <t>ケンキュウ</t>
    </rPh>
    <rPh sb="6" eb="7">
      <t>シャ</t>
    </rPh>
    <rPh sb="7" eb="9">
      <t>コジン</t>
    </rPh>
    <rPh sb="9" eb="10">
      <t>バラ</t>
    </rPh>
    <rPh sb="12" eb="14">
      <t>ケンスウ</t>
    </rPh>
    <phoneticPr fontId="1"/>
  </si>
  <si>
    <t>総論文数</t>
    <rPh sb="0" eb="1">
      <t>ソウ</t>
    </rPh>
    <rPh sb="1" eb="3">
      <t>ロンブン</t>
    </rPh>
    <rPh sb="3" eb="4">
      <t>スウ</t>
    </rPh>
    <phoneticPr fontId="1"/>
  </si>
  <si>
    <t>TAのRead分</t>
    <rPh sb="7" eb="8">
      <t>ブン</t>
    </rPh>
    <phoneticPr fontId="1"/>
  </si>
  <si>
    <t>APC件数</t>
    <rPh sb="3" eb="5">
      <t>ケンスウ</t>
    </rPh>
    <phoneticPr fontId="1"/>
  </si>
  <si>
    <t>APC研究者個人払い件数</t>
    <rPh sb="3" eb="5">
      <t>ケンキュウ</t>
    </rPh>
    <rPh sb="5" eb="6">
      <t>シャ</t>
    </rPh>
    <rPh sb="6" eb="8">
      <t>コジン</t>
    </rPh>
    <rPh sb="8" eb="9">
      <t>バラ</t>
    </rPh>
    <rPh sb="10" eb="12">
      <t>ケンスウ</t>
    </rPh>
    <phoneticPr fontId="1"/>
  </si>
  <si>
    <t>APC研究者個人払い額</t>
    <rPh sb="3" eb="5">
      <t>ケンキュウ</t>
    </rPh>
    <rPh sb="5" eb="6">
      <t>シャ</t>
    </rPh>
    <rPh sb="6" eb="8">
      <t>コジン</t>
    </rPh>
    <rPh sb="8" eb="9">
      <t>バラ</t>
    </rPh>
    <rPh sb="10" eb="11">
      <t>ガク</t>
    </rPh>
    <phoneticPr fontId="1"/>
  </si>
  <si>
    <t>TAのPublish分</t>
  </si>
  <si>
    <t>TAのPublish分</t>
    <phoneticPr fontId="1"/>
  </si>
  <si>
    <t>購読タイトル数</t>
    <rPh sb="0" eb="2">
      <t>コウドク</t>
    </rPh>
    <rPh sb="6" eb="7">
      <t>スウ</t>
    </rPh>
    <phoneticPr fontId="1"/>
  </si>
  <si>
    <t>※ OAが総論文数の20%、TAでのAPC支払が30％
図書館支出額は同程度で、出版社収入＝大学支出は若干低減</t>
    <rPh sb="5" eb="6">
      <t>ソウ</t>
    </rPh>
    <rPh sb="6" eb="8">
      <t>ロンブン</t>
    </rPh>
    <rPh sb="8" eb="9">
      <t>スウ</t>
    </rPh>
    <rPh sb="21" eb="23">
      <t>シハライ</t>
    </rPh>
    <rPh sb="28" eb="31">
      <t>トショカン</t>
    </rPh>
    <rPh sb="31" eb="33">
      <t>シシュツ</t>
    </rPh>
    <rPh sb="33" eb="34">
      <t>ガク</t>
    </rPh>
    <rPh sb="35" eb="38">
      <t>ドウテイド</t>
    </rPh>
    <rPh sb="40" eb="43">
      <t>シュッパンシャ</t>
    </rPh>
    <rPh sb="43" eb="45">
      <t>シュウニュウ</t>
    </rPh>
    <rPh sb="46" eb="48">
      <t>ダイガク</t>
    </rPh>
    <rPh sb="48" eb="50">
      <t>シシュツ</t>
    </rPh>
    <rPh sb="51" eb="53">
      <t>ジャッカン</t>
    </rPh>
    <rPh sb="53" eb="55">
      <t>テイゲン</t>
    </rPh>
    <phoneticPr fontId="1"/>
  </si>
  <si>
    <t>※ OAが若干増加（総論文数の40%）、TAでのAPC支払が50％
図書館支出額は若干低減、出版社収入＝大学支出は若干低減</t>
    <rPh sb="5" eb="7">
      <t>ジャッカン</t>
    </rPh>
    <rPh sb="7" eb="9">
      <t>ゾウカ</t>
    </rPh>
    <rPh sb="10" eb="11">
      <t>ソウ</t>
    </rPh>
    <rPh sb="11" eb="13">
      <t>ロンブン</t>
    </rPh>
    <rPh sb="13" eb="14">
      <t>スウ</t>
    </rPh>
    <rPh sb="27" eb="29">
      <t>シハライ</t>
    </rPh>
    <rPh sb="34" eb="37">
      <t>トショカン</t>
    </rPh>
    <rPh sb="37" eb="39">
      <t>シシュツ</t>
    </rPh>
    <rPh sb="39" eb="40">
      <t>ガク</t>
    </rPh>
    <rPh sb="41" eb="43">
      <t>ジャッカン</t>
    </rPh>
    <rPh sb="43" eb="45">
      <t>テイゲン</t>
    </rPh>
    <rPh sb="46" eb="49">
      <t>シュッパンシャ</t>
    </rPh>
    <rPh sb="49" eb="51">
      <t>シュウニュウ</t>
    </rPh>
    <rPh sb="52" eb="54">
      <t>ダイガク</t>
    </rPh>
    <rPh sb="54" eb="56">
      <t>シシュツ</t>
    </rPh>
    <rPh sb="57" eb="59">
      <t>ジャッカン</t>
    </rPh>
    <rPh sb="59" eb="61">
      <t>テイゲン</t>
    </rPh>
    <phoneticPr fontId="1"/>
  </si>
  <si>
    <t>出版社総タイトル数1000としたときの未購読タイトル数</t>
    <rPh sb="0" eb="3">
      <t>シュッパンシャ</t>
    </rPh>
    <rPh sb="3" eb="4">
      <t>ソウ</t>
    </rPh>
    <rPh sb="8" eb="9">
      <t>スウ</t>
    </rPh>
    <rPh sb="19" eb="22">
      <t>ミコウドク</t>
    </rPh>
    <rPh sb="26" eb="27">
      <t>スウ</t>
    </rPh>
    <phoneticPr fontId="1"/>
  </si>
  <si>
    <t>TAのRead分：ビッグディール購読料（冊子購読料×係数で試算）係数は初年度ビッグディール係数、2年目以降値上がり率</t>
    <rPh sb="7" eb="8">
      <t>ブン</t>
    </rPh>
    <rPh sb="16" eb="19">
      <t>コウドクリョウ</t>
    </rPh>
    <rPh sb="20" eb="25">
      <t>サッシコウドクリョウ</t>
    </rPh>
    <rPh sb="26" eb="28">
      <t>ケイスウ</t>
    </rPh>
    <rPh sb="29" eb="31">
      <t>シサン</t>
    </rPh>
    <rPh sb="32" eb="34">
      <t>ケイスウ</t>
    </rPh>
    <rPh sb="35" eb="38">
      <t>ショネンド</t>
    </rPh>
    <rPh sb="45" eb="47">
      <t>ケイスウ</t>
    </rPh>
    <rPh sb="49" eb="51">
      <t>ネンメ</t>
    </rPh>
    <rPh sb="51" eb="53">
      <t>イコウ</t>
    </rPh>
    <rPh sb="53" eb="55">
      <t>ネア</t>
    </rPh>
    <rPh sb="57" eb="58">
      <t>リツ</t>
    </rPh>
    <phoneticPr fontId="1"/>
  </si>
  <si>
    <t>金額は千万円</t>
    <rPh sb="0" eb="2">
      <t>キンガク</t>
    </rPh>
    <rPh sb="3" eb="6">
      <t>センマンエン</t>
    </rPh>
    <phoneticPr fontId="1"/>
  </si>
  <si>
    <t>※ ビッグディール導入後、TAなし（TAのRead分＝ビッグディール）</t>
    <rPh sb="9" eb="11">
      <t>ドウニュウ</t>
    </rPh>
    <rPh sb="11" eb="12">
      <t>ゴ</t>
    </rPh>
    <rPh sb="25" eb="26">
      <t>ブン</t>
    </rPh>
    <phoneticPr fontId="1"/>
  </si>
  <si>
    <t>※ OAが増加（総論文数の70%）、TAでのAPC支払が80％
図書館支出額は同程度で、出版社収入＝大学支出は若干低減
Publishが多い大学は、Read分が計算上マイナスになるのでゼロにしている</t>
    <rPh sb="5" eb="7">
      <t>ゾウカ</t>
    </rPh>
    <rPh sb="8" eb="9">
      <t>ソウ</t>
    </rPh>
    <rPh sb="9" eb="11">
      <t>ロンブン</t>
    </rPh>
    <rPh sb="11" eb="12">
      <t>スウ</t>
    </rPh>
    <rPh sb="25" eb="27">
      <t>シハライ</t>
    </rPh>
    <rPh sb="32" eb="35">
      <t>トショカン</t>
    </rPh>
    <rPh sb="35" eb="37">
      <t>シシュツ</t>
    </rPh>
    <rPh sb="37" eb="38">
      <t>ガク</t>
    </rPh>
    <rPh sb="39" eb="42">
      <t>ドウテイド</t>
    </rPh>
    <rPh sb="44" eb="47">
      <t>シュッパンシャ</t>
    </rPh>
    <rPh sb="47" eb="49">
      <t>シュウニュウ</t>
    </rPh>
    <rPh sb="50" eb="52">
      <t>ダイガク</t>
    </rPh>
    <rPh sb="52" eb="54">
      <t>シシュツ</t>
    </rPh>
    <rPh sb="55" eb="57">
      <t>ジャッカン</t>
    </rPh>
    <rPh sb="57" eb="59">
      <t>テイゲン</t>
    </rPh>
    <rPh sb="68" eb="69">
      <t>オオ</t>
    </rPh>
    <rPh sb="70" eb="72">
      <t>ダイガク</t>
    </rPh>
    <rPh sb="78" eb="79">
      <t>ブン</t>
    </rPh>
    <rPh sb="80" eb="83">
      <t>ケイサンジョウ</t>
    </rPh>
    <phoneticPr fontId="1"/>
  </si>
  <si>
    <t>出版社収入（大学支出）（千万円）</t>
    <rPh sb="0" eb="3">
      <t>シュッパンシャ</t>
    </rPh>
    <rPh sb="3" eb="5">
      <t>シュウニュウ</t>
    </rPh>
    <rPh sb="6" eb="8">
      <t>ダイガク</t>
    </rPh>
    <rPh sb="8" eb="10">
      <t>シシュツ</t>
    </rPh>
    <phoneticPr fontId="1"/>
  </si>
  <si>
    <t>TAのRead分（千万円）</t>
    <rPh sb="7" eb="8">
      <t>ブン</t>
    </rPh>
    <phoneticPr fontId="1"/>
  </si>
  <si>
    <t>冊子購読料（千万円）</t>
    <rPh sb="0" eb="2">
      <t>サッシ</t>
    </rPh>
    <rPh sb="2" eb="5">
      <t>コウドクリョウ</t>
    </rPh>
    <phoneticPr fontId="1"/>
  </si>
  <si>
    <t>ビッグディール係数</t>
    <rPh sb="7" eb="9">
      <t>ケイスウ</t>
    </rPh>
    <phoneticPr fontId="1"/>
  </si>
  <si>
    <t>APC研究者個人払い：機関払い比率</t>
    <rPh sb="3" eb="5">
      <t>ケンキュウ</t>
    </rPh>
    <rPh sb="5" eb="6">
      <t>シャ</t>
    </rPh>
    <rPh sb="6" eb="8">
      <t>コジン</t>
    </rPh>
    <rPh sb="8" eb="9">
      <t>バラ</t>
    </rPh>
    <rPh sb="11" eb="13">
      <t>キカン</t>
    </rPh>
    <rPh sb="13" eb="14">
      <t>バラ</t>
    </rPh>
    <rPh sb="15" eb="17">
      <t>ヒリツ</t>
    </rPh>
    <phoneticPr fontId="1"/>
  </si>
  <si>
    <t>総論文数の内APC比率</t>
    <rPh sb="0" eb="1">
      <t>ソウ</t>
    </rPh>
    <rPh sb="1" eb="3">
      <t>ロンブン</t>
    </rPh>
    <rPh sb="3" eb="4">
      <t>スウ</t>
    </rPh>
    <rPh sb="5" eb="6">
      <t>ウチ</t>
    </rPh>
    <rPh sb="9" eb="11">
      <t>ヒリツ</t>
    </rPh>
    <phoneticPr fontId="1"/>
  </si>
  <si>
    <t>値上がり率</t>
    <rPh sb="0" eb="2">
      <t>ネア</t>
    </rPh>
    <rPh sb="4" eb="5">
      <t>リツ</t>
    </rPh>
    <phoneticPr fontId="1"/>
  </si>
  <si>
    <t>APC平均単価（千万円）</t>
    <rPh sb="3" eb="5">
      <t>ヘイキン</t>
    </rPh>
    <rPh sb="5" eb="7">
      <t>タンカ</t>
    </rPh>
    <rPh sb="8" eb="11">
      <t>センマンエン</t>
    </rPh>
    <phoneticPr fontId="1"/>
  </si>
  <si>
    <t>APC値上がり率</t>
    <rPh sb="3" eb="5">
      <t>ネア</t>
    </rPh>
    <rPh sb="7" eb="8">
      <t>リツ</t>
    </rPh>
    <phoneticPr fontId="1"/>
  </si>
  <si>
    <t>ビッグディール値上がり率</t>
    <rPh sb="7" eb="9">
      <t>ネア</t>
    </rPh>
    <rPh sb="11" eb="12">
      <t>リツ</t>
    </rPh>
    <phoneticPr fontId="1"/>
  </si>
  <si>
    <t>※ ビッグディール以前
※ ビッグディールをしてもしなくても未購読誌のサーバー維持費などはかかり続けるので、未購読誌をビッグディールで安く売ってしまった方が効率がよい。</t>
    <rPh sb="9" eb="11">
      <t>イゼン</t>
    </rPh>
    <rPh sb="30" eb="33">
      <t>ミコウドク</t>
    </rPh>
    <rPh sb="33" eb="34">
      <t>シ</t>
    </rPh>
    <phoneticPr fontId="1"/>
  </si>
  <si>
    <t>ビッグディール以前</t>
    <rPh sb="7" eb="9">
      <t>イゼン</t>
    </rPh>
    <phoneticPr fontId="1"/>
  </si>
  <si>
    <t>ビッグディール導入/TAなし</t>
    <rPh sb="7" eb="9">
      <t>ドウニュウ</t>
    </rPh>
    <phoneticPr fontId="1"/>
  </si>
  <si>
    <t>TA3割</t>
    <rPh sb="3" eb="4">
      <t>ワリ</t>
    </rPh>
    <phoneticPr fontId="1"/>
  </si>
  <si>
    <t>TA5割</t>
    <rPh sb="3" eb="4">
      <t>ワリ</t>
    </rPh>
    <phoneticPr fontId="1"/>
  </si>
  <si>
    <t>TA7割</t>
    <rPh sb="3" eb="4">
      <t>ワリ</t>
    </rPh>
    <phoneticPr fontId="1"/>
  </si>
  <si>
    <t>E+P</t>
  </si>
  <si>
    <t>E+P</t>
    <phoneticPr fontId="1"/>
  </si>
  <si>
    <t>TA10割</t>
    <rPh sb="4" eb="5">
      <t>ワリ</t>
    </rPh>
    <phoneticPr fontId="1"/>
  </si>
  <si>
    <t>※ TAでのAPC支払が100％
図書館支出額と、出版社収入＝大学支出が均衡
Publishが多い大学は、Read分が計算上マイナスになるのでゼロにしている</t>
    <rPh sb="9" eb="11">
      <t>シハライ</t>
    </rPh>
    <rPh sb="17" eb="20">
      <t>トショカン</t>
    </rPh>
    <rPh sb="20" eb="22">
      <t>シシュツ</t>
    </rPh>
    <rPh sb="22" eb="23">
      <t>ガク</t>
    </rPh>
    <rPh sb="25" eb="28">
      <t>シュッパンシャ</t>
    </rPh>
    <rPh sb="28" eb="30">
      <t>シュウニュウ</t>
    </rPh>
    <rPh sb="31" eb="33">
      <t>ダイガク</t>
    </rPh>
    <rPh sb="33" eb="35">
      <t>シシュツ</t>
    </rPh>
    <rPh sb="36" eb="38">
      <t>キンコウ</t>
    </rPh>
    <rPh sb="47" eb="48">
      <t>オオ</t>
    </rPh>
    <rPh sb="49" eb="51">
      <t>ダイガク</t>
    </rPh>
    <rPh sb="57" eb="58">
      <t>ブン</t>
    </rPh>
    <rPh sb="59" eb="62">
      <t>ケイサンジョウ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</si>
</sst>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84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>
      <alignment vertical="center"/>
    </xf>
    <xf numFmtId="1" fontId="0" fillId="0" borderId="7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1" fontId="0" fillId="0" borderId="18" xfId="0" applyNumberFormat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" xfId="0" applyBorder="1">
      <alignment vertical="center"/>
    </xf>
    <xf numFmtId="1" fontId="0" fillId="0" borderId="4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0" borderId="8" xfId="0" applyNumberFormat="1" applyBorder="1">
      <alignment vertical="center"/>
    </xf>
    <xf numFmtId="1" fontId="0" fillId="0" borderId="9" xfId="0" applyNumberFormat="1" applyBorder="1">
      <alignment vertical="center"/>
    </xf>
    <xf numFmtId="1" fontId="0" fillId="0" borderId="10" xfId="0" applyNumberFormat="1" applyBorder="1">
      <alignment vertical="center"/>
    </xf>
    <xf numFmtId="1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1" fontId="0" fillId="0" borderId="2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22" xfId="0" applyBorder="1" applyAlignment="1">
      <alignment horizontal="centerContinuous" vertical="center" wrapText="1"/>
    </xf>
    <xf numFmtId="178" fontId="0" fillId="0" borderId="0" xfId="0" applyNumberForma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178" fontId="0" fillId="0" borderId="12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84" fontId="0" fillId="0" borderId="0" xfId="0" applyNumberFormat="1" applyAlignment="1">
      <alignment vertical="center" wrapText="1"/>
    </xf>
    <xf numFmtId="184" fontId="0" fillId="0" borderId="2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863604549431322"/>
          <c:y val="0.14652496626180836"/>
          <c:w val="0.73756080489938758"/>
          <c:h val="0.32298713166927007"/>
        </c:manualLayout>
      </c:layout>
      <c:barChart>
        <c:barDir val="col"/>
        <c:grouping val="stacked"/>
        <c:varyColors val="0"/>
        <c:ser>
          <c:idx val="4"/>
          <c:order val="4"/>
          <c:tx>
            <c:strRef>
              <c:f>大学１グラフ!$F$1</c:f>
              <c:strCache>
                <c:ptCount val="1"/>
                <c:pt idx="0">
                  <c:v>APC研究者個人払い額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大学１グラフ!$A$2:$A$7</c:f>
              <c:strCache>
                <c:ptCount val="6"/>
                <c:pt idx="0">
                  <c:v>ビッグディール以前</c:v>
                </c:pt>
                <c:pt idx="1">
                  <c:v>ビッグディール導入/TAなし</c:v>
                </c:pt>
                <c:pt idx="2">
                  <c:v>TA3割</c:v>
                </c:pt>
                <c:pt idx="3">
                  <c:v>TA5割</c:v>
                </c:pt>
                <c:pt idx="4">
                  <c:v>TA7割</c:v>
                </c:pt>
                <c:pt idx="5">
                  <c:v>TA10割</c:v>
                </c:pt>
              </c:strCache>
            </c:strRef>
          </c:cat>
          <c:val>
            <c:numRef>
              <c:f>大学１グラフ!$F$2:$F$7</c:f>
              <c:numCache>
                <c:formatCode>0_ </c:formatCode>
                <c:ptCount val="6"/>
                <c:pt idx="0" formatCode="General">
                  <c:v>0</c:v>
                </c:pt>
                <c:pt idx="1">
                  <c:v>20</c:v>
                </c:pt>
                <c:pt idx="2">
                  <c:v>18.283999999999999</c:v>
                </c:pt>
                <c:pt idx="3">
                  <c:v>34.112719999999996</c:v>
                </c:pt>
                <c:pt idx="4">
                  <c:v>32.618582864000004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5-45C7-818A-92940CB37A71}"/>
            </c:ext>
          </c:extLst>
        </c:ser>
        <c:ser>
          <c:idx val="5"/>
          <c:order val="5"/>
          <c:tx>
            <c:strRef>
              <c:f>大学１グラフ!$G$1</c:f>
              <c:strCache>
                <c:ptCount val="1"/>
                <c:pt idx="0">
                  <c:v>TAのPublish分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大学１グラフ!$A$2:$A$7</c:f>
              <c:strCache>
                <c:ptCount val="6"/>
                <c:pt idx="0">
                  <c:v>ビッグディール以前</c:v>
                </c:pt>
                <c:pt idx="1">
                  <c:v>ビッグディール導入/TAなし</c:v>
                </c:pt>
                <c:pt idx="2">
                  <c:v>TA3割</c:v>
                </c:pt>
                <c:pt idx="3">
                  <c:v>TA5割</c:v>
                </c:pt>
                <c:pt idx="4">
                  <c:v>TA7割</c:v>
                </c:pt>
                <c:pt idx="5">
                  <c:v>TA10割</c:v>
                </c:pt>
              </c:strCache>
            </c:strRef>
          </c:cat>
          <c:val>
            <c:numRef>
              <c:f>大学１グラフ!$G$2:$G$7</c:f>
              <c:numCache>
                <c:formatCode>0_ 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7.8360000000000003</c:v>
                </c:pt>
                <c:pt idx="3">
                  <c:v>34.112719999999996</c:v>
                </c:pt>
                <c:pt idx="4">
                  <c:v>130.47433145600002</c:v>
                </c:pt>
                <c:pt idx="5" formatCode="General">
                  <c:v>222.78492096112001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5-45C7-818A-92940CB37A71}"/>
            </c:ext>
          </c:extLst>
        </c:ser>
        <c:ser>
          <c:idx val="6"/>
          <c:order val="6"/>
          <c:tx>
            <c:strRef>
              <c:f>大学１グラフ!$H$1</c:f>
              <c:strCache>
                <c:ptCount val="1"/>
                <c:pt idx="0">
                  <c:v>TAのRead分（千万円）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大学１グラフ!$A$2:$A$7</c:f>
              <c:strCache>
                <c:ptCount val="6"/>
                <c:pt idx="0">
                  <c:v>ビッグディール以前</c:v>
                </c:pt>
                <c:pt idx="1">
                  <c:v>ビッグディール導入/TAなし</c:v>
                </c:pt>
                <c:pt idx="2">
                  <c:v>TA3割</c:v>
                </c:pt>
                <c:pt idx="3">
                  <c:v>TA5割</c:v>
                </c:pt>
                <c:pt idx="4">
                  <c:v>TA7割</c:v>
                </c:pt>
                <c:pt idx="5">
                  <c:v>TA10割</c:v>
                </c:pt>
              </c:strCache>
            </c:strRef>
          </c:cat>
          <c:val>
            <c:numRef>
              <c:f>大学１グラフ!$H$2:$H$7</c:f>
              <c:numCache>
                <c:formatCode>0_ </c:formatCode>
                <c:ptCount val="6"/>
                <c:pt idx="0" formatCode="General">
                  <c:v>0</c:v>
                </c:pt>
                <c:pt idx="1">
                  <c:v>61.9</c:v>
                </c:pt>
                <c:pt idx="2">
                  <c:v>56.385249999999999</c:v>
                </c:pt>
                <c:pt idx="3">
                  <c:v>24.386976875000009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05-45C7-818A-92940CB37A71}"/>
            </c:ext>
          </c:extLst>
        </c:ser>
        <c:ser>
          <c:idx val="7"/>
          <c:order val="7"/>
          <c:tx>
            <c:strRef>
              <c:f>大学１グラフ!$I$1</c:f>
              <c:strCache>
                <c:ptCount val="1"/>
                <c:pt idx="0">
                  <c:v>冊子購読料（千万円）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大学１グラフ!$A$2:$A$7</c:f>
              <c:strCache>
                <c:ptCount val="6"/>
                <c:pt idx="0">
                  <c:v>ビッグディール以前</c:v>
                </c:pt>
                <c:pt idx="1">
                  <c:v>ビッグディール導入/TAなし</c:v>
                </c:pt>
                <c:pt idx="2">
                  <c:v>TA3割</c:v>
                </c:pt>
                <c:pt idx="3">
                  <c:v>TA5割</c:v>
                </c:pt>
                <c:pt idx="4">
                  <c:v>TA7割</c:v>
                </c:pt>
                <c:pt idx="5">
                  <c:v>TA10割</c:v>
                </c:pt>
              </c:strCache>
            </c:strRef>
          </c:cat>
          <c:val>
            <c:numRef>
              <c:f>大学１グラフ!$I$2:$I$7</c:f>
              <c:numCache>
                <c:formatCode>0_ </c:formatCode>
                <c:ptCount val="6"/>
                <c:pt idx="0" formatCode="General">
                  <c:v>45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05-45C7-818A-92940CB3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163136"/>
        <c:axId val="2073167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大学１グラフ!$B$1</c15:sqref>
                        </c15:formulaRef>
                      </c:ext>
                    </c:extLst>
                    <c:strCache>
                      <c:ptCount val="1"/>
                      <c:pt idx="0">
                        <c:v>総論文数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大学１グラフ!$B$2:$B$7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 formatCode="General">
                        <c:v>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05-45C7-818A-92940CB37A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大学１グラフ!$D$1</c15:sqref>
                        </c15:formulaRef>
                      </c:ext>
                    </c:extLst>
                    <c:strCache>
                      <c:ptCount val="1"/>
                      <c:pt idx="0">
                        <c:v>APC研究者個人払い件数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大学１グラフ!$D$2:$D$7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 formatCode="General">
                        <c:v>0</c:v>
                      </c:pt>
                      <c:pt idx="1">
                        <c:v>1000</c:v>
                      </c:pt>
                      <c:pt idx="2">
                        <c:v>700</c:v>
                      </c:pt>
                      <c:pt idx="3">
                        <c:v>1000</c:v>
                      </c:pt>
                      <c:pt idx="4">
                        <c:v>700</c:v>
                      </c:pt>
                      <c:pt idx="5" formatCode="General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05-45C7-818A-92940CB37A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大学１グラフ!$E$1</c15:sqref>
                        </c15:formulaRef>
                      </c:ext>
                    </c:extLst>
                    <c:strCache>
                      <c:ptCount val="1"/>
                      <c:pt idx="0">
                        <c:v>TA件数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大学１グラフ!$E$2:$E$7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300</c:v>
                      </c:pt>
                      <c:pt idx="3">
                        <c:v>1000</c:v>
                      </c:pt>
                      <c:pt idx="4">
                        <c:v>2800</c:v>
                      </c:pt>
                      <c:pt idx="5" formatCode="General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05-45C7-818A-92940CB37A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大学１グラフ!$J$1</c15:sqref>
                        </c15:formulaRef>
                      </c:ext>
                    </c:extLst>
                    <c:strCache>
                      <c:ptCount val="1"/>
                      <c:pt idx="0">
                        <c:v>冊子購読タイトル数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大学１グラフ!$J$2:$J$7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 formatCode="General">
                        <c:v>1500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 formatCode="General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405-45C7-818A-92940CB37A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大学１グラフ!$K$1</c15:sqref>
                        </c15:formulaRef>
                      </c:ext>
                    </c:extLst>
                    <c:strCache>
                      <c:ptCount val="1"/>
                      <c:pt idx="0">
                        <c:v>出版社収入（大学支出）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大学１グラフ!$K$2:$K$7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 formatCode="General">
                        <c:v>45</c:v>
                      </c:pt>
                      <c:pt idx="1">
                        <c:v>84.9</c:v>
                      </c:pt>
                      <c:pt idx="2">
                        <c:v>85.50524999999999</c:v>
                      </c:pt>
                      <c:pt idx="3">
                        <c:v>95.612416875000008</c:v>
                      </c:pt>
                      <c:pt idx="4">
                        <c:v>166.09291432000003</c:v>
                      </c:pt>
                      <c:pt idx="5" formatCode="General">
                        <c:v>225.78492096112001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405-45C7-818A-92940CB37A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大学１グラフ!$L$1</c15:sqref>
                        </c15:formulaRef>
                      </c:ext>
                    </c:extLst>
                    <c:strCache>
                      <c:ptCount val="1"/>
                      <c:pt idx="0">
                        <c:v>図書館支出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大学１グラフ!$A$2:$A$7</c15:sqref>
                        </c15:formulaRef>
                      </c:ext>
                    </c:extLst>
                    <c:strCache>
                      <c:ptCount val="6"/>
                      <c:pt idx="0">
                        <c:v>ビッグディール以前</c:v>
                      </c:pt>
                      <c:pt idx="1">
                        <c:v>ビッグディール導入/TAなし</c:v>
                      </c:pt>
                      <c:pt idx="2">
                        <c:v>TA3割</c:v>
                      </c:pt>
                      <c:pt idx="3">
                        <c:v>TA5割</c:v>
                      </c:pt>
                      <c:pt idx="4">
                        <c:v>TA7割</c:v>
                      </c:pt>
                      <c:pt idx="5">
                        <c:v>TA10割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大学１グラフ!$L$2:$L$7</c15:sqref>
                        </c15:formulaRef>
                      </c:ext>
                    </c:extLst>
                    <c:numCache>
                      <c:formatCode>0_ </c:formatCode>
                      <c:ptCount val="6"/>
                      <c:pt idx="0" formatCode="General">
                        <c:v>45</c:v>
                      </c:pt>
                      <c:pt idx="1">
                        <c:v>64.900000000000006</c:v>
                      </c:pt>
                      <c:pt idx="2">
                        <c:v>67.221249999999998</c:v>
                      </c:pt>
                      <c:pt idx="3">
                        <c:v>61.499696875000005</c:v>
                      </c:pt>
                      <c:pt idx="4">
                        <c:v>133.47433145600002</c:v>
                      </c:pt>
                      <c:pt idx="5" formatCode="General">
                        <c:v>225.78492096112001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405-45C7-818A-92940CB37A7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大学１グラフ!$C$1</c:f>
              <c:strCache>
                <c:ptCount val="1"/>
                <c:pt idx="0">
                  <c:v>APC件数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大学１グラフ!$A$2:$A$7</c:f>
              <c:strCache>
                <c:ptCount val="6"/>
                <c:pt idx="0">
                  <c:v>ビッグディール以前</c:v>
                </c:pt>
                <c:pt idx="1">
                  <c:v>ビッグディール導入/TAなし</c:v>
                </c:pt>
                <c:pt idx="2">
                  <c:v>TA3割</c:v>
                </c:pt>
                <c:pt idx="3">
                  <c:v>TA5割</c:v>
                </c:pt>
                <c:pt idx="4">
                  <c:v>TA7割</c:v>
                </c:pt>
                <c:pt idx="5">
                  <c:v>TA10割</c:v>
                </c:pt>
              </c:strCache>
            </c:strRef>
          </c:cat>
          <c:val>
            <c:numRef>
              <c:f>大学１グラフ!$C$2:$C$7</c:f>
              <c:numCache>
                <c:formatCode>0_ 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3500</c:v>
                </c:pt>
                <c:pt idx="5" formatCode="General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5-45C7-818A-92940CB3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10832"/>
        <c:axId val="453700016"/>
      </c:lineChart>
      <c:catAx>
        <c:axId val="20731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167712"/>
        <c:crosses val="autoZero"/>
        <c:auto val="1"/>
        <c:lblAlgn val="ctr"/>
        <c:lblOffset val="100"/>
        <c:noMultiLvlLbl val="0"/>
      </c:catAx>
      <c:valAx>
        <c:axId val="20731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金額（千万円</a:t>
                </a:r>
                <a:r>
                  <a:rPr lang="en-US" altLang="ja-JP" sz="800"/>
                  <a:t>,</a:t>
                </a:r>
              </a:p>
              <a:p>
                <a:pPr>
                  <a:defRPr/>
                </a:pPr>
                <a:r>
                  <a:rPr lang="ja-JP" altLang="en-US" sz="800"/>
                  <a:t>左軸）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7.52250098292369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163136"/>
        <c:crosses val="autoZero"/>
        <c:crossBetween val="between"/>
      </c:valAx>
      <c:valAx>
        <c:axId val="45370001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800"/>
                  <a:t>APC</a:t>
                </a:r>
                <a:r>
                  <a:rPr lang="ja-JP" altLang="en-US" sz="800"/>
                  <a:t>件数</a:t>
                </a:r>
                <a:endParaRPr lang="en-US" altLang="ja-JP" sz="800"/>
              </a:p>
              <a:p>
                <a:pPr>
                  <a:defRPr/>
                </a:pPr>
                <a:r>
                  <a:rPr lang="ja-JP" altLang="en-US" sz="800"/>
                  <a:t>（折れ線</a:t>
                </a:r>
                <a:r>
                  <a:rPr lang="en-US" altLang="ja-JP" sz="800"/>
                  <a:t>,</a:t>
                </a:r>
                <a:r>
                  <a:rPr lang="ja-JP" altLang="en-US" sz="800"/>
                  <a:t>右軸）</a:t>
                </a:r>
              </a:p>
            </c:rich>
          </c:tx>
          <c:layout>
            <c:manualLayout>
              <c:xMode val="edge"/>
              <c:yMode val="edge"/>
              <c:x val="0.76463888888888887"/>
              <c:y val="4.43883026767403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710832"/>
        <c:crosses val="max"/>
        <c:crossBetween val="between"/>
      </c:valAx>
      <c:catAx>
        <c:axId val="4537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700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204068241469832E-2"/>
          <c:y val="0.64321623258631133"/>
          <c:w val="0.93825853018372707"/>
          <c:h val="0.33654085243393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45720</xdr:rowOff>
    </xdr:from>
    <xdr:to>
      <xdr:col>25</xdr:col>
      <xdr:colOff>205740</xdr:colOff>
      <xdr:row>6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opLeftCell="AF1" zoomScale="70" zoomScaleNormal="70" workbookViewId="0">
      <selection activeCell="BO15" sqref="BO15"/>
    </sheetView>
  </sheetViews>
  <sheetFormatPr defaultColWidth="5.69921875" defaultRowHeight="18" x14ac:dyDescent="0.45"/>
  <cols>
    <col min="1" max="1" width="6.5" customWidth="1"/>
    <col min="2" max="6" width="8.19921875" customWidth="1"/>
    <col min="13" max="13" width="9.3984375" bestFit="1" customWidth="1"/>
    <col min="14" max="14" width="6.8984375" bestFit="1" customWidth="1"/>
    <col min="15" max="15" width="7.19921875" bestFit="1" customWidth="1"/>
    <col min="16" max="16" width="6.5" customWidth="1"/>
    <col min="17" max="17" width="6.09765625" bestFit="1" customWidth="1"/>
    <col min="20" max="20" width="6.69921875" bestFit="1" customWidth="1"/>
    <col min="24" max="24" width="8.09765625" bestFit="1" customWidth="1"/>
    <col min="25" max="25" width="6" customWidth="1"/>
    <col min="26" max="26" width="6.8984375" bestFit="1" customWidth="1"/>
    <col min="36" max="36" width="10.09765625" bestFit="1" customWidth="1"/>
    <col min="37" max="37" width="6.09765625" bestFit="1" customWidth="1"/>
    <col min="38" max="38" width="6.8984375" bestFit="1" customWidth="1"/>
    <col min="48" max="48" width="8.59765625" customWidth="1"/>
    <col min="49" max="49" width="7.796875" customWidth="1"/>
    <col min="50" max="50" width="6.8984375" bestFit="1" customWidth="1"/>
    <col min="60" max="60" width="8.59765625" customWidth="1"/>
    <col min="61" max="61" width="7.796875" customWidth="1"/>
    <col min="62" max="62" width="6.8984375" bestFit="1" customWidth="1"/>
  </cols>
  <sheetData>
    <row r="1" spans="1:66" ht="90" customHeight="1" x14ac:dyDescent="0.45">
      <c r="I1" s="2" t="s">
        <v>43</v>
      </c>
      <c r="J1" s="32" t="s">
        <v>42</v>
      </c>
      <c r="K1" s="33"/>
      <c r="L1" s="36" t="s">
        <v>45</v>
      </c>
      <c r="M1" s="35"/>
      <c r="N1" s="2" t="s">
        <v>41</v>
      </c>
      <c r="P1" t="s">
        <v>55</v>
      </c>
      <c r="U1" s="2" t="s">
        <v>43</v>
      </c>
      <c r="V1" s="32" t="s">
        <v>42</v>
      </c>
      <c r="W1" s="33"/>
      <c r="X1" s="2" t="s">
        <v>45</v>
      </c>
      <c r="Y1" s="38" t="s">
        <v>46</v>
      </c>
      <c r="Z1" s="2" t="s">
        <v>47</v>
      </c>
      <c r="AB1" t="s">
        <v>54</v>
      </c>
      <c r="AG1" s="2" t="s">
        <v>43</v>
      </c>
      <c r="AH1" s="32" t="s">
        <v>42</v>
      </c>
      <c r="AI1" s="33"/>
      <c r="AJ1" s="2" t="s">
        <v>45</v>
      </c>
      <c r="AK1" s="38" t="s">
        <v>46</v>
      </c>
      <c r="AL1" s="2" t="s">
        <v>44</v>
      </c>
      <c r="AN1" t="s">
        <v>54</v>
      </c>
      <c r="AS1" s="2" t="s">
        <v>43</v>
      </c>
      <c r="AT1" s="32" t="s">
        <v>42</v>
      </c>
      <c r="AU1" s="33"/>
      <c r="AV1" s="2" t="s">
        <v>45</v>
      </c>
      <c r="AW1" s="38" t="s">
        <v>46</v>
      </c>
      <c r="AX1" s="2" t="s">
        <v>44</v>
      </c>
      <c r="AZ1" t="s">
        <v>54</v>
      </c>
      <c r="BE1" s="2" t="s">
        <v>43</v>
      </c>
      <c r="BF1" s="32" t="s">
        <v>42</v>
      </c>
      <c r="BG1" s="33"/>
      <c r="BH1" s="2" t="s">
        <v>45</v>
      </c>
      <c r="BI1" s="38" t="s">
        <v>46</v>
      </c>
      <c r="BJ1" s="2" t="s">
        <v>44</v>
      </c>
      <c r="BL1" t="s">
        <v>54</v>
      </c>
    </row>
    <row r="2" spans="1:66" s="1" customFormat="1" ht="18.600000000000001" thickBot="1" x14ac:dyDescent="0.5">
      <c r="A2" s="8" t="s">
        <v>16</v>
      </c>
      <c r="B2" s="2">
        <v>0.03</v>
      </c>
      <c r="C2" s="2"/>
      <c r="D2" s="2"/>
      <c r="E2" s="2"/>
      <c r="F2" s="9"/>
      <c r="H2" s="16"/>
      <c r="I2" s="17">
        <v>0.2</v>
      </c>
      <c r="J2" s="17">
        <v>1</v>
      </c>
      <c r="K2" s="17">
        <v>0</v>
      </c>
      <c r="L2" s="37">
        <v>0.02</v>
      </c>
      <c r="M2" s="37"/>
      <c r="N2" s="17">
        <v>1.375</v>
      </c>
      <c r="O2" s="17"/>
      <c r="P2" s="17">
        <v>6.7000000000000004E-2</v>
      </c>
      <c r="Q2" s="17"/>
      <c r="R2" s="18"/>
      <c r="T2" s="16"/>
      <c r="U2" s="17">
        <v>0.2</v>
      </c>
      <c r="V2" s="17">
        <v>0.7</v>
      </c>
      <c r="W2" s="17">
        <v>0.3</v>
      </c>
      <c r="X2" s="39">
        <f>L2*1.306</f>
        <v>2.6120000000000001E-2</v>
      </c>
      <c r="Y2" s="39">
        <f>((N14-Z14)/U14*10)+1</f>
        <v>1.041132585669782</v>
      </c>
      <c r="Z2" s="17">
        <v>1.0375000000000001</v>
      </c>
      <c r="AA2" s="17"/>
      <c r="AB2" s="17">
        <v>6.7000000000000004E-2</v>
      </c>
      <c r="AC2" s="17"/>
      <c r="AD2" s="18"/>
      <c r="AF2" s="16"/>
      <c r="AG2" s="17">
        <v>0.4</v>
      </c>
      <c r="AH2" s="17">
        <v>0.5</v>
      </c>
      <c r="AI2" s="17">
        <f>1-AH2</f>
        <v>0.5</v>
      </c>
      <c r="AJ2" s="39">
        <f>X2*1.306</f>
        <v>3.4112719999999999E-2</v>
      </c>
      <c r="AK2" s="39">
        <f>((Z14-AL14)/AG14*10)+1</f>
        <v>1.1493508842592592</v>
      </c>
      <c r="AL2" s="17">
        <v>1.0375000000000001</v>
      </c>
      <c r="AM2" s="17"/>
      <c r="AN2" s="17">
        <v>6.7000000000000004E-2</v>
      </c>
      <c r="AO2" s="17"/>
      <c r="AP2" s="18"/>
      <c r="AR2" s="16"/>
      <c r="AS2" s="17">
        <v>0.7</v>
      </c>
      <c r="AT2" s="17">
        <v>0.2</v>
      </c>
      <c r="AU2" s="17">
        <f>1-AT2</f>
        <v>0.8</v>
      </c>
      <c r="AV2" s="39">
        <f>AJ2*1.366</f>
        <v>4.6597975520000001E-2</v>
      </c>
      <c r="AW2" s="39">
        <f>((AL14-AX14)/AS14*10)+1</f>
        <v>1.1507719353905004</v>
      </c>
      <c r="AX2" s="17">
        <v>1.0375000000000001</v>
      </c>
      <c r="AY2" s="17"/>
      <c r="AZ2" s="17">
        <v>6.7000000000000004E-2</v>
      </c>
      <c r="BA2" s="17"/>
      <c r="BB2" s="18"/>
      <c r="BD2" s="16"/>
      <c r="BE2" s="17">
        <v>0.7</v>
      </c>
      <c r="BF2" s="17">
        <v>0</v>
      </c>
      <c r="BG2" s="17">
        <f>1-BF2</f>
        <v>1</v>
      </c>
      <c r="BH2" s="39">
        <f>AV2*1.366</f>
        <v>6.3652834560320004E-2</v>
      </c>
      <c r="BI2" s="39">
        <f>((AX14-BJ14)/BE14*10)+1</f>
        <v>1.0320183628136277</v>
      </c>
      <c r="BJ2" s="17">
        <v>1.0375000000000001</v>
      </c>
      <c r="BK2" s="17"/>
      <c r="BL2" s="17">
        <v>6.7000000000000004E-2</v>
      </c>
      <c r="BM2" s="17"/>
      <c r="BN2" s="18"/>
    </row>
    <row r="3" spans="1:66" s="1" customFormat="1" ht="102" customHeight="1" thickBot="1" x14ac:dyDescent="0.5">
      <c r="A3" s="5"/>
      <c r="B3" s="6" t="s">
        <v>14</v>
      </c>
      <c r="C3" s="6" t="s">
        <v>11</v>
      </c>
      <c r="D3" s="6" t="s">
        <v>33</v>
      </c>
      <c r="E3" s="6" t="s">
        <v>12</v>
      </c>
      <c r="F3" s="7" t="s">
        <v>38</v>
      </c>
      <c r="H3" s="5" t="s">
        <v>23</v>
      </c>
      <c r="I3" s="6" t="s">
        <v>25</v>
      </c>
      <c r="J3" s="6" t="s">
        <v>26</v>
      </c>
      <c r="K3" s="6" t="s">
        <v>18</v>
      </c>
      <c r="L3" s="6" t="s">
        <v>27</v>
      </c>
      <c r="M3" s="6" t="s">
        <v>28</v>
      </c>
      <c r="N3" s="6" t="s">
        <v>39</v>
      </c>
      <c r="O3" s="6" t="s">
        <v>40</v>
      </c>
      <c r="P3" s="6" t="s">
        <v>11</v>
      </c>
      <c r="Q3" s="6" t="s">
        <v>15</v>
      </c>
      <c r="R3" s="7" t="s">
        <v>21</v>
      </c>
      <c r="T3" s="5" t="s">
        <v>23</v>
      </c>
      <c r="U3" s="6" t="s">
        <v>25</v>
      </c>
      <c r="V3" s="6" t="s">
        <v>26</v>
      </c>
      <c r="W3" s="6" t="s">
        <v>18</v>
      </c>
      <c r="X3" s="6" t="s">
        <v>27</v>
      </c>
      <c r="Y3" s="6" t="s">
        <v>28</v>
      </c>
      <c r="Z3" s="6" t="s">
        <v>24</v>
      </c>
      <c r="AA3" s="6" t="s">
        <v>40</v>
      </c>
      <c r="AB3" s="6" t="s">
        <v>11</v>
      </c>
      <c r="AC3" s="6" t="s">
        <v>15</v>
      </c>
      <c r="AD3" s="7" t="s">
        <v>21</v>
      </c>
      <c r="AF3" s="5" t="s">
        <v>23</v>
      </c>
      <c r="AG3" s="6" t="s">
        <v>25</v>
      </c>
      <c r="AH3" s="6" t="s">
        <v>26</v>
      </c>
      <c r="AI3" s="6" t="s">
        <v>18</v>
      </c>
      <c r="AJ3" s="6" t="s">
        <v>27</v>
      </c>
      <c r="AK3" s="6" t="s">
        <v>28</v>
      </c>
      <c r="AL3" s="6" t="s">
        <v>24</v>
      </c>
      <c r="AM3" s="6" t="s">
        <v>40</v>
      </c>
      <c r="AN3" s="6" t="s">
        <v>11</v>
      </c>
      <c r="AO3" s="6" t="s">
        <v>15</v>
      </c>
      <c r="AP3" s="7" t="s">
        <v>21</v>
      </c>
      <c r="AR3" s="5" t="s">
        <v>23</v>
      </c>
      <c r="AS3" s="6" t="s">
        <v>25</v>
      </c>
      <c r="AT3" s="6" t="s">
        <v>26</v>
      </c>
      <c r="AU3" s="6" t="s">
        <v>18</v>
      </c>
      <c r="AV3" s="6" t="s">
        <v>27</v>
      </c>
      <c r="AW3" s="6" t="s">
        <v>28</v>
      </c>
      <c r="AX3" s="6" t="s">
        <v>24</v>
      </c>
      <c r="AY3" s="6" t="s">
        <v>40</v>
      </c>
      <c r="AZ3" s="6" t="s">
        <v>11</v>
      </c>
      <c r="BA3" s="6" t="s">
        <v>15</v>
      </c>
      <c r="BB3" s="7" t="s">
        <v>21</v>
      </c>
      <c r="BD3" s="5" t="s">
        <v>23</v>
      </c>
      <c r="BE3" s="6" t="s">
        <v>25</v>
      </c>
      <c r="BF3" s="6" t="s">
        <v>26</v>
      </c>
      <c r="BG3" s="6" t="s">
        <v>18</v>
      </c>
      <c r="BH3" s="6" t="s">
        <v>27</v>
      </c>
      <c r="BI3" s="6" t="s">
        <v>28</v>
      </c>
      <c r="BJ3" s="6" t="s">
        <v>24</v>
      </c>
      <c r="BK3" s="6" t="s">
        <v>40</v>
      </c>
      <c r="BL3" s="6" t="s">
        <v>11</v>
      </c>
      <c r="BM3" s="6" t="s">
        <v>15</v>
      </c>
      <c r="BN3" s="7" t="s">
        <v>21</v>
      </c>
    </row>
    <row r="4" spans="1:66" x14ac:dyDescent="0.45">
      <c r="A4" s="10" t="s">
        <v>0</v>
      </c>
      <c r="B4" s="4">
        <f>C4*B$2</f>
        <v>45</v>
      </c>
      <c r="C4" s="4">
        <v>1500</v>
      </c>
      <c r="D4" s="4">
        <f>1500-C4</f>
        <v>0</v>
      </c>
      <c r="E4" s="4">
        <f>D4</f>
        <v>0</v>
      </c>
      <c r="F4" s="11">
        <f>B4</f>
        <v>45</v>
      </c>
      <c r="H4" s="19">
        <v>5000</v>
      </c>
      <c r="I4" s="20">
        <f>H4*I$2</f>
        <v>1000</v>
      </c>
      <c r="J4" s="20">
        <f>I4*J$2</f>
        <v>1000</v>
      </c>
      <c r="K4" s="20">
        <f>I4*K$2</f>
        <v>0</v>
      </c>
      <c r="L4" s="20">
        <f>J4*L$2</f>
        <v>20</v>
      </c>
      <c r="M4" s="20">
        <f>K4*L$2</f>
        <v>0</v>
      </c>
      <c r="N4" s="20">
        <f t="shared" ref="N4:N12" si="0">ROUNDUP($B4*N$2,1)</f>
        <v>61.9</v>
      </c>
      <c r="O4" s="20">
        <f>B4/C4*P4</f>
        <v>3</v>
      </c>
      <c r="P4" s="20">
        <f>ROUNDDOWN(C4*P$2,0)</f>
        <v>100</v>
      </c>
      <c r="Q4" s="20">
        <f t="shared" ref="Q4:Q14" si="1">L4+N4+O4</f>
        <v>84.9</v>
      </c>
      <c r="R4" s="21">
        <f t="shared" ref="R4:R14" si="2">M4+N4+O4</f>
        <v>64.900000000000006</v>
      </c>
      <c r="T4" s="19">
        <v>5000</v>
      </c>
      <c r="U4" s="20">
        <f>T4*U$2</f>
        <v>1000</v>
      </c>
      <c r="V4" s="20">
        <f>U4*V$2</f>
        <v>700</v>
      </c>
      <c r="W4" s="20">
        <f>U4*W$2</f>
        <v>300</v>
      </c>
      <c r="X4" s="20">
        <f>V4*X$2</f>
        <v>18.283999999999999</v>
      </c>
      <c r="Y4" s="20">
        <f>W4*X$2</f>
        <v>7.8360000000000003</v>
      </c>
      <c r="Z4" s="20">
        <f>$N4*Z$2-Y4</f>
        <v>56.385249999999999</v>
      </c>
      <c r="AA4" s="20">
        <f>O4</f>
        <v>3</v>
      </c>
      <c r="AB4" s="20">
        <f>P4</f>
        <v>100</v>
      </c>
      <c r="AC4" s="20">
        <f t="shared" ref="AC4:AC14" si="3">X4+Y4+Z4+AA4</f>
        <v>85.50524999999999</v>
      </c>
      <c r="AD4" s="21">
        <f t="shared" ref="AD4:AD14" si="4">Y4+Z4+AA4</f>
        <v>67.221249999999998</v>
      </c>
      <c r="AF4" s="19">
        <v>5000</v>
      </c>
      <c r="AG4" s="20">
        <f>AF4*AG$2</f>
        <v>2000</v>
      </c>
      <c r="AH4" s="20">
        <f>AG4*AH$2</f>
        <v>1000</v>
      </c>
      <c r="AI4" s="20">
        <f>AG4*AI$2</f>
        <v>1000</v>
      </c>
      <c r="AJ4" s="20">
        <f>AH4*AJ$2</f>
        <v>34.112719999999996</v>
      </c>
      <c r="AK4" s="20">
        <f>AI4*AJ$2</f>
        <v>34.112719999999996</v>
      </c>
      <c r="AL4" s="20">
        <f>$Z4*AL$2-AK4</f>
        <v>24.386976875000009</v>
      </c>
      <c r="AM4" s="20">
        <f>AA4</f>
        <v>3</v>
      </c>
      <c r="AN4" s="20">
        <f>AB4</f>
        <v>100</v>
      </c>
      <c r="AO4" s="20">
        <f t="shared" ref="AO4:AO14" si="5">AJ4+AK4+AL4+AM4</f>
        <v>95.612416875000008</v>
      </c>
      <c r="AP4" s="21">
        <f t="shared" ref="AP4:AP14" si="6">AK4+AL4+AM4</f>
        <v>61.499696875000005</v>
      </c>
      <c r="AR4" s="19">
        <v>5000</v>
      </c>
      <c r="AS4" s="20">
        <f>AR4*AS$2</f>
        <v>3500</v>
      </c>
      <c r="AT4" s="20">
        <f>AS4*AT$2</f>
        <v>700</v>
      </c>
      <c r="AU4" s="20">
        <f>AS4*AU$2</f>
        <v>2800</v>
      </c>
      <c r="AV4" s="20">
        <f>AT4*AV$2</f>
        <v>32.618582864000004</v>
      </c>
      <c r="AW4" s="20">
        <f>AU4*AV$2</f>
        <v>130.47433145600002</v>
      </c>
      <c r="AX4" s="20">
        <f>IF($AL4*AX$2-AW4&lt;0,0,$AL4*AX$2-AW4)</f>
        <v>0</v>
      </c>
      <c r="AY4" s="20">
        <f>AM4</f>
        <v>3</v>
      </c>
      <c r="AZ4" s="20">
        <f>AN4</f>
        <v>100</v>
      </c>
      <c r="BA4" s="20">
        <f t="shared" ref="BA4:BA14" si="7">AV4+AW4+AX4+AY4</f>
        <v>166.09291432000003</v>
      </c>
      <c r="BB4" s="21">
        <f t="shared" ref="BB4:BB14" si="8">AW4+AX4+AY4</f>
        <v>133.47433145600002</v>
      </c>
      <c r="BD4" s="19">
        <v>5000</v>
      </c>
      <c r="BE4" s="20">
        <f>BD4*BE$2</f>
        <v>3500</v>
      </c>
      <c r="BF4" s="20">
        <f>BE4*BF$2</f>
        <v>0</v>
      </c>
      <c r="BG4" s="20">
        <f>BE4*BG$2</f>
        <v>3500</v>
      </c>
      <c r="BH4" s="20">
        <f>BF4*BH$2</f>
        <v>0</v>
      </c>
      <c r="BI4" s="20">
        <f>BG4*BH$2</f>
        <v>222.78492096112001</v>
      </c>
      <c r="BJ4" s="20">
        <f>IF($AL4*BJ$2-BI4&lt;0,0,$AL4*BJ$2-BI4)</f>
        <v>0</v>
      </c>
      <c r="BK4" s="20">
        <f>AY4</f>
        <v>3</v>
      </c>
      <c r="BL4" s="20">
        <f>AZ4</f>
        <v>100</v>
      </c>
      <c r="BM4" s="20">
        <f t="shared" ref="BM4:BM14" si="9">BH4+BI4+BJ4+BK4</f>
        <v>225.78492096112001</v>
      </c>
      <c r="BN4" s="21">
        <f t="shared" ref="BN4:BN14" si="10">BI4+BJ4+BK4</f>
        <v>225.78492096112001</v>
      </c>
    </row>
    <row r="5" spans="1:66" x14ac:dyDescent="0.45">
      <c r="A5" s="10" t="s">
        <v>1</v>
      </c>
      <c r="B5" s="4">
        <f>C5*B$2</f>
        <v>42</v>
      </c>
      <c r="C5" s="4">
        <f>C4-100</f>
        <v>1400</v>
      </c>
      <c r="D5" s="4">
        <f t="shared" ref="D5:D13" si="11">1500-C5</f>
        <v>100</v>
      </c>
      <c r="E5" s="4">
        <f t="shared" ref="E5:E13" si="12">D5</f>
        <v>100</v>
      </c>
      <c r="F5" s="11">
        <f t="shared" ref="F5:F13" si="13">B5</f>
        <v>42</v>
      </c>
      <c r="H5" s="12">
        <f>H4-1000</f>
        <v>4000</v>
      </c>
      <c r="I5" s="4">
        <f>I4-150</f>
        <v>850</v>
      </c>
      <c r="J5" s="4">
        <f>I5*J$2</f>
        <v>850</v>
      </c>
      <c r="K5" s="4">
        <f>I5*K$2</f>
        <v>0</v>
      </c>
      <c r="L5" s="4">
        <f t="shared" ref="L5:L13" si="14">J5*L$2</f>
        <v>17</v>
      </c>
      <c r="M5" s="4">
        <f t="shared" ref="M5:M13" si="15">K5*L$2</f>
        <v>0</v>
      </c>
      <c r="N5" s="4">
        <f t="shared" si="0"/>
        <v>57.800000000000004</v>
      </c>
      <c r="O5" s="4">
        <f t="shared" ref="O5:O13" si="16">B5/C5*P5</f>
        <v>2.79</v>
      </c>
      <c r="P5" s="4">
        <f t="shared" ref="P5:P13" si="17">ROUNDDOWN(C5*P$2,0)</f>
        <v>93</v>
      </c>
      <c r="Q5" s="4">
        <f t="shared" si="1"/>
        <v>77.590000000000018</v>
      </c>
      <c r="R5" s="11">
        <f t="shared" si="2"/>
        <v>60.59</v>
      </c>
      <c r="T5" s="12">
        <f>T4-1000</f>
        <v>4000</v>
      </c>
      <c r="U5" s="4">
        <f>U4-150</f>
        <v>850</v>
      </c>
      <c r="V5" s="4">
        <f>U5*V$2</f>
        <v>595</v>
      </c>
      <c r="W5" s="4">
        <f>U5*W$2</f>
        <v>255</v>
      </c>
      <c r="X5" s="4">
        <f t="shared" ref="X5:X13" si="18">V5*X$2</f>
        <v>15.541400000000001</v>
      </c>
      <c r="Y5" s="4">
        <f t="shared" ref="Y5:Y13" si="19">W5*X$2</f>
        <v>6.6606000000000005</v>
      </c>
      <c r="Z5" s="4">
        <f>$N5*Z$2-Y5</f>
        <v>53.306900000000006</v>
      </c>
      <c r="AA5" s="4">
        <f t="shared" ref="AA5:AA13" si="20">O5</f>
        <v>2.79</v>
      </c>
      <c r="AB5" s="4">
        <f t="shared" ref="AB5:AB13" si="21">P5</f>
        <v>93</v>
      </c>
      <c r="AC5" s="4">
        <f t="shared" si="3"/>
        <v>78.298900000000017</v>
      </c>
      <c r="AD5" s="11">
        <f t="shared" si="4"/>
        <v>62.757500000000007</v>
      </c>
      <c r="AF5" s="12">
        <f>AF4-1000</f>
        <v>4000</v>
      </c>
      <c r="AG5" s="4">
        <f>AF5*AG$2</f>
        <v>1600</v>
      </c>
      <c r="AH5" s="4">
        <f>AG5*AH$2</f>
        <v>800</v>
      </c>
      <c r="AI5" s="4">
        <f>AG5*AI$2</f>
        <v>800</v>
      </c>
      <c r="AJ5" s="4">
        <f t="shared" ref="AJ5:AJ13" si="22">AH5*AJ$2</f>
        <v>27.290175999999999</v>
      </c>
      <c r="AK5" s="4">
        <f t="shared" ref="AK5:AK13" si="23">AI5*AJ$2</f>
        <v>27.290175999999999</v>
      </c>
      <c r="AL5" s="4">
        <f>$Z5*AL$2-AK5</f>
        <v>28.015732750000009</v>
      </c>
      <c r="AM5" s="4">
        <f t="shared" ref="AM5:AM13" si="24">AA5</f>
        <v>2.79</v>
      </c>
      <c r="AN5" s="4">
        <f t="shared" ref="AN5:AN13" si="25">AB5</f>
        <v>93</v>
      </c>
      <c r="AO5" s="4">
        <f t="shared" si="5"/>
        <v>85.386084750000009</v>
      </c>
      <c r="AP5" s="11">
        <f t="shared" si="6"/>
        <v>58.095908750000007</v>
      </c>
      <c r="AR5" s="12">
        <f>AR4-1000</f>
        <v>4000</v>
      </c>
      <c r="AS5" s="4">
        <f>AR5*AS$2</f>
        <v>2800</v>
      </c>
      <c r="AT5" s="4">
        <f>AS5*AT$2</f>
        <v>560</v>
      </c>
      <c r="AU5" s="4">
        <f>AS5*AU$2</f>
        <v>2240</v>
      </c>
      <c r="AV5" s="4">
        <f t="shared" ref="AV5:AV13" si="26">AT5*AV$2</f>
        <v>26.094866291199999</v>
      </c>
      <c r="AW5" s="4">
        <f t="shared" ref="AW5:AW13" si="27">AU5*AV$2</f>
        <v>104.3794651648</v>
      </c>
      <c r="AX5" s="4">
        <f t="shared" ref="AX5:AX13" si="28">IF($AL5*AX$2-AW5&lt;0,0,$AL5*AX$2-AW5)</f>
        <v>0</v>
      </c>
      <c r="AY5" s="4">
        <f t="shared" ref="AY5:AY13" si="29">AM5</f>
        <v>2.79</v>
      </c>
      <c r="AZ5" s="4">
        <f t="shared" ref="AZ5:AZ13" si="30">AN5</f>
        <v>93</v>
      </c>
      <c r="BA5" s="4">
        <f t="shared" si="7"/>
        <v>133.26433145599998</v>
      </c>
      <c r="BB5" s="11">
        <f t="shared" si="8"/>
        <v>107.1694651648</v>
      </c>
      <c r="BD5" s="12">
        <f>BD4-1000</f>
        <v>4000</v>
      </c>
      <c r="BE5" s="4">
        <f>BD5*BE$2</f>
        <v>2800</v>
      </c>
      <c r="BF5" s="4">
        <f>BE5*BF$2</f>
        <v>0</v>
      </c>
      <c r="BG5" s="4">
        <f>BE5*BG$2</f>
        <v>2800</v>
      </c>
      <c r="BH5" s="4">
        <f t="shared" ref="BH5:BH13" si="31">BF5*BH$2</f>
        <v>0</v>
      </c>
      <c r="BI5" s="4">
        <f t="shared" ref="BI5:BI13" si="32">BG5*BH$2</f>
        <v>178.227936768896</v>
      </c>
      <c r="BJ5" s="4">
        <f t="shared" ref="BJ5:BJ13" si="33">IF($AL5*BJ$2-BI5&lt;0,0,$AL5*BJ$2-BI5)</f>
        <v>0</v>
      </c>
      <c r="BK5" s="4">
        <f t="shared" ref="BK5:BK13" si="34">AY5</f>
        <v>2.79</v>
      </c>
      <c r="BL5" s="4">
        <f t="shared" ref="BL5:BL13" si="35">AZ5</f>
        <v>93</v>
      </c>
      <c r="BM5" s="4">
        <f t="shared" si="9"/>
        <v>181.01793676889599</v>
      </c>
      <c r="BN5" s="11">
        <f t="shared" si="10"/>
        <v>181.01793676889599</v>
      </c>
    </row>
    <row r="6" spans="1:66" x14ac:dyDescent="0.45">
      <c r="A6" s="10" t="s">
        <v>2</v>
      </c>
      <c r="B6" s="4">
        <f>C6*B$2</f>
        <v>39</v>
      </c>
      <c r="C6" s="4">
        <f t="shared" ref="C6:C11" si="36">C5-100</f>
        <v>1300</v>
      </c>
      <c r="D6" s="4">
        <f t="shared" si="11"/>
        <v>200</v>
      </c>
      <c r="E6" s="4">
        <f t="shared" si="12"/>
        <v>200</v>
      </c>
      <c r="F6" s="11">
        <f t="shared" si="13"/>
        <v>39</v>
      </c>
      <c r="H6" s="12">
        <f t="shared" ref="H6:H8" si="37">H5-1000</f>
        <v>3000</v>
      </c>
      <c r="I6" s="4">
        <f t="shared" ref="I6:I10" si="38">I5-150</f>
        <v>700</v>
      </c>
      <c r="J6" s="4">
        <f>I6*J$2</f>
        <v>700</v>
      </c>
      <c r="K6" s="4">
        <f>I6*K$2</f>
        <v>0</v>
      </c>
      <c r="L6" s="4">
        <f t="shared" si="14"/>
        <v>14</v>
      </c>
      <c r="M6" s="4">
        <f t="shared" si="15"/>
        <v>0</v>
      </c>
      <c r="N6" s="4">
        <f t="shared" si="0"/>
        <v>53.7</v>
      </c>
      <c r="O6" s="4">
        <f t="shared" si="16"/>
        <v>2.61</v>
      </c>
      <c r="P6" s="4">
        <f t="shared" si="17"/>
        <v>87</v>
      </c>
      <c r="Q6" s="4">
        <f t="shared" si="1"/>
        <v>70.31</v>
      </c>
      <c r="R6" s="11">
        <f t="shared" si="2"/>
        <v>56.31</v>
      </c>
      <c r="T6" s="12">
        <f t="shared" ref="T6:T8" si="39">T5-1000</f>
        <v>3000</v>
      </c>
      <c r="U6" s="4">
        <f t="shared" ref="U6:U10" si="40">U5-150</f>
        <v>700</v>
      </c>
      <c r="V6" s="4">
        <f>U6*V$2</f>
        <v>489.99999999999994</v>
      </c>
      <c r="W6" s="4">
        <f>U6*W$2</f>
        <v>210</v>
      </c>
      <c r="X6" s="4">
        <f t="shared" si="18"/>
        <v>12.798799999999998</v>
      </c>
      <c r="Y6" s="4">
        <f t="shared" si="19"/>
        <v>5.4851999999999999</v>
      </c>
      <c r="Z6" s="4">
        <f>$N6*Z$2-Y6</f>
        <v>50.228550000000006</v>
      </c>
      <c r="AA6" s="4">
        <f t="shared" si="20"/>
        <v>2.61</v>
      </c>
      <c r="AB6" s="4">
        <f t="shared" si="21"/>
        <v>87</v>
      </c>
      <c r="AC6" s="4">
        <f t="shared" si="3"/>
        <v>71.122550000000004</v>
      </c>
      <c r="AD6" s="11">
        <f t="shared" si="4"/>
        <v>58.323750000000004</v>
      </c>
      <c r="AF6" s="12">
        <f t="shared" ref="AF6:AF8" si="41">AF5-1000</f>
        <v>3000</v>
      </c>
      <c r="AG6" s="4">
        <f>AF6*AG$2</f>
        <v>1200</v>
      </c>
      <c r="AH6" s="4">
        <f>AG6*AH$2</f>
        <v>600</v>
      </c>
      <c r="AI6" s="4">
        <f>AG6*AI$2</f>
        <v>600</v>
      </c>
      <c r="AJ6" s="4">
        <f t="shared" si="22"/>
        <v>20.467631999999998</v>
      </c>
      <c r="AK6" s="4">
        <f t="shared" si="23"/>
        <v>20.467631999999998</v>
      </c>
      <c r="AL6" s="4">
        <f>$Z6*AL$2-AK6</f>
        <v>31.644488625000012</v>
      </c>
      <c r="AM6" s="4">
        <f t="shared" si="24"/>
        <v>2.61</v>
      </c>
      <c r="AN6" s="4">
        <f t="shared" si="25"/>
        <v>87</v>
      </c>
      <c r="AO6" s="4">
        <f t="shared" si="5"/>
        <v>75.189752625000011</v>
      </c>
      <c r="AP6" s="11">
        <f t="shared" si="6"/>
        <v>54.722120625000009</v>
      </c>
      <c r="AR6" s="12">
        <f t="shared" ref="AR6:AR8" si="42">AR5-1000</f>
        <v>3000</v>
      </c>
      <c r="AS6" s="4">
        <f>AR6*AS$2</f>
        <v>2100</v>
      </c>
      <c r="AT6" s="4">
        <f>AS6*AT$2</f>
        <v>420</v>
      </c>
      <c r="AU6" s="4">
        <f>AS6*AU$2</f>
        <v>1680</v>
      </c>
      <c r="AV6" s="4">
        <f t="shared" si="26"/>
        <v>19.571149718400001</v>
      </c>
      <c r="AW6" s="4">
        <f t="shared" si="27"/>
        <v>78.284598873600004</v>
      </c>
      <c r="AX6" s="4">
        <f t="shared" si="28"/>
        <v>0</v>
      </c>
      <c r="AY6" s="4">
        <f t="shared" si="29"/>
        <v>2.61</v>
      </c>
      <c r="AZ6" s="4">
        <f t="shared" si="30"/>
        <v>87</v>
      </c>
      <c r="BA6" s="4">
        <f t="shared" si="7"/>
        <v>100.465748592</v>
      </c>
      <c r="BB6" s="11">
        <f t="shared" si="8"/>
        <v>80.894598873600003</v>
      </c>
      <c r="BD6" s="12">
        <f t="shared" ref="BD6:BD8" si="43">BD5-1000</f>
        <v>3000</v>
      </c>
      <c r="BE6" s="4">
        <f>BD6*BE$2</f>
        <v>2100</v>
      </c>
      <c r="BF6" s="4">
        <f>BE6*BF$2</f>
        <v>0</v>
      </c>
      <c r="BG6" s="4">
        <f>BE6*BG$2</f>
        <v>2100</v>
      </c>
      <c r="BH6" s="4">
        <f t="shared" si="31"/>
        <v>0</v>
      </c>
      <c r="BI6" s="4">
        <f t="shared" si="32"/>
        <v>133.67095257667202</v>
      </c>
      <c r="BJ6" s="4">
        <f t="shared" si="33"/>
        <v>0</v>
      </c>
      <c r="BK6" s="4">
        <f t="shared" si="34"/>
        <v>2.61</v>
      </c>
      <c r="BL6" s="4">
        <f t="shared" si="35"/>
        <v>87</v>
      </c>
      <c r="BM6" s="4">
        <f t="shared" si="9"/>
        <v>136.28095257667204</v>
      </c>
      <c r="BN6" s="11">
        <f t="shared" si="10"/>
        <v>136.28095257667204</v>
      </c>
    </row>
    <row r="7" spans="1:66" x14ac:dyDescent="0.45">
      <c r="A7" s="10" t="s">
        <v>3</v>
      </c>
      <c r="B7" s="4">
        <f>C7*B$2</f>
        <v>36</v>
      </c>
      <c r="C7" s="4">
        <f t="shared" si="36"/>
        <v>1200</v>
      </c>
      <c r="D7" s="4">
        <f t="shared" si="11"/>
        <v>300</v>
      </c>
      <c r="E7" s="4">
        <f t="shared" si="12"/>
        <v>300</v>
      </c>
      <c r="F7" s="11">
        <f t="shared" si="13"/>
        <v>36</v>
      </c>
      <c r="H7" s="12">
        <f t="shared" si="37"/>
        <v>2000</v>
      </c>
      <c r="I7" s="4">
        <f t="shared" si="38"/>
        <v>550</v>
      </c>
      <c r="J7" s="4">
        <f>I7*J$2</f>
        <v>550</v>
      </c>
      <c r="K7" s="4">
        <f>I7*K$2</f>
        <v>0</v>
      </c>
      <c r="L7" s="4">
        <f t="shared" si="14"/>
        <v>11</v>
      </c>
      <c r="M7" s="4">
        <f t="shared" si="15"/>
        <v>0</v>
      </c>
      <c r="N7" s="4">
        <f t="shared" si="0"/>
        <v>49.5</v>
      </c>
      <c r="O7" s="4">
        <f t="shared" si="16"/>
        <v>2.4</v>
      </c>
      <c r="P7" s="4">
        <f t="shared" si="17"/>
        <v>80</v>
      </c>
      <c r="Q7" s="4">
        <f t="shared" si="1"/>
        <v>62.9</v>
      </c>
      <c r="R7" s="11">
        <f t="shared" si="2"/>
        <v>51.9</v>
      </c>
      <c r="T7" s="12">
        <f t="shared" si="39"/>
        <v>2000</v>
      </c>
      <c r="U7" s="4">
        <f t="shared" si="40"/>
        <v>550</v>
      </c>
      <c r="V7" s="4">
        <f>U7*V$2</f>
        <v>385</v>
      </c>
      <c r="W7" s="4">
        <f>U7*W$2</f>
        <v>165</v>
      </c>
      <c r="X7" s="4">
        <f t="shared" si="18"/>
        <v>10.0562</v>
      </c>
      <c r="Y7" s="4">
        <f t="shared" si="19"/>
        <v>4.3098000000000001</v>
      </c>
      <c r="Z7" s="4">
        <f>$N7*Z$2-Y7</f>
        <v>47.04645</v>
      </c>
      <c r="AA7" s="4">
        <f t="shared" si="20"/>
        <v>2.4</v>
      </c>
      <c r="AB7" s="4">
        <f t="shared" si="21"/>
        <v>80</v>
      </c>
      <c r="AC7" s="4">
        <f t="shared" si="3"/>
        <v>63.812449999999998</v>
      </c>
      <c r="AD7" s="11">
        <f t="shared" si="4"/>
        <v>53.756250000000001</v>
      </c>
      <c r="AF7" s="12">
        <f t="shared" si="41"/>
        <v>2000</v>
      </c>
      <c r="AG7" s="4">
        <f>AF7*AG$2</f>
        <v>800</v>
      </c>
      <c r="AH7" s="4">
        <f>AG7*AH$2</f>
        <v>400</v>
      </c>
      <c r="AI7" s="4">
        <f>AG7*AI$2</f>
        <v>400</v>
      </c>
      <c r="AJ7" s="4">
        <f t="shared" si="22"/>
        <v>13.645087999999999</v>
      </c>
      <c r="AK7" s="4">
        <f t="shared" si="23"/>
        <v>13.645087999999999</v>
      </c>
      <c r="AL7" s="4">
        <f>$Z7*AL$2-AK7</f>
        <v>35.165603875000002</v>
      </c>
      <c r="AM7" s="4">
        <f t="shared" si="24"/>
        <v>2.4</v>
      </c>
      <c r="AN7" s="4">
        <f t="shared" si="25"/>
        <v>80</v>
      </c>
      <c r="AO7" s="4">
        <f t="shared" si="5"/>
        <v>64.85577987500001</v>
      </c>
      <c r="AP7" s="11">
        <f t="shared" si="6"/>
        <v>51.210691875000002</v>
      </c>
      <c r="AR7" s="12">
        <f t="shared" si="42"/>
        <v>2000</v>
      </c>
      <c r="AS7" s="4">
        <f>AR7*AS$2</f>
        <v>1400</v>
      </c>
      <c r="AT7" s="4">
        <f>AS7*AT$2</f>
        <v>280</v>
      </c>
      <c r="AU7" s="4">
        <f>AS7*AU$2</f>
        <v>1120</v>
      </c>
      <c r="AV7" s="4">
        <f t="shared" si="26"/>
        <v>13.047433145599999</v>
      </c>
      <c r="AW7" s="4">
        <f t="shared" si="27"/>
        <v>52.189732582399998</v>
      </c>
      <c r="AX7" s="4">
        <f t="shared" si="28"/>
        <v>0</v>
      </c>
      <c r="AY7" s="4">
        <f t="shared" si="29"/>
        <v>2.4</v>
      </c>
      <c r="AZ7" s="4">
        <f t="shared" si="30"/>
        <v>80</v>
      </c>
      <c r="BA7" s="4">
        <f t="shared" si="7"/>
        <v>67.637165727999999</v>
      </c>
      <c r="BB7" s="11">
        <f t="shared" si="8"/>
        <v>54.589732582399996</v>
      </c>
      <c r="BD7" s="12">
        <f t="shared" si="43"/>
        <v>2000</v>
      </c>
      <c r="BE7" s="4">
        <f>BD7*BE$2</f>
        <v>1400</v>
      </c>
      <c r="BF7" s="4">
        <f>BE7*BF$2</f>
        <v>0</v>
      </c>
      <c r="BG7" s="4">
        <f>BE7*BG$2</f>
        <v>1400</v>
      </c>
      <c r="BH7" s="4">
        <f t="shared" si="31"/>
        <v>0</v>
      </c>
      <c r="BI7" s="4">
        <f t="shared" si="32"/>
        <v>89.113968384448</v>
      </c>
      <c r="BJ7" s="4">
        <f t="shared" si="33"/>
        <v>0</v>
      </c>
      <c r="BK7" s="4">
        <f t="shared" si="34"/>
        <v>2.4</v>
      </c>
      <c r="BL7" s="4">
        <f t="shared" si="35"/>
        <v>80</v>
      </c>
      <c r="BM7" s="4">
        <f t="shared" si="9"/>
        <v>91.513968384448006</v>
      </c>
      <c r="BN7" s="11">
        <f t="shared" si="10"/>
        <v>91.513968384448006</v>
      </c>
    </row>
    <row r="8" spans="1:66" x14ac:dyDescent="0.45">
      <c r="A8" s="10" t="s">
        <v>4</v>
      </c>
      <c r="B8" s="4">
        <f>C8*B$2</f>
        <v>33</v>
      </c>
      <c r="C8" s="4">
        <f t="shared" si="36"/>
        <v>1100</v>
      </c>
      <c r="D8" s="4">
        <f t="shared" si="11"/>
        <v>400</v>
      </c>
      <c r="E8" s="4">
        <f t="shared" si="12"/>
        <v>400</v>
      </c>
      <c r="F8" s="11">
        <f t="shared" si="13"/>
        <v>33</v>
      </c>
      <c r="H8" s="12">
        <f t="shared" si="37"/>
        <v>1000</v>
      </c>
      <c r="I8" s="4">
        <f t="shared" si="38"/>
        <v>400</v>
      </c>
      <c r="J8" s="4">
        <f>I8*J$2</f>
        <v>400</v>
      </c>
      <c r="K8" s="4">
        <f>I8*K$2</f>
        <v>0</v>
      </c>
      <c r="L8" s="4">
        <f t="shared" si="14"/>
        <v>8</v>
      </c>
      <c r="M8" s="4">
        <f t="shared" si="15"/>
        <v>0</v>
      </c>
      <c r="N8" s="4">
        <f t="shared" si="0"/>
        <v>45.4</v>
      </c>
      <c r="O8" s="4">
        <f t="shared" si="16"/>
        <v>2.19</v>
      </c>
      <c r="P8" s="4">
        <f t="shared" si="17"/>
        <v>73</v>
      </c>
      <c r="Q8" s="4">
        <f t="shared" si="1"/>
        <v>55.589999999999996</v>
      </c>
      <c r="R8" s="11">
        <f t="shared" si="2"/>
        <v>47.589999999999996</v>
      </c>
      <c r="T8" s="12">
        <f t="shared" si="39"/>
        <v>1000</v>
      </c>
      <c r="U8" s="4">
        <f t="shared" si="40"/>
        <v>400</v>
      </c>
      <c r="V8" s="4">
        <f>U8*V$2</f>
        <v>280</v>
      </c>
      <c r="W8" s="4">
        <f>U8*W$2</f>
        <v>120</v>
      </c>
      <c r="X8" s="4">
        <f t="shared" si="18"/>
        <v>7.3136000000000001</v>
      </c>
      <c r="Y8" s="4">
        <f t="shared" si="19"/>
        <v>3.1344000000000003</v>
      </c>
      <c r="Z8" s="4">
        <f>$N8*Z$2-Y8</f>
        <v>43.9681</v>
      </c>
      <c r="AA8" s="4">
        <f t="shared" si="20"/>
        <v>2.19</v>
      </c>
      <c r="AB8" s="4">
        <f t="shared" si="21"/>
        <v>73</v>
      </c>
      <c r="AC8" s="4">
        <f t="shared" si="3"/>
        <v>56.606099999999998</v>
      </c>
      <c r="AD8" s="11">
        <f t="shared" si="4"/>
        <v>49.292499999999997</v>
      </c>
      <c r="AF8" s="12">
        <f t="shared" si="41"/>
        <v>1000</v>
      </c>
      <c r="AG8" s="4">
        <f>AF8*AG$2</f>
        <v>400</v>
      </c>
      <c r="AH8" s="4">
        <f>AG8*AH$2</f>
        <v>200</v>
      </c>
      <c r="AI8" s="4">
        <f>AG8*AI$2</f>
        <v>200</v>
      </c>
      <c r="AJ8" s="4">
        <f t="shared" si="22"/>
        <v>6.8225439999999997</v>
      </c>
      <c r="AK8" s="4">
        <f t="shared" si="23"/>
        <v>6.8225439999999997</v>
      </c>
      <c r="AL8" s="4">
        <f>$Z8*AL$2-AK8</f>
        <v>38.794359750000005</v>
      </c>
      <c r="AM8" s="4">
        <f t="shared" si="24"/>
        <v>2.19</v>
      </c>
      <c r="AN8" s="4">
        <f t="shared" si="25"/>
        <v>73</v>
      </c>
      <c r="AO8" s="4">
        <f t="shared" si="5"/>
        <v>54.629447750000004</v>
      </c>
      <c r="AP8" s="11">
        <f t="shared" si="6"/>
        <v>47.806903750000004</v>
      </c>
      <c r="AR8" s="12">
        <f t="shared" si="42"/>
        <v>1000</v>
      </c>
      <c r="AS8" s="4">
        <f>AR8*AS$2</f>
        <v>700</v>
      </c>
      <c r="AT8" s="4">
        <f>AS8*AT$2</f>
        <v>140</v>
      </c>
      <c r="AU8" s="4">
        <f>AS8*AU$2</f>
        <v>560</v>
      </c>
      <c r="AV8" s="4">
        <f t="shared" si="26"/>
        <v>6.5237165727999997</v>
      </c>
      <c r="AW8" s="4">
        <f t="shared" si="27"/>
        <v>26.094866291199999</v>
      </c>
      <c r="AX8" s="4">
        <f t="shared" si="28"/>
        <v>14.154281949425012</v>
      </c>
      <c r="AY8" s="4">
        <f t="shared" si="29"/>
        <v>2.19</v>
      </c>
      <c r="AZ8" s="4">
        <f t="shared" si="30"/>
        <v>73</v>
      </c>
      <c r="BA8" s="4">
        <f t="shared" si="7"/>
        <v>48.962864813425007</v>
      </c>
      <c r="BB8" s="11">
        <f t="shared" si="8"/>
        <v>42.439148240625009</v>
      </c>
      <c r="BD8" s="12">
        <f t="shared" si="43"/>
        <v>1000</v>
      </c>
      <c r="BE8" s="4">
        <f>BD8*BE$2</f>
        <v>700</v>
      </c>
      <c r="BF8" s="4">
        <f>BE8*BF$2</f>
        <v>0</v>
      </c>
      <c r="BG8" s="4">
        <f>BE8*BG$2</f>
        <v>700</v>
      </c>
      <c r="BH8" s="4">
        <f t="shared" si="31"/>
        <v>0</v>
      </c>
      <c r="BI8" s="4">
        <f t="shared" si="32"/>
        <v>44.556984192224</v>
      </c>
      <c r="BJ8" s="4">
        <f t="shared" si="33"/>
        <v>0</v>
      </c>
      <c r="BK8" s="4">
        <f t="shared" si="34"/>
        <v>2.19</v>
      </c>
      <c r="BL8" s="4">
        <f t="shared" si="35"/>
        <v>73</v>
      </c>
      <c r="BM8" s="4">
        <f t="shared" si="9"/>
        <v>46.746984192223998</v>
      </c>
      <c r="BN8" s="11">
        <f t="shared" si="10"/>
        <v>46.746984192223998</v>
      </c>
    </row>
    <row r="9" spans="1:66" x14ac:dyDescent="0.45">
      <c r="A9" s="10" t="s">
        <v>5</v>
      </c>
      <c r="B9" s="4">
        <f>C9*B$2</f>
        <v>30</v>
      </c>
      <c r="C9" s="4">
        <f t="shared" si="36"/>
        <v>1000</v>
      </c>
      <c r="D9" s="4">
        <f t="shared" si="11"/>
        <v>500</v>
      </c>
      <c r="E9" s="4">
        <f t="shared" si="12"/>
        <v>500</v>
      </c>
      <c r="F9" s="11">
        <f t="shared" si="13"/>
        <v>30</v>
      </c>
      <c r="H9" s="12">
        <f>H8-300</f>
        <v>700</v>
      </c>
      <c r="I9" s="4">
        <f t="shared" si="38"/>
        <v>250</v>
      </c>
      <c r="J9" s="4">
        <f>I9*J$2</f>
        <v>250</v>
      </c>
      <c r="K9" s="4">
        <f>I9*K$2</f>
        <v>0</v>
      </c>
      <c r="L9" s="4">
        <f t="shared" si="14"/>
        <v>5</v>
      </c>
      <c r="M9" s="4">
        <f t="shared" si="15"/>
        <v>0</v>
      </c>
      <c r="N9" s="4">
        <f t="shared" si="0"/>
        <v>41.300000000000004</v>
      </c>
      <c r="O9" s="4">
        <f t="shared" si="16"/>
        <v>2.0099999999999998</v>
      </c>
      <c r="P9" s="4">
        <f t="shared" si="17"/>
        <v>67</v>
      </c>
      <c r="Q9" s="4">
        <f t="shared" si="1"/>
        <v>48.31</v>
      </c>
      <c r="R9" s="11">
        <f t="shared" si="2"/>
        <v>43.31</v>
      </c>
      <c r="T9" s="12">
        <f>T8-300</f>
        <v>700</v>
      </c>
      <c r="U9" s="4">
        <f t="shared" si="40"/>
        <v>250</v>
      </c>
      <c r="V9" s="4">
        <f>U9*V$2</f>
        <v>175</v>
      </c>
      <c r="W9" s="4">
        <f>U9*W$2</f>
        <v>75</v>
      </c>
      <c r="X9" s="4">
        <f t="shared" si="18"/>
        <v>4.5709999999999997</v>
      </c>
      <c r="Y9" s="4">
        <f t="shared" si="19"/>
        <v>1.9590000000000001</v>
      </c>
      <c r="Z9" s="4">
        <f>$N9*Z$2-Y9</f>
        <v>40.889750000000006</v>
      </c>
      <c r="AA9" s="4">
        <f t="shared" si="20"/>
        <v>2.0099999999999998</v>
      </c>
      <c r="AB9" s="4">
        <f t="shared" si="21"/>
        <v>67</v>
      </c>
      <c r="AC9" s="4">
        <f t="shared" si="3"/>
        <v>49.429750000000006</v>
      </c>
      <c r="AD9" s="11">
        <f t="shared" si="4"/>
        <v>44.858750000000008</v>
      </c>
      <c r="AF9" s="12">
        <f>AF8-300</f>
        <v>700</v>
      </c>
      <c r="AG9" s="4">
        <f>AF9*AG$2</f>
        <v>280</v>
      </c>
      <c r="AH9" s="4">
        <f>AG9*AH$2</f>
        <v>140</v>
      </c>
      <c r="AI9" s="4">
        <f>AG9*AI$2</f>
        <v>140</v>
      </c>
      <c r="AJ9" s="4">
        <f t="shared" si="22"/>
        <v>4.7757807999999997</v>
      </c>
      <c r="AK9" s="4">
        <f t="shared" si="23"/>
        <v>4.7757807999999997</v>
      </c>
      <c r="AL9" s="4">
        <f>$Z9*AL$2-AK9</f>
        <v>37.647334825000009</v>
      </c>
      <c r="AM9" s="4">
        <f t="shared" si="24"/>
        <v>2.0099999999999998</v>
      </c>
      <c r="AN9" s="4">
        <f t="shared" si="25"/>
        <v>67</v>
      </c>
      <c r="AO9" s="4">
        <f t="shared" si="5"/>
        <v>49.208896425000006</v>
      </c>
      <c r="AP9" s="11">
        <f t="shared" si="6"/>
        <v>44.433115625000006</v>
      </c>
      <c r="AR9" s="12">
        <f>AR8-300</f>
        <v>700</v>
      </c>
      <c r="AS9" s="4">
        <f>AR9*AS$2</f>
        <v>489.99999999999994</v>
      </c>
      <c r="AT9" s="4">
        <f>AS9*AT$2</f>
        <v>98</v>
      </c>
      <c r="AU9" s="4">
        <f>AS9*AU$2</f>
        <v>392</v>
      </c>
      <c r="AV9" s="4">
        <f t="shared" si="26"/>
        <v>4.5666016009600003</v>
      </c>
      <c r="AW9" s="4">
        <f t="shared" si="27"/>
        <v>18.266406403840001</v>
      </c>
      <c r="AX9" s="4">
        <f t="shared" si="28"/>
        <v>20.792703477097511</v>
      </c>
      <c r="AY9" s="4">
        <f t="shared" si="29"/>
        <v>2.0099999999999998</v>
      </c>
      <c r="AZ9" s="4">
        <f t="shared" si="30"/>
        <v>67</v>
      </c>
      <c r="BA9" s="4">
        <f t="shared" si="7"/>
        <v>45.635711481897509</v>
      </c>
      <c r="BB9" s="11">
        <f t="shared" si="8"/>
        <v>41.069109880937511</v>
      </c>
      <c r="BD9" s="12">
        <f>BD8-300</f>
        <v>700</v>
      </c>
      <c r="BE9" s="4">
        <f>BD9*BE$2</f>
        <v>489.99999999999994</v>
      </c>
      <c r="BF9" s="4">
        <f>BE9*BF$2</f>
        <v>0</v>
      </c>
      <c r="BG9" s="4">
        <f>BE9*BG$2</f>
        <v>489.99999999999994</v>
      </c>
      <c r="BH9" s="4">
        <f t="shared" si="31"/>
        <v>0</v>
      </c>
      <c r="BI9" s="4">
        <f t="shared" si="32"/>
        <v>31.189888934556798</v>
      </c>
      <c r="BJ9" s="4">
        <f t="shared" si="33"/>
        <v>7.8692209463807146</v>
      </c>
      <c r="BK9" s="4">
        <f t="shared" si="34"/>
        <v>2.0099999999999998</v>
      </c>
      <c r="BL9" s="4">
        <f t="shared" si="35"/>
        <v>67</v>
      </c>
      <c r="BM9" s="4">
        <f t="shared" si="9"/>
        <v>41.069109880937511</v>
      </c>
      <c r="BN9" s="11">
        <f t="shared" si="10"/>
        <v>41.069109880937511</v>
      </c>
    </row>
    <row r="10" spans="1:66" x14ac:dyDescent="0.45">
      <c r="A10" s="10" t="s">
        <v>6</v>
      </c>
      <c r="B10" s="4">
        <f>C10*B$2</f>
        <v>27</v>
      </c>
      <c r="C10" s="4">
        <f t="shared" si="36"/>
        <v>900</v>
      </c>
      <c r="D10" s="4">
        <f t="shared" si="11"/>
        <v>600</v>
      </c>
      <c r="E10" s="4">
        <f t="shared" si="12"/>
        <v>600</v>
      </c>
      <c r="F10" s="11">
        <f t="shared" si="13"/>
        <v>27</v>
      </c>
      <c r="H10" s="12">
        <f t="shared" ref="H10:H11" si="44">H9-300</f>
        <v>400</v>
      </c>
      <c r="I10" s="4">
        <f t="shared" si="38"/>
        <v>100</v>
      </c>
      <c r="J10" s="4">
        <f>I10*J$2</f>
        <v>100</v>
      </c>
      <c r="K10" s="4">
        <f>I10*K$2</f>
        <v>0</v>
      </c>
      <c r="L10" s="4">
        <f t="shared" si="14"/>
        <v>2</v>
      </c>
      <c r="M10" s="4">
        <f t="shared" si="15"/>
        <v>0</v>
      </c>
      <c r="N10" s="4">
        <f t="shared" si="0"/>
        <v>37.200000000000003</v>
      </c>
      <c r="O10" s="4">
        <f t="shared" si="16"/>
        <v>1.7999999999999998</v>
      </c>
      <c r="P10" s="4">
        <f t="shared" si="17"/>
        <v>60</v>
      </c>
      <c r="Q10" s="4">
        <f t="shared" si="1"/>
        <v>41</v>
      </c>
      <c r="R10" s="11">
        <f t="shared" si="2"/>
        <v>39</v>
      </c>
      <c r="T10" s="12">
        <f t="shared" ref="T10:T11" si="45">T9-300</f>
        <v>400</v>
      </c>
      <c r="U10" s="4">
        <f t="shared" si="40"/>
        <v>100</v>
      </c>
      <c r="V10" s="4">
        <f>U10*V$2</f>
        <v>70</v>
      </c>
      <c r="W10" s="4">
        <f>U10*W$2</f>
        <v>30</v>
      </c>
      <c r="X10" s="4">
        <f t="shared" si="18"/>
        <v>1.8284</v>
      </c>
      <c r="Y10" s="4">
        <f t="shared" si="19"/>
        <v>0.78360000000000007</v>
      </c>
      <c r="Z10" s="4">
        <f>$N10*Z$2-Y10</f>
        <v>37.811400000000006</v>
      </c>
      <c r="AA10" s="4">
        <f t="shared" si="20"/>
        <v>1.7999999999999998</v>
      </c>
      <c r="AB10" s="4">
        <f t="shared" si="21"/>
        <v>60</v>
      </c>
      <c r="AC10" s="4">
        <f t="shared" si="3"/>
        <v>42.223400000000005</v>
      </c>
      <c r="AD10" s="11">
        <f t="shared" si="4"/>
        <v>40.395000000000003</v>
      </c>
      <c r="AF10" s="12">
        <f t="shared" ref="AF10:AF11" si="46">AF9-300</f>
        <v>400</v>
      </c>
      <c r="AG10" s="4">
        <f>AF10*AG$2</f>
        <v>160</v>
      </c>
      <c r="AH10" s="4">
        <f>AG10*AH$2</f>
        <v>80</v>
      </c>
      <c r="AI10" s="4">
        <f>AG10*AI$2</f>
        <v>80</v>
      </c>
      <c r="AJ10" s="4">
        <f t="shared" si="22"/>
        <v>2.7290175999999997</v>
      </c>
      <c r="AK10" s="4">
        <f t="shared" si="23"/>
        <v>2.7290175999999997</v>
      </c>
      <c r="AL10" s="4">
        <f>$Z10*AL$2-AK10</f>
        <v>36.500309900000012</v>
      </c>
      <c r="AM10" s="4">
        <f t="shared" si="24"/>
        <v>1.7999999999999998</v>
      </c>
      <c r="AN10" s="4">
        <f t="shared" si="25"/>
        <v>60</v>
      </c>
      <c r="AO10" s="4">
        <f t="shared" si="5"/>
        <v>43.758345100000007</v>
      </c>
      <c r="AP10" s="11">
        <f t="shared" si="6"/>
        <v>41.029327500000008</v>
      </c>
      <c r="AR10" s="12">
        <f t="shared" ref="AR10:AR11" si="47">AR9-300</f>
        <v>400</v>
      </c>
      <c r="AS10" s="4">
        <f>AR10*AS$2</f>
        <v>280</v>
      </c>
      <c r="AT10" s="4">
        <f>AS10*AT$2</f>
        <v>56</v>
      </c>
      <c r="AU10" s="4">
        <f>AS10*AU$2</f>
        <v>224</v>
      </c>
      <c r="AV10" s="4">
        <f t="shared" si="26"/>
        <v>2.6094866291200001</v>
      </c>
      <c r="AW10" s="4">
        <f t="shared" si="27"/>
        <v>10.43794651648</v>
      </c>
      <c r="AX10" s="4">
        <f t="shared" si="28"/>
        <v>27.431125004770013</v>
      </c>
      <c r="AY10" s="4">
        <f t="shared" si="29"/>
        <v>1.7999999999999998</v>
      </c>
      <c r="AZ10" s="4">
        <f t="shared" si="30"/>
        <v>60</v>
      </c>
      <c r="BA10" s="4">
        <f t="shared" si="7"/>
        <v>42.27855815037001</v>
      </c>
      <c r="BB10" s="11">
        <f t="shared" si="8"/>
        <v>39.669071521250011</v>
      </c>
      <c r="BD10" s="12">
        <f t="shared" ref="BD10:BD11" si="48">BD9-300</f>
        <v>400</v>
      </c>
      <c r="BE10" s="4">
        <f>BD10*BE$2</f>
        <v>280</v>
      </c>
      <c r="BF10" s="4">
        <f>BE10*BF$2</f>
        <v>0</v>
      </c>
      <c r="BG10" s="4">
        <f>BE10*BG$2</f>
        <v>280</v>
      </c>
      <c r="BH10" s="4">
        <f t="shared" si="31"/>
        <v>0</v>
      </c>
      <c r="BI10" s="4">
        <f t="shared" si="32"/>
        <v>17.822793676889603</v>
      </c>
      <c r="BJ10" s="4">
        <f t="shared" si="33"/>
        <v>20.046277844360411</v>
      </c>
      <c r="BK10" s="4">
        <f t="shared" si="34"/>
        <v>1.7999999999999998</v>
      </c>
      <c r="BL10" s="4">
        <f t="shared" si="35"/>
        <v>60</v>
      </c>
      <c r="BM10" s="4">
        <f t="shared" si="9"/>
        <v>39.669071521250011</v>
      </c>
      <c r="BN10" s="11">
        <f t="shared" si="10"/>
        <v>39.669071521250011</v>
      </c>
    </row>
    <row r="11" spans="1:66" x14ac:dyDescent="0.45">
      <c r="A11" s="10" t="s">
        <v>7</v>
      </c>
      <c r="B11" s="4">
        <f>C11*B$2</f>
        <v>24</v>
      </c>
      <c r="C11" s="4">
        <f t="shared" si="36"/>
        <v>800</v>
      </c>
      <c r="D11" s="4">
        <f t="shared" si="11"/>
        <v>700</v>
      </c>
      <c r="E11" s="4">
        <f t="shared" si="12"/>
        <v>700</v>
      </c>
      <c r="F11" s="11">
        <f t="shared" si="13"/>
        <v>24</v>
      </c>
      <c r="H11" s="12">
        <f t="shared" si="44"/>
        <v>100</v>
      </c>
      <c r="I11" s="4">
        <v>1</v>
      </c>
      <c r="J11" s="4">
        <f>I11*J$2</f>
        <v>1</v>
      </c>
      <c r="K11" s="4">
        <f>I11*K$2</f>
        <v>0</v>
      </c>
      <c r="L11" s="4">
        <f t="shared" si="14"/>
        <v>0.02</v>
      </c>
      <c r="M11" s="4">
        <f t="shared" si="15"/>
        <v>0</v>
      </c>
      <c r="N11" s="4">
        <f t="shared" si="0"/>
        <v>33</v>
      </c>
      <c r="O11" s="4">
        <f t="shared" si="16"/>
        <v>1.5899999999999999</v>
      </c>
      <c r="P11" s="4">
        <f t="shared" si="17"/>
        <v>53</v>
      </c>
      <c r="Q11" s="4">
        <f t="shared" si="1"/>
        <v>34.61</v>
      </c>
      <c r="R11" s="11">
        <f t="shared" si="2"/>
        <v>34.590000000000003</v>
      </c>
      <c r="T11" s="12">
        <f t="shared" si="45"/>
        <v>100</v>
      </c>
      <c r="U11" s="4">
        <v>1</v>
      </c>
      <c r="V11" s="4">
        <f>U11*V$2</f>
        <v>0.7</v>
      </c>
      <c r="W11" s="4">
        <f>U11*W$2</f>
        <v>0.3</v>
      </c>
      <c r="X11" s="4">
        <f t="shared" si="18"/>
        <v>1.8283999999999998E-2</v>
      </c>
      <c r="Y11" s="4">
        <f t="shared" si="19"/>
        <v>7.8359999999999992E-3</v>
      </c>
      <c r="Z11" s="4">
        <f>$N11*Z$2-Y11</f>
        <v>34.229664000000007</v>
      </c>
      <c r="AA11" s="4">
        <f t="shared" si="20"/>
        <v>1.5899999999999999</v>
      </c>
      <c r="AB11" s="4">
        <f t="shared" si="21"/>
        <v>53</v>
      </c>
      <c r="AC11" s="4">
        <f t="shared" si="3"/>
        <v>35.845784000000009</v>
      </c>
      <c r="AD11" s="11">
        <f t="shared" si="4"/>
        <v>35.827500000000001</v>
      </c>
      <c r="AF11" s="12">
        <f t="shared" si="46"/>
        <v>100</v>
      </c>
      <c r="AG11" s="4">
        <f>AF11*AG$2</f>
        <v>40</v>
      </c>
      <c r="AH11" s="4">
        <f>AG11*AH$2</f>
        <v>20</v>
      </c>
      <c r="AI11" s="4">
        <f>AG11*AI$2</f>
        <v>20</v>
      </c>
      <c r="AJ11" s="4">
        <f t="shared" si="22"/>
        <v>0.68225439999999993</v>
      </c>
      <c r="AK11" s="4">
        <f t="shared" si="23"/>
        <v>0.68225439999999993</v>
      </c>
      <c r="AL11" s="4">
        <f>$Z11*AL$2-AK11</f>
        <v>34.831022000000011</v>
      </c>
      <c r="AM11" s="4">
        <f t="shared" si="24"/>
        <v>1.5899999999999999</v>
      </c>
      <c r="AN11" s="4">
        <f t="shared" si="25"/>
        <v>53</v>
      </c>
      <c r="AO11" s="4">
        <f t="shared" si="5"/>
        <v>37.785530800000018</v>
      </c>
      <c r="AP11" s="11">
        <f t="shared" si="6"/>
        <v>37.103276400000013</v>
      </c>
      <c r="AR11" s="12">
        <f t="shared" si="47"/>
        <v>100</v>
      </c>
      <c r="AS11" s="4">
        <f>AR11*AS$2</f>
        <v>70</v>
      </c>
      <c r="AT11" s="4">
        <f>AS11*AT$2</f>
        <v>14</v>
      </c>
      <c r="AU11" s="4">
        <f>AS11*AU$2</f>
        <v>56</v>
      </c>
      <c r="AV11" s="4">
        <f t="shared" si="26"/>
        <v>0.65237165728000002</v>
      </c>
      <c r="AW11" s="4">
        <f t="shared" si="27"/>
        <v>2.6094866291200001</v>
      </c>
      <c r="AX11" s="4">
        <f t="shared" si="28"/>
        <v>33.527698695880012</v>
      </c>
      <c r="AY11" s="4">
        <f t="shared" si="29"/>
        <v>1.5899999999999999</v>
      </c>
      <c r="AZ11" s="4">
        <f t="shared" si="30"/>
        <v>53</v>
      </c>
      <c r="BA11" s="4">
        <f t="shared" si="7"/>
        <v>38.379556982280008</v>
      </c>
      <c r="BB11" s="11">
        <f t="shared" si="8"/>
        <v>37.727185325000008</v>
      </c>
      <c r="BD11" s="12">
        <f t="shared" si="48"/>
        <v>100</v>
      </c>
      <c r="BE11" s="4">
        <f>BD11*BE$2</f>
        <v>70</v>
      </c>
      <c r="BF11" s="4">
        <f>BE11*BF$2</f>
        <v>0</v>
      </c>
      <c r="BG11" s="4">
        <f>BE11*BG$2</f>
        <v>70</v>
      </c>
      <c r="BH11" s="4">
        <f t="shared" si="31"/>
        <v>0</v>
      </c>
      <c r="BI11" s="4">
        <f t="shared" si="32"/>
        <v>4.4556984192224007</v>
      </c>
      <c r="BJ11" s="4">
        <f t="shared" si="33"/>
        <v>31.681486905777611</v>
      </c>
      <c r="BK11" s="4">
        <f t="shared" si="34"/>
        <v>1.5899999999999999</v>
      </c>
      <c r="BL11" s="4">
        <f t="shared" si="35"/>
        <v>53</v>
      </c>
      <c r="BM11" s="4">
        <f t="shared" si="9"/>
        <v>37.727185325000008</v>
      </c>
      <c r="BN11" s="11">
        <f t="shared" si="10"/>
        <v>37.727185325000008</v>
      </c>
    </row>
    <row r="12" spans="1:66" x14ac:dyDescent="0.45">
      <c r="A12" s="10" t="s">
        <v>8</v>
      </c>
      <c r="B12" s="4">
        <f>C12*B$2</f>
        <v>1.5</v>
      </c>
      <c r="C12" s="4">
        <v>50</v>
      </c>
      <c r="D12" s="4">
        <f t="shared" si="11"/>
        <v>1450</v>
      </c>
      <c r="E12" s="4">
        <f t="shared" si="12"/>
        <v>1450</v>
      </c>
      <c r="F12" s="11">
        <f t="shared" si="13"/>
        <v>1.5</v>
      </c>
      <c r="H12" s="12">
        <v>0</v>
      </c>
      <c r="I12" s="4">
        <v>1</v>
      </c>
      <c r="J12" s="4">
        <f>I12*J$2</f>
        <v>1</v>
      </c>
      <c r="K12" s="4">
        <f>I12*K$2</f>
        <v>0</v>
      </c>
      <c r="L12" s="4">
        <f t="shared" si="14"/>
        <v>0.02</v>
      </c>
      <c r="M12" s="4">
        <f t="shared" si="15"/>
        <v>0</v>
      </c>
      <c r="N12" s="4">
        <f t="shared" si="0"/>
        <v>2.1</v>
      </c>
      <c r="O12" s="4">
        <f t="shared" si="16"/>
        <v>0.09</v>
      </c>
      <c r="P12" s="4">
        <f t="shared" si="17"/>
        <v>3</v>
      </c>
      <c r="Q12" s="4">
        <f t="shared" si="1"/>
        <v>2.21</v>
      </c>
      <c r="R12" s="11">
        <f t="shared" si="2"/>
        <v>2.19</v>
      </c>
      <c r="T12" s="12">
        <v>0</v>
      </c>
      <c r="U12" s="4">
        <v>1</v>
      </c>
      <c r="V12" s="4">
        <f>U12*V$2</f>
        <v>0.7</v>
      </c>
      <c r="W12" s="4">
        <f>U12*W$2</f>
        <v>0.3</v>
      </c>
      <c r="X12" s="4">
        <f t="shared" si="18"/>
        <v>1.8283999999999998E-2</v>
      </c>
      <c r="Y12" s="4">
        <f t="shared" si="19"/>
        <v>7.8359999999999992E-3</v>
      </c>
      <c r="Z12" s="4">
        <f>$N12*Z$2-Y12</f>
        <v>2.1709140000000002</v>
      </c>
      <c r="AA12" s="4">
        <f t="shared" si="20"/>
        <v>0.09</v>
      </c>
      <c r="AB12" s="4">
        <f t="shared" si="21"/>
        <v>3</v>
      </c>
      <c r="AC12" s="4">
        <f t="shared" si="3"/>
        <v>2.2870340000000002</v>
      </c>
      <c r="AD12" s="11">
        <f t="shared" si="4"/>
        <v>2.2687500000000003</v>
      </c>
      <c r="AF12" s="12">
        <v>0</v>
      </c>
      <c r="AG12" s="4">
        <f>AF12*AG$2</f>
        <v>0</v>
      </c>
      <c r="AH12" s="4">
        <f>AG12*AH$2</f>
        <v>0</v>
      </c>
      <c r="AI12" s="4">
        <f>AG12*AI$2</f>
        <v>0</v>
      </c>
      <c r="AJ12" s="4">
        <f t="shared" si="22"/>
        <v>0</v>
      </c>
      <c r="AK12" s="4">
        <f t="shared" si="23"/>
        <v>0</v>
      </c>
      <c r="AL12" s="4">
        <f>$Z12*AL$2-AK12</f>
        <v>2.2523232750000006</v>
      </c>
      <c r="AM12" s="4">
        <f t="shared" si="24"/>
        <v>0.09</v>
      </c>
      <c r="AN12" s="4">
        <f t="shared" si="25"/>
        <v>3</v>
      </c>
      <c r="AO12" s="4">
        <f t="shared" si="5"/>
        <v>2.3423232750000005</v>
      </c>
      <c r="AP12" s="11">
        <f t="shared" si="6"/>
        <v>2.3423232750000005</v>
      </c>
      <c r="AR12" s="12">
        <v>0</v>
      </c>
      <c r="AS12" s="4">
        <f>AR12*AS$2</f>
        <v>0</v>
      </c>
      <c r="AT12" s="4">
        <f>AS12*AT$2</f>
        <v>0</v>
      </c>
      <c r="AU12" s="4">
        <f>AS12*AU$2</f>
        <v>0</v>
      </c>
      <c r="AV12" s="4">
        <f t="shared" si="26"/>
        <v>0</v>
      </c>
      <c r="AW12" s="4">
        <f t="shared" si="27"/>
        <v>0</v>
      </c>
      <c r="AX12" s="4">
        <f t="shared" si="28"/>
        <v>2.3367853978125011</v>
      </c>
      <c r="AY12" s="4">
        <f t="shared" si="29"/>
        <v>0.09</v>
      </c>
      <c r="AZ12" s="4">
        <f t="shared" si="30"/>
        <v>3</v>
      </c>
      <c r="BA12" s="4">
        <f t="shared" si="7"/>
        <v>2.4267853978125009</v>
      </c>
      <c r="BB12" s="11">
        <f t="shared" si="8"/>
        <v>2.4267853978125009</v>
      </c>
      <c r="BD12" s="12">
        <v>0</v>
      </c>
      <c r="BE12" s="4">
        <f>BD12*BE$2</f>
        <v>0</v>
      </c>
      <c r="BF12" s="4">
        <f>BE12*BF$2</f>
        <v>0</v>
      </c>
      <c r="BG12" s="4">
        <f>BE12*BG$2</f>
        <v>0</v>
      </c>
      <c r="BH12" s="4">
        <f t="shared" si="31"/>
        <v>0</v>
      </c>
      <c r="BI12" s="4">
        <f t="shared" si="32"/>
        <v>0</v>
      </c>
      <c r="BJ12" s="4">
        <f t="shared" si="33"/>
        <v>2.3367853978125011</v>
      </c>
      <c r="BK12" s="4">
        <f t="shared" si="34"/>
        <v>0.09</v>
      </c>
      <c r="BL12" s="4">
        <f t="shared" si="35"/>
        <v>3</v>
      </c>
      <c r="BM12" s="4">
        <f t="shared" si="9"/>
        <v>2.4267853978125009</v>
      </c>
      <c r="BN12" s="11">
        <f t="shared" si="10"/>
        <v>2.4267853978125009</v>
      </c>
    </row>
    <row r="13" spans="1:66" ht="18.600000000000001" thickBot="1" x14ac:dyDescent="0.5">
      <c r="A13" s="10" t="s">
        <v>9</v>
      </c>
      <c r="B13" s="4">
        <f>C13*B$2</f>
        <v>0.3</v>
      </c>
      <c r="C13" s="4">
        <v>10</v>
      </c>
      <c r="D13" s="4">
        <f t="shared" si="11"/>
        <v>1490</v>
      </c>
      <c r="E13" s="4">
        <f t="shared" si="12"/>
        <v>1490</v>
      </c>
      <c r="F13" s="11">
        <f t="shared" si="13"/>
        <v>0.3</v>
      </c>
      <c r="H13" s="22">
        <v>0</v>
      </c>
      <c r="I13" s="23">
        <v>0</v>
      </c>
      <c r="J13" s="23">
        <f>I13*J$2</f>
        <v>0</v>
      </c>
      <c r="K13" s="23">
        <f>I13*K$2</f>
        <v>0</v>
      </c>
      <c r="L13" s="23">
        <f t="shared" si="14"/>
        <v>0</v>
      </c>
      <c r="M13" s="23">
        <f t="shared" si="15"/>
        <v>0</v>
      </c>
      <c r="N13" s="23">
        <f>ROUNDUP($B13*N$2,1)</f>
        <v>0.5</v>
      </c>
      <c r="O13" s="23">
        <f t="shared" si="16"/>
        <v>0</v>
      </c>
      <c r="P13" s="23">
        <f t="shared" si="17"/>
        <v>0</v>
      </c>
      <c r="Q13" s="23">
        <f t="shared" si="1"/>
        <v>0.5</v>
      </c>
      <c r="R13" s="24">
        <f t="shared" si="2"/>
        <v>0.5</v>
      </c>
      <c r="T13" s="22">
        <v>0</v>
      </c>
      <c r="U13" s="23">
        <v>0</v>
      </c>
      <c r="V13" s="23">
        <f>U13*V$2</f>
        <v>0</v>
      </c>
      <c r="W13" s="23">
        <f>U13*W$2</f>
        <v>0</v>
      </c>
      <c r="X13" s="23">
        <f t="shared" si="18"/>
        <v>0</v>
      </c>
      <c r="Y13" s="23">
        <f t="shared" si="19"/>
        <v>0</v>
      </c>
      <c r="Z13" s="23">
        <f>$N13*Z$2-Y13</f>
        <v>0.51875000000000004</v>
      </c>
      <c r="AA13" s="23">
        <f t="shared" si="20"/>
        <v>0</v>
      </c>
      <c r="AB13" s="23">
        <f t="shared" si="21"/>
        <v>0</v>
      </c>
      <c r="AC13" s="23">
        <f t="shared" si="3"/>
        <v>0.51875000000000004</v>
      </c>
      <c r="AD13" s="24">
        <f t="shared" si="4"/>
        <v>0.51875000000000004</v>
      </c>
      <c r="AF13" s="22">
        <v>0</v>
      </c>
      <c r="AG13" s="23">
        <f>AF13*AG$2</f>
        <v>0</v>
      </c>
      <c r="AH13" s="23">
        <f>AG13*AH$2</f>
        <v>0</v>
      </c>
      <c r="AI13" s="23">
        <f>AG13*AI$2</f>
        <v>0</v>
      </c>
      <c r="AJ13" s="23">
        <f t="shared" si="22"/>
        <v>0</v>
      </c>
      <c r="AK13" s="23">
        <f t="shared" si="23"/>
        <v>0</v>
      </c>
      <c r="AL13" s="23">
        <f>$Z13*AL$2-AK13</f>
        <v>0.53820312500000012</v>
      </c>
      <c r="AM13" s="23">
        <f t="shared" si="24"/>
        <v>0</v>
      </c>
      <c r="AN13" s="23">
        <f t="shared" si="25"/>
        <v>0</v>
      </c>
      <c r="AO13" s="23">
        <f t="shared" si="5"/>
        <v>0.53820312500000012</v>
      </c>
      <c r="AP13" s="24">
        <f t="shared" si="6"/>
        <v>0.53820312500000012</v>
      </c>
      <c r="AR13" s="22">
        <v>0</v>
      </c>
      <c r="AS13" s="23">
        <f>AR13*AS$2</f>
        <v>0</v>
      </c>
      <c r="AT13" s="23">
        <f>AS13*AT$2</f>
        <v>0</v>
      </c>
      <c r="AU13" s="23">
        <f>AS13*AU$2</f>
        <v>0</v>
      </c>
      <c r="AV13" s="23">
        <f t="shared" si="26"/>
        <v>0</v>
      </c>
      <c r="AW13" s="23">
        <f t="shared" si="27"/>
        <v>0</v>
      </c>
      <c r="AX13" s="23">
        <f t="shared" si="28"/>
        <v>0.55838574218750014</v>
      </c>
      <c r="AY13" s="23">
        <f t="shared" si="29"/>
        <v>0</v>
      </c>
      <c r="AZ13" s="23">
        <f t="shared" si="30"/>
        <v>0</v>
      </c>
      <c r="BA13" s="23">
        <f t="shared" si="7"/>
        <v>0.55838574218750014</v>
      </c>
      <c r="BB13" s="24">
        <f t="shared" si="8"/>
        <v>0.55838574218750014</v>
      </c>
      <c r="BD13" s="22">
        <v>0</v>
      </c>
      <c r="BE13" s="23">
        <f>BD13*BE$2</f>
        <v>0</v>
      </c>
      <c r="BF13" s="23">
        <f>BE13*BF$2</f>
        <v>0</v>
      </c>
      <c r="BG13" s="23">
        <f>BE13*BG$2</f>
        <v>0</v>
      </c>
      <c r="BH13" s="23">
        <f t="shared" si="31"/>
        <v>0</v>
      </c>
      <c r="BI13" s="23">
        <f t="shared" si="32"/>
        <v>0</v>
      </c>
      <c r="BJ13" s="23">
        <f t="shared" si="33"/>
        <v>0.55838574218750014</v>
      </c>
      <c r="BK13" s="23">
        <f t="shared" si="34"/>
        <v>0</v>
      </c>
      <c r="BL13" s="23">
        <f t="shared" si="35"/>
        <v>0</v>
      </c>
      <c r="BM13" s="23">
        <f t="shared" si="9"/>
        <v>0.55838574218750014</v>
      </c>
      <c r="BN13" s="24">
        <f t="shared" si="10"/>
        <v>0.55838574218750014</v>
      </c>
    </row>
    <row r="14" spans="1:66" ht="18.600000000000001" thickBot="1" x14ac:dyDescent="0.5">
      <c r="A14" s="10"/>
      <c r="B14" s="4">
        <f>SUM(B4:B13)</f>
        <v>277.8</v>
      </c>
      <c r="C14" s="4">
        <f t="shared" ref="C14:P14" si="49">SUM(C4:C13)</f>
        <v>9260</v>
      </c>
      <c r="D14" s="4">
        <f t="shared" si="49"/>
        <v>5740</v>
      </c>
      <c r="E14" s="4">
        <f t="shared" si="49"/>
        <v>5740</v>
      </c>
      <c r="F14" s="11">
        <f>B14</f>
        <v>277.8</v>
      </c>
      <c r="H14" s="26">
        <f>SUM(H4:H13)</f>
        <v>16200</v>
      </c>
      <c r="I14" s="25">
        <f>SUM(I4:I13)</f>
        <v>3852</v>
      </c>
      <c r="J14" s="13"/>
      <c r="K14" s="13"/>
      <c r="L14" s="13">
        <f t="shared" ref="L14" si="50">SUM(L4:L13)</f>
        <v>77.039999999999992</v>
      </c>
      <c r="M14" s="13">
        <f t="shared" ref="M14" si="51">SUM(M4:M13)</f>
        <v>0</v>
      </c>
      <c r="N14" s="13">
        <f t="shared" ref="N14" si="52">SUM(N4:N13)</f>
        <v>382.40000000000003</v>
      </c>
      <c r="O14" s="13">
        <f t="shared" si="49"/>
        <v>18.48</v>
      </c>
      <c r="P14" s="13">
        <f t="shared" si="49"/>
        <v>616</v>
      </c>
      <c r="Q14" s="13">
        <f t="shared" si="1"/>
        <v>477.92000000000007</v>
      </c>
      <c r="R14" s="15">
        <f t="shared" si="2"/>
        <v>400.88000000000005</v>
      </c>
      <c r="T14" s="26">
        <f>SUM(T4:T13)</f>
        <v>16200</v>
      </c>
      <c r="U14" s="25">
        <f>SUM(U4:U13)</f>
        <v>3852</v>
      </c>
      <c r="V14" s="25"/>
      <c r="W14" s="25"/>
      <c r="X14" s="25">
        <f t="shared" ref="X14:Y14" si="53">SUM(X4:X13)</f>
        <v>70.429968000000002</v>
      </c>
      <c r="Y14" s="25">
        <f t="shared" si="53"/>
        <v>30.184272</v>
      </c>
      <c r="Z14" s="25">
        <f>SUM(Z4:Z13)</f>
        <v>366.55572799999999</v>
      </c>
      <c r="AA14" s="13">
        <v>18.48</v>
      </c>
      <c r="AB14" s="13">
        <v>616</v>
      </c>
      <c r="AC14" s="25">
        <f t="shared" si="3"/>
        <v>485.649968</v>
      </c>
      <c r="AD14" s="27">
        <f t="shared" si="4"/>
        <v>415.22</v>
      </c>
      <c r="AF14" s="26">
        <f>SUM(AF4:AF13)</f>
        <v>16200</v>
      </c>
      <c r="AG14" s="25">
        <f>SUM(AG4:AG13)</f>
        <v>6480</v>
      </c>
      <c r="AH14" s="13"/>
      <c r="AI14" s="13"/>
      <c r="AJ14" s="13">
        <f t="shared" ref="AJ14" si="54">SUM(AJ4:AJ13)</f>
        <v>110.52521280000001</v>
      </c>
      <c r="AK14" s="13">
        <f t="shared" ref="AK14:AL14" si="55">SUM(AK4:AK13)</f>
        <v>110.52521280000001</v>
      </c>
      <c r="AL14" s="13">
        <f t="shared" si="55"/>
        <v>269.77635500000002</v>
      </c>
      <c r="AM14" s="13">
        <f t="shared" ref="AM14" si="56">SUM(AM4:AM13)</f>
        <v>18.48</v>
      </c>
      <c r="AN14" s="14">
        <f t="shared" ref="AN14" si="57">SUM(AN4:AN13)</f>
        <v>616</v>
      </c>
      <c r="AO14" s="13">
        <f t="shared" si="5"/>
        <v>509.30678060000002</v>
      </c>
      <c r="AP14" s="15">
        <f t="shared" si="6"/>
        <v>398.78156780000006</v>
      </c>
      <c r="AR14" s="26">
        <f>SUM(AR4:AR13)</f>
        <v>16200</v>
      </c>
      <c r="AS14" s="25">
        <f>SUM(AS4:AS13)</f>
        <v>11340</v>
      </c>
      <c r="AT14" s="25"/>
      <c r="AU14" s="25"/>
      <c r="AV14" s="25">
        <f t="shared" ref="AV14" si="58">SUM(AV4:AV13)</f>
        <v>105.68420847936</v>
      </c>
      <c r="AW14" s="25">
        <f t="shared" ref="AW14" si="59">SUM(AW4:AW13)</f>
        <v>422.73683391743998</v>
      </c>
      <c r="AX14" s="25">
        <f>SUM(AX4:AX13)</f>
        <v>98.800980267172548</v>
      </c>
      <c r="AY14" s="13">
        <f t="shared" ref="AY14:AZ14" si="60">SUM(AY4:AY13)</f>
        <v>18.48</v>
      </c>
      <c r="AZ14" s="14">
        <f t="shared" si="60"/>
        <v>616</v>
      </c>
      <c r="BA14" s="25">
        <f t="shared" si="7"/>
        <v>645.70202266397257</v>
      </c>
      <c r="BB14" s="27">
        <f t="shared" si="8"/>
        <v>540.01781418461258</v>
      </c>
      <c r="BD14" s="26">
        <f>SUM(BD4:BD13)</f>
        <v>16200</v>
      </c>
      <c r="BE14" s="25">
        <f>SUM(BE4:BE13)</f>
        <v>11340</v>
      </c>
      <c r="BF14" s="25"/>
      <c r="BG14" s="25"/>
      <c r="BH14" s="25">
        <f t="shared" ref="BH14:BI14" si="61">SUM(BH4:BH13)</f>
        <v>0</v>
      </c>
      <c r="BI14" s="25">
        <f t="shared" si="61"/>
        <v>721.82314391402872</v>
      </c>
      <c r="BJ14" s="25">
        <f>SUM(BJ4:BJ13)</f>
        <v>62.492156836518731</v>
      </c>
      <c r="BK14" s="13">
        <f t="shared" ref="BK14:BL14" si="62">SUM(BK4:BK13)</f>
        <v>18.48</v>
      </c>
      <c r="BL14" s="14">
        <f t="shared" si="62"/>
        <v>616</v>
      </c>
      <c r="BM14" s="25">
        <f t="shared" si="9"/>
        <v>802.79530075054743</v>
      </c>
      <c r="BN14" s="27">
        <f t="shared" si="10"/>
        <v>802.79530075054743</v>
      </c>
    </row>
    <row r="15" spans="1:66" ht="82.2" customHeight="1" thickBot="1" x14ac:dyDescent="0.5">
      <c r="A15" s="40" t="s">
        <v>48</v>
      </c>
      <c r="B15" s="41"/>
      <c r="C15" s="41"/>
      <c r="D15" s="41"/>
      <c r="E15" s="41"/>
      <c r="F15" s="42"/>
      <c r="H15" s="29" t="s">
        <v>36</v>
      </c>
      <c r="I15" s="30"/>
      <c r="J15" s="30"/>
      <c r="K15" s="30"/>
      <c r="L15" s="30"/>
      <c r="M15" s="30"/>
      <c r="N15" s="30"/>
      <c r="O15" s="30"/>
      <c r="P15" s="30"/>
      <c r="Q15" s="30"/>
      <c r="R15" s="31"/>
      <c r="T15" s="29" t="s">
        <v>31</v>
      </c>
      <c r="U15" s="30"/>
      <c r="V15" s="30"/>
      <c r="W15" s="30"/>
      <c r="X15" s="30"/>
      <c r="Y15" s="30"/>
      <c r="Z15" s="30"/>
      <c r="AA15" s="30"/>
      <c r="AB15" s="30"/>
      <c r="AC15" s="30"/>
      <c r="AD15" s="31"/>
      <c r="AF15" s="29" t="s">
        <v>32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1"/>
      <c r="AR15" s="29" t="s">
        <v>37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1"/>
      <c r="BD15" s="29" t="s">
        <v>57</v>
      </c>
      <c r="BE15" s="30"/>
      <c r="BF15" s="30"/>
      <c r="BG15" s="30"/>
      <c r="BH15" s="30"/>
      <c r="BI15" s="30"/>
      <c r="BJ15" s="30"/>
      <c r="BK15" s="30"/>
      <c r="BL15" s="30"/>
      <c r="BM15" s="30"/>
      <c r="BN15" s="31"/>
    </row>
    <row r="16" spans="1:66" x14ac:dyDescent="0.45">
      <c r="A16" s="28" t="s">
        <v>35</v>
      </c>
    </row>
    <row r="17" spans="1:36" x14ac:dyDescent="0.45">
      <c r="A17" t="s">
        <v>23</v>
      </c>
      <c r="E17" t="s">
        <v>23</v>
      </c>
      <c r="M17" s="34"/>
      <c r="X17" s="34"/>
      <c r="AJ17" s="34">
        <f>(Z14-AL14)/AG14</f>
        <v>1.493508842592592E-2</v>
      </c>
    </row>
    <row r="18" spans="1:36" x14ac:dyDescent="0.45">
      <c r="A18" t="s">
        <v>25</v>
      </c>
      <c r="E18" t="s">
        <v>17</v>
      </c>
    </row>
    <row r="19" spans="1:36" x14ac:dyDescent="0.45">
      <c r="A19" t="s">
        <v>26</v>
      </c>
      <c r="E19" t="s">
        <v>22</v>
      </c>
    </row>
    <row r="20" spans="1:36" x14ac:dyDescent="0.45">
      <c r="A20" t="s">
        <v>18</v>
      </c>
      <c r="E20" t="s">
        <v>18</v>
      </c>
    </row>
    <row r="21" spans="1:36" x14ac:dyDescent="0.45">
      <c r="A21" t="s">
        <v>27</v>
      </c>
      <c r="E21" t="s">
        <v>19</v>
      </c>
    </row>
    <row r="22" spans="1:36" x14ac:dyDescent="0.45">
      <c r="A22" t="s">
        <v>29</v>
      </c>
      <c r="E22" t="s">
        <v>20</v>
      </c>
    </row>
    <row r="23" spans="1:36" x14ac:dyDescent="0.45">
      <c r="A23" t="s">
        <v>24</v>
      </c>
      <c r="E23" t="s">
        <v>34</v>
      </c>
    </row>
    <row r="24" spans="1:36" x14ac:dyDescent="0.45">
      <c r="A24" t="s">
        <v>30</v>
      </c>
      <c r="E24" t="s">
        <v>13</v>
      </c>
    </row>
    <row r="25" spans="1:36" x14ac:dyDescent="0.45">
      <c r="A25" t="s">
        <v>10</v>
      </c>
      <c r="E25" t="s">
        <v>10</v>
      </c>
    </row>
    <row r="26" spans="1:36" x14ac:dyDescent="0.45">
      <c r="A26" t="s">
        <v>11</v>
      </c>
      <c r="E26" t="s">
        <v>11</v>
      </c>
    </row>
    <row r="27" spans="1:36" x14ac:dyDescent="0.45">
      <c r="A27" t="s">
        <v>15</v>
      </c>
      <c r="E27" t="s">
        <v>15</v>
      </c>
    </row>
    <row r="28" spans="1:36" x14ac:dyDescent="0.45">
      <c r="A28" t="s">
        <v>21</v>
      </c>
      <c r="E28" t="s">
        <v>21</v>
      </c>
    </row>
  </sheetData>
  <mergeCells count="6">
    <mergeCell ref="BD15:BN15"/>
    <mergeCell ref="AR15:BB15"/>
    <mergeCell ref="AF15:AP15"/>
    <mergeCell ref="T15:AD15"/>
    <mergeCell ref="H15:R15"/>
    <mergeCell ref="A15:F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4" sqref="K4"/>
    </sheetView>
  </sheetViews>
  <sheetFormatPr defaultColWidth="4.69921875" defaultRowHeight="18" x14ac:dyDescent="0.45"/>
  <cols>
    <col min="1" max="1" width="8" customWidth="1"/>
    <col min="2" max="4" width="5.8984375" bestFit="1" customWidth="1"/>
    <col min="5" max="5" width="6.19921875" customWidth="1"/>
    <col min="6" max="8" width="4.796875" bestFit="1" customWidth="1"/>
    <col min="9" max="12" width="4.8984375" bestFit="1" customWidth="1"/>
  </cols>
  <sheetData>
    <row r="1" spans="1:12" s="1" customFormat="1" ht="108" x14ac:dyDescent="0.45">
      <c r="A1" s="2" t="s">
        <v>0</v>
      </c>
      <c r="B1" s="2" t="s">
        <v>23</v>
      </c>
      <c r="C1" s="2" t="s">
        <v>25</v>
      </c>
      <c r="D1" s="2" t="s">
        <v>26</v>
      </c>
      <c r="E1" s="2" t="s">
        <v>18</v>
      </c>
      <c r="F1" s="2" t="s">
        <v>27</v>
      </c>
      <c r="G1" s="2" t="s">
        <v>28</v>
      </c>
      <c r="H1" s="2" t="s">
        <v>39</v>
      </c>
      <c r="I1" s="2" t="s">
        <v>40</v>
      </c>
      <c r="J1" s="2" t="s">
        <v>11</v>
      </c>
      <c r="K1" s="2" t="s">
        <v>15</v>
      </c>
      <c r="L1" s="2" t="s">
        <v>21</v>
      </c>
    </row>
    <row r="2" spans="1:12" ht="54" x14ac:dyDescent="0.45">
      <c r="A2" s="2" t="s">
        <v>49</v>
      </c>
      <c r="B2" s="44">
        <v>5000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2">
        <v>45</v>
      </c>
      <c r="J2" s="2">
        <v>1500</v>
      </c>
      <c r="K2" s="2">
        <v>45</v>
      </c>
      <c r="L2" s="2">
        <v>45</v>
      </c>
    </row>
    <row r="3" spans="1:12" s="43" customFormat="1" ht="72" x14ac:dyDescent="0.45">
      <c r="A3" s="44" t="s">
        <v>50</v>
      </c>
      <c r="B3" s="44">
        <f>全体シミュレーション!H4</f>
        <v>5000</v>
      </c>
      <c r="C3" s="44">
        <f>全体シミュレーション!I4</f>
        <v>1000</v>
      </c>
      <c r="D3" s="44">
        <f>全体シミュレーション!J4</f>
        <v>1000</v>
      </c>
      <c r="E3" s="44">
        <f>全体シミュレーション!K4</f>
        <v>0</v>
      </c>
      <c r="F3" s="44">
        <f>全体シミュレーション!L4</f>
        <v>20</v>
      </c>
      <c r="G3" s="44">
        <f>全体シミュレーション!M4</f>
        <v>0</v>
      </c>
      <c r="H3" s="44">
        <f>全体シミュレーション!N4</f>
        <v>61.9</v>
      </c>
      <c r="I3" s="44">
        <f>全体シミュレーション!O4</f>
        <v>3</v>
      </c>
      <c r="J3" s="44">
        <f>全体シミュレーション!P4</f>
        <v>100</v>
      </c>
      <c r="K3" s="44">
        <f>全体シミュレーション!Q4</f>
        <v>84.9</v>
      </c>
      <c r="L3" s="44">
        <f>全体シミュレーション!R4</f>
        <v>64.900000000000006</v>
      </c>
    </row>
    <row r="4" spans="1:12" x14ac:dyDescent="0.45">
      <c r="A4" s="3" t="s">
        <v>51</v>
      </c>
      <c r="B4" s="44">
        <f>全体シミュレーション!T4</f>
        <v>5000</v>
      </c>
      <c r="C4" s="44">
        <f>全体シミュレーション!U4</f>
        <v>1000</v>
      </c>
      <c r="D4" s="44">
        <f>全体シミュレーション!V4</f>
        <v>700</v>
      </c>
      <c r="E4" s="44">
        <f>全体シミュレーション!W4</f>
        <v>300</v>
      </c>
      <c r="F4" s="44">
        <f>全体シミュレーション!X4</f>
        <v>18.283999999999999</v>
      </c>
      <c r="G4" s="44">
        <f>全体シミュレーション!Y4</f>
        <v>7.8360000000000003</v>
      </c>
      <c r="H4" s="44">
        <f>全体シミュレーション!Z4</f>
        <v>56.385249999999999</v>
      </c>
      <c r="I4" s="44">
        <f>全体シミュレーション!AA4</f>
        <v>3</v>
      </c>
      <c r="J4" s="44">
        <f>全体シミュレーション!AB4</f>
        <v>100</v>
      </c>
      <c r="K4" s="44">
        <f>全体シミュレーション!AC4</f>
        <v>85.50524999999999</v>
      </c>
      <c r="L4" s="44">
        <f>全体シミュレーション!AD4</f>
        <v>67.221249999999998</v>
      </c>
    </row>
    <row r="5" spans="1:12" x14ac:dyDescent="0.45">
      <c r="A5" s="3" t="s">
        <v>52</v>
      </c>
      <c r="B5" s="44">
        <f>全体シミュレーション!AF4</f>
        <v>5000</v>
      </c>
      <c r="C5" s="44">
        <f>全体シミュレーション!AG4</f>
        <v>2000</v>
      </c>
      <c r="D5" s="44">
        <f>全体シミュレーション!AH4</f>
        <v>1000</v>
      </c>
      <c r="E5" s="44">
        <f>全体シミュレーション!AI4</f>
        <v>1000</v>
      </c>
      <c r="F5" s="44">
        <f>全体シミュレーション!AJ4</f>
        <v>34.112719999999996</v>
      </c>
      <c r="G5" s="44">
        <f>全体シミュレーション!AK4</f>
        <v>34.112719999999996</v>
      </c>
      <c r="H5" s="44">
        <f>全体シミュレーション!AL4</f>
        <v>24.386976875000009</v>
      </c>
      <c r="I5" s="44">
        <f>全体シミュレーション!AM4</f>
        <v>3</v>
      </c>
      <c r="J5" s="44">
        <f>全体シミュレーション!AN4</f>
        <v>100</v>
      </c>
      <c r="K5" s="44">
        <f>全体シミュレーション!AO4</f>
        <v>95.612416875000008</v>
      </c>
      <c r="L5" s="44">
        <f>全体シミュレーション!AP4</f>
        <v>61.499696875000005</v>
      </c>
    </row>
    <row r="6" spans="1:12" x14ac:dyDescent="0.45">
      <c r="A6" s="3" t="s">
        <v>53</v>
      </c>
      <c r="B6" s="44">
        <f>全体シミュレーション!AR4</f>
        <v>5000</v>
      </c>
      <c r="C6" s="44">
        <f>全体シミュレーション!AS4</f>
        <v>3500</v>
      </c>
      <c r="D6" s="44">
        <f>全体シミュレーション!AT4</f>
        <v>700</v>
      </c>
      <c r="E6" s="44">
        <f>全体シミュレーション!AU4</f>
        <v>2800</v>
      </c>
      <c r="F6" s="44">
        <f>全体シミュレーション!AV4</f>
        <v>32.618582864000004</v>
      </c>
      <c r="G6" s="44">
        <f>全体シミュレーション!AW4</f>
        <v>130.47433145600002</v>
      </c>
      <c r="H6" s="44">
        <f>全体シミュレーション!AX4</f>
        <v>0</v>
      </c>
      <c r="I6" s="44">
        <f>全体シミュレーション!AY4</f>
        <v>3</v>
      </c>
      <c r="J6" s="44">
        <f>全体シミュレーション!AZ4</f>
        <v>100</v>
      </c>
      <c r="K6" s="44">
        <f>全体シミュレーション!BA4</f>
        <v>166.09291432000003</v>
      </c>
      <c r="L6" s="44">
        <f>全体シミュレーション!BB4</f>
        <v>133.47433145600002</v>
      </c>
    </row>
    <row r="7" spans="1:12" x14ac:dyDescent="0.45">
      <c r="A7" s="3" t="s">
        <v>56</v>
      </c>
      <c r="B7" s="3">
        <f>全体シミュレーション!BD4</f>
        <v>5000</v>
      </c>
      <c r="C7" s="3">
        <f>全体シミュレーション!BE4</f>
        <v>3500</v>
      </c>
      <c r="D7" s="3">
        <f>全体シミュレーション!BF4</f>
        <v>0</v>
      </c>
      <c r="E7" s="3">
        <f>全体シミュレーション!BG4</f>
        <v>3500</v>
      </c>
      <c r="F7" s="3">
        <f>全体シミュレーション!BH4</f>
        <v>0</v>
      </c>
      <c r="G7" s="3">
        <f>全体シミュレーション!BI4</f>
        <v>222.78492096112001</v>
      </c>
      <c r="H7" s="3">
        <f>全体シミュレーション!BJ4</f>
        <v>0</v>
      </c>
      <c r="I7" s="3">
        <f>全体シミュレーション!BK4</f>
        <v>3</v>
      </c>
      <c r="J7" s="3">
        <f>全体シミュレーション!BL4</f>
        <v>100</v>
      </c>
      <c r="K7" s="3">
        <f>全体シミュレーション!BM4</f>
        <v>225.78492096112001</v>
      </c>
      <c r="L7" s="3">
        <f>全体シミュレーション!BN4</f>
        <v>225.78492096112001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E00715BD38A534083A8CABBA6AD3441" ma:contentTypeVersion="14" ma:contentTypeDescription="新しいドキュメントを作成します。" ma:contentTypeScope="" ma:versionID="e6c8f40911ca497814b2b1c2148e4adf">
  <xsd:schema xmlns:xsd="http://www.w3.org/2001/XMLSchema" xmlns:xs="http://www.w3.org/2001/XMLSchema" xmlns:p="http://schemas.microsoft.com/office/2006/metadata/properties" xmlns:ns3="ad75b2e1-b3f2-475e-b013-d1c3da34d894" xmlns:ns4="185b4987-4390-4281-b171-f48a4a4accc2" targetNamespace="http://schemas.microsoft.com/office/2006/metadata/properties" ma:root="true" ma:fieldsID="e91d986aaf5a63cd11559126867bb5c0" ns3:_="" ns4:_="">
    <xsd:import namespace="ad75b2e1-b3f2-475e-b013-d1c3da34d894"/>
    <xsd:import namespace="185b4987-4390-4281-b171-f48a4a4acc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5b2e1-b3f2-475e-b013-d1c3da34d8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b4987-4390-4281-b171-f48a4a4ac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5FF15A-A2FC-45DA-B0BB-D4C44B753E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BE1E3F-FAE6-4736-B388-FA794E34D7E8}">
  <ds:schemaRefs>
    <ds:schemaRef ds:uri="ad75b2e1-b3f2-475e-b013-d1c3da34d894"/>
    <ds:schemaRef ds:uri="185b4987-4390-4281-b171-f48a4a4accc2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AC80F8-B0E9-46A0-A43C-89F4D1873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5b2e1-b3f2-475e-b013-d1c3da34d894"/>
    <ds:schemaRef ds:uri="185b4987-4390-4281-b171-f48a4a4ac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全体シミュレーション</vt:lpstr>
      <vt:lpstr>大学１グラフ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教養学部等図書課長</dc:creator>
  <cp:lastModifiedBy>教養学部等図書課長</cp:lastModifiedBy>
  <dcterms:created xsi:type="dcterms:W3CDTF">2022-07-26T00:45:30Z</dcterms:created>
  <dcterms:modified xsi:type="dcterms:W3CDTF">2022-07-28T07:14:30Z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0x0101007E00715BD38A534083A8CABBA6AD3441</vt:lpwstr>
  </property>
</Properties>
</file>