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\Desktop\routine correction alex\"/>
    </mc:Choice>
  </mc:AlternateContent>
  <bookViews>
    <workbookView xWindow="0" yWindow="0" windowWidth="28800" windowHeight="12210"/>
  </bookViews>
  <sheets>
    <sheet name="données équipes" sheetId="3" r:id="rId1"/>
    <sheet name="chute" sheetId="1" r:id="rId2"/>
    <sheet name="pendule" sheetId="2" r:id="rId3"/>
  </sheets>
  <calcPr calcId="171027"/>
</workbook>
</file>

<file path=xl/calcChain.xml><?xml version="1.0" encoding="utf-8"?>
<calcChain xmlns="http://schemas.openxmlformats.org/spreadsheetml/2006/main">
  <c r="C1" i="1" l="1"/>
  <c r="E7" i="2" l="1"/>
  <c r="I16" i="1" l="1"/>
  <c r="I14" i="1"/>
  <c r="C14" i="1" l="1"/>
  <c r="C15" i="1"/>
  <c r="C16" i="1"/>
  <c r="C6" i="2" l="1"/>
  <c r="C5" i="2"/>
  <c r="C12" i="1" l="1"/>
  <c r="O12" i="1" s="1"/>
  <c r="C13" i="1"/>
  <c r="O13" i="1" s="1"/>
  <c r="C11" i="1"/>
  <c r="C8" i="2"/>
  <c r="C7" i="2"/>
  <c r="O15" i="1"/>
  <c r="O16" i="1"/>
  <c r="O14" i="1"/>
  <c r="I15" i="1"/>
  <c r="Q13" i="1"/>
  <c r="Q12" i="1"/>
  <c r="Q11" i="1"/>
  <c r="E13" i="1"/>
  <c r="E12" i="1"/>
  <c r="E11" i="1"/>
  <c r="K13" i="1"/>
  <c r="K12" i="1"/>
  <c r="K11" i="1"/>
  <c r="I30" i="1"/>
  <c r="E14" i="1" s="1"/>
  <c r="P11" i="1" l="1"/>
  <c r="R11" i="1" s="1"/>
  <c r="D14" i="1"/>
  <c r="D4" i="1"/>
  <c r="J4" i="1" s="1"/>
  <c r="J13" i="1"/>
  <c r="J12" i="1"/>
  <c r="J11" i="1"/>
  <c r="I13" i="1"/>
  <c r="O11" i="1"/>
  <c r="I11" i="1"/>
  <c r="I12" i="1"/>
  <c r="K14" i="1"/>
  <c r="Q14" i="1"/>
  <c r="P12" i="1"/>
  <c r="P13" i="1"/>
  <c r="D16" i="1"/>
  <c r="D13" i="1"/>
  <c r="Q4" i="1" s="1"/>
  <c r="D11" i="1"/>
  <c r="D15" i="1"/>
  <c r="S4" i="1" s="1"/>
  <c r="D12" i="1"/>
  <c r="E6" i="2"/>
  <c r="E5" i="2"/>
  <c r="D7" i="2"/>
  <c r="J5" i="2"/>
  <c r="J7" i="2" s="1"/>
  <c r="D5" i="2"/>
  <c r="D8" i="2"/>
  <c r="D6" i="2"/>
  <c r="J14" i="1" l="1"/>
  <c r="D6" i="1"/>
  <c r="J6" i="1" s="1"/>
  <c r="P15" i="1"/>
  <c r="P14" i="1"/>
  <c r="R14" i="1" s="1"/>
  <c r="R13" i="1"/>
  <c r="Q6" i="1"/>
  <c r="W13" i="1"/>
  <c r="R12" i="1"/>
  <c r="W12" i="1"/>
  <c r="P6" i="1"/>
  <c r="L11" i="1"/>
  <c r="V11" i="1"/>
  <c r="O5" i="1"/>
  <c r="U16" i="1"/>
  <c r="T4" i="1"/>
  <c r="L12" i="1"/>
  <c r="V12" i="1"/>
  <c r="P5" i="1"/>
  <c r="F12" i="1"/>
  <c r="U12" i="1"/>
  <c r="P4" i="1"/>
  <c r="L13" i="1"/>
  <c r="Q5" i="1"/>
  <c r="V13" i="1"/>
  <c r="U15" i="1"/>
  <c r="F14" i="1"/>
  <c r="R4" i="1"/>
  <c r="U14" i="1"/>
  <c r="O4" i="1"/>
  <c r="U11" i="1"/>
  <c r="F13" i="1"/>
  <c r="U13" i="1"/>
  <c r="W11" i="1"/>
  <c r="O6" i="1"/>
  <c r="F11" i="1"/>
  <c r="P16" i="1"/>
  <c r="D5" i="1"/>
  <c r="J5" i="1" s="1"/>
  <c r="J16" i="1"/>
  <c r="J15" i="1"/>
  <c r="F7" i="2"/>
  <c r="K30" i="1"/>
  <c r="J30" i="1"/>
  <c r="R6" i="1" l="1"/>
  <c r="W14" i="1"/>
  <c r="W15" i="1"/>
  <c r="S6" i="1"/>
  <c r="V16" i="1"/>
  <c r="T5" i="1"/>
  <c r="T6" i="1"/>
  <c r="W16" i="1"/>
  <c r="S5" i="1"/>
  <c r="V15" i="1"/>
  <c r="L14" i="1"/>
  <c r="R5" i="1"/>
  <c r="V14" i="1"/>
  <c r="K16" i="1"/>
  <c r="L16" i="1" s="1"/>
  <c r="E16" i="1"/>
  <c r="F16" i="1" s="1"/>
  <c r="Q16" i="1"/>
  <c r="R16" i="1" s="1"/>
  <c r="Q15" i="1"/>
  <c r="R15" i="1" s="1"/>
  <c r="K15" i="1"/>
  <c r="L15" i="1" s="1"/>
  <c r="E15" i="1"/>
  <c r="F15" i="1" s="1"/>
  <c r="F6" i="2"/>
  <c r="E8" i="2"/>
  <c r="F8" i="2" s="1"/>
  <c r="F5" i="2"/>
  <c r="C4" i="1" l="1"/>
  <c r="I4" i="1" s="1"/>
  <c r="C6" i="1"/>
  <c r="I6" i="1" s="1"/>
  <c r="C5" i="1"/>
  <c r="I5" i="1" s="1"/>
  <c r="I5" i="2"/>
  <c r="I7" i="2" s="1"/>
  <c r="E4" i="1" l="1"/>
  <c r="K4" i="1" s="1"/>
  <c r="F5" i="1"/>
  <c r="L5" i="1" s="1"/>
  <c r="E5" i="1"/>
  <c r="K5" i="1" s="1"/>
  <c r="F6" i="1"/>
  <c r="L6" i="1" s="1"/>
  <c r="L5" i="2"/>
  <c r="L7" i="2" s="1"/>
  <c r="E6" i="1"/>
  <c r="K6" i="1" s="1"/>
  <c r="K5" i="2"/>
  <c r="K7" i="2" s="1"/>
  <c r="F4" i="1"/>
  <c r="G5" i="1" l="1"/>
  <c r="G6" i="1"/>
  <c r="G4" i="1"/>
  <c r="L4" i="1"/>
</calcChain>
</file>

<file path=xl/sharedStrings.xml><?xml version="1.0" encoding="utf-8"?>
<sst xmlns="http://schemas.openxmlformats.org/spreadsheetml/2006/main" count="175" uniqueCount="103">
  <si>
    <t>z1</t>
  </si>
  <si>
    <t>z2</t>
  </si>
  <si>
    <t>z3</t>
  </si>
  <si>
    <t>t1</t>
  </si>
  <si>
    <t>t2</t>
  </si>
  <si>
    <t>t3</t>
  </si>
  <si>
    <t>θ</t>
  </si>
  <si>
    <t>ui</t>
  </si>
  <si>
    <t>tvp</t>
  </si>
  <si>
    <t>e1B</t>
  </si>
  <si>
    <t>e2B</t>
  </si>
  <si>
    <t>e3B</t>
  </si>
  <si>
    <t>e1P</t>
  </si>
  <si>
    <t>Dépend de la fréquence</t>
  </si>
  <si>
    <t>1 kHz</t>
  </si>
  <si>
    <t>10 kHz</t>
  </si>
  <si>
    <t>75 kHz</t>
  </si>
  <si>
    <t>NE PAS MODIFIER</t>
  </si>
  <si>
    <t>Impact (jaune)</t>
  </si>
  <si>
    <t>ug</t>
  </si>
  <si>
    <t>g mesuré</t>
  </si>
  <si>
    <t>m/s²</t>
  </si>
  <si>
    <t>Lcp [m]</t>
  </si>
  <si>
    <t>Lm [m]</t>
  </si>
  <si>
    <t>Ti [s]</t>
  </si>
  <si>
    <t>Tf [s]</t>
  </si>
  <si>
    <t>z1  [m]</t>
  </si>
  <si>
    <t>z2 [m]</t>
  </si>
  <si>
    <t>z3 [m]</t>
  </si>
  <si>
    <t>t1 [s]</t>
  </si>
  <si>
    <t>t2 [s]</t>
  </si>
  <si>
    <t>t3 [s]</t>
  </si>
  <si>
    <t>freq [kHz]</t>
  </si>
  <si>
    <t>Dépend du poste (voir feuille)</t>
  </si>
  <si>
    <t>e4B</t>
  </si>
  <si>
    <t>g min</t>
  </si>
  <si>
    <t>g max</t>
  </si>
  <si>
    <t>e1B t1</t>
  </si>
  <si>
    <t>e1B t2</t>
  </si>
  <si>
    <t>e1B t3</t>
  </si>
  <si>
    <t>Poste</t>
  </si>
  <si>
    <t xml:space="preserve">Poste </t>
  </si>
  <si>
    <t>o/n</t>
  </si>
  <si>
    <t>CHUTE LIBRE</t>
  </si>
  <si>
    <t>PENDULE</t>
  </si>
  <si>
    <t>Type de test</t>
  </si>
  <si>
    <t>Mesure des hauteurs</t>
  </si>
  <si>
    <t>Mesure des longueurs</t>
  </si>
  <si>
    <t>[m/s²]</t>
  </si>
  <si>
    <t>Mesure des temps</t>
  </si>
  <si>
    <t>t i [sec]</t>
  </si>
  <si>
    <t>1 khz</t>
  </si>
  <si>
    <t>10 khz</t>
  </si>
  <si>
    <t>75 khz</t>
  </si>
  <si>
    <t>t f [sec]</t>
  </si>
  <si>
    <t>t1 [sec]</t>
  </si>
  <si>
    <t>t2 [sec]</t>
  </si>
  <si>
    <t>t3 [sec]</t>
  </si>
  <si>
    <t>g théorique</t>
  </si>
  <si>
    <t>3 chiffres significatifs pour le tableau des résultats</t>
  </si>
  <si>
    <t>1kHz</t>
  </si>
  <si>
    <t>10kHz</t>
  </si>
  <si>
    <t>75kHz</t>
  </si>
  <si>
    <t>Vérif</t>
  </si>
  <si>
    <t>θz1</t>
  </si>
  <si>
    <t>θz2</t>
  </si>
  <si>
    <t>θz3</t>
  </si>
  <si>
    <t>θt1</t>
  </si>
  <si>
    <t>θt2</t>
  </si>
  <si>
    <t>θt3</t>
  </si>
  <si>
    <t>1khz</t>
  </si>
  <si>
    <t>10khz</t>
  </si>
  <si>
    <t>75khz</t>
  </si>
  <si>
    <t>les valeus de théthat que nous calculons (elles sont là seulement pour faciliter la lecteur dans matlab).</t>
  </si>
  <si>
    <t>numéro de poste</t>
  </si>
  <si>
    <t>z1 [mm]</t>
  </si>
  <si>
    <t>Lcp [mm]</t>
  </si>
  <si>
    <t>z2 [mm]</t>
  </si>
  <si>
    <t>Lm [mm]</t>
  </si>
  <si>
    <t>z3 [mm]</t>
  </si>
  <si>
    <t xml:space="preserve">Pour le calcul de l'erreur de biais du temps il faut faire racine de e1 e2 </t>
  </si>
  <si>
    <t>meme chose pour position</t>
  </si>
  <si>
    <t>t3_75khz [sec]</t>
  </si>
  <si>
    <t>Chute à 1kHz</t>
  </si>
  <si>
    <t>Chute à 10kHz</t>
  </si>
  <si>
    <t>Chute à 75kHz</t>
  </si>
  <si>
    <t>Pendule</t>
  </si>
  <si>
    <t>θLcp</t>
  </si>
  <si>
    <t>θTi</t>
  </si>
  <si>
    <t>θTf</t>
  </si>
  <si>
    <t xml:space="preserve"> calculé</t>
  </si>
  <si>
    <t>θLm</t>
  </si>
  <si>
    <t>t1_1khz [sec]</t>
  </si>
  <si>
    <t>t2_1khz [sec]</t>
  </si>
  <si>
    <t>t3_1khz [sec]</t>
  </si>
  <si>
    <t>t1_10khz [sec]</t>
  </si>
  <si>
    <t>t2_10khz [sec]</t>
  </si>
  <si>
    <t>t3_10khz [sec]</t>
  </si>
  <si>
    <t>t1_75khz [sec]</t>
  </si>
  <si>
    <t>t2_75khz [sec]</t>
  </si>
  <si>
    <t>A5</t>
  </si>
  <si>
    <t>gmin = gmes.- ug</t>
  </si>
  <si>
    <t>gmax = gmes.+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</si>
</sst>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"/>
    <numFmt numFmtId="165" formatCode="0.000"/>
    <numFmt numFmtId="166" formatCode="0.0000000"/>
    <numFmt numFmtId="167" formatCode="0.000000"/>
    <numFmt numFmtId="168" formatCode="0.00000"/>
    <numFmt numFmtId="169" formatCode="0.000E+00"/>
    <numFmt numFmtId="170" formatCode="0.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5" xfId="0" applyNumberFormat="1" applyBorder="1"/>
    <xf numFmtId="0" fontId="0" fillId="0" borderId="7" xfId="0" applyBorder="1"/>
    <xf numFmtId="11" fontId="0" fillId="0" borderId="8" xfId="0" applyNumberFormat="1" applyBorder="1"/>
    <xf numFmtId="11" fontId="3" fillId="0" borderId="0" xfId="0" applyNumberFormat="1" applyFon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3" fillId="0" borderId="5" xfId="0" applyNumberFormat="1" applyFont="1" applyBorder="1" applyAlignment="1">
      <alignment horizontal="center"/>
    </xf>
    <xf numFmtId="11" fontId="3" fillId="0" borderId="7" xfId="0" applyNumberFormat="1" applyFont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0" fontId="4" fillId="0" borderId="0" xfId="0" applyFont="1" applyAlignment="1">
      <alignment vertical="top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0" fillId="0" borderId="13" xfId="0" applyBorder="1" applyAlignment="1">
      <alignment wrapText="1"/>
    </xf>
    <xf numFmtId="0" fontId="0" fillId="2" borderId="0" xfId="0" applyFill="1" applyBorder="1"/>
    <xf numFmtId="166" fontId="0" fillId="0" borderId="0" xfId="0" applyNumberFormat="1" applyBorder="1"/>
    <xf numFmtId="167" fontId="0" fillId="0" borderId="13" xfId="0" applyNumberFormat="1" applyBorder="1"/>
    <xf numFmtId="2" fontId="0" fillId="0" borderId="0" xfId="0" applyNumberFormat="1" applyBorder="1"/>
    <xf numFmtId="0" fontId="0" fillId="2" borderId="15" xfId="0" applyFill="1" applyBorder="1"/>
    <xf numFmtId="2" fontId="0" fillId="0" borderId="15" xfId="0" applyNumberFormat="1" applyBorder="1"/>
    <xf numFmtId="166" fontId="0" fillId="0" borderId="15" xfId="0" applyNumberFormat="1" applyBorder="1"/>
    <xf numFmtId="167" fontId="0" fillId="0" borderId="16" xfId="0" applyNumberFormat="1" applyBorder="1"/>
    <xf numFmtId="0" fontId="2" fillId="0" borderId="10" xfId="0" applyFont="1" applyBorder="1" applyAlignment="1">
      <alignment horizontal="center"/>
    </xf>
    <xf numFmtId="168" fontId="0" fillId="0" borderId="0" xfId="0" applyNumberFormat="1" applyBorder="1"/>
    <xf numFmtId="168" fontId="0" fillId="0" borderId="15" xfId="0" applyNumberFormat="1" applyBorder="1"/>
    <xf numFmtId="169" fontId="0" fillId="0" borderId="13" xfId="0" applyNumberFormat="1" applyBorder="1"/>
    <xf numFmtId="169" fontId="0" fillId="0" borderId="16" xfId="0" applyNumberFormat="1" applyBorder="1"/>
    <xf numFmtId="170" fontId="0" fillId="0" borderId="0" xfId="0" applyNumberFormat="1" applyBorder="1"/>
    <xf numFmtId="170" fontId="0" fillId="0" borderId="15" xfId="0" applyNumberFormat="1" applyBorder="1"/>
    <xf numFmtId="171" fontId="0" fillId="0" borderId="0" xfId="1" applyNumberFormat="1" applyFont="1"/>
    <xf numFmtId="171" fontId="0" fillId="0" borderId="0" xfId="1" applyNumberFormat="1" applyFont="1" applyBorder="1"/>
    <xf numFmtId="171" fontId="0" fillId="0" borderId="15" xfId="1" applyNumberFormat="1" applyFont="1" applyBorder="1"/>
    <xf numFmtId="171" fontId="0" fillId="0" borderId="9" xfId="1" applyNumberFormat="1" applyFont="1" applyBorder="1"/>
    <xf numFmtId="171" fontId="0" fillId="0" borderId="10" xfId="1" applyNumberFormat="1" applyFont="1" applyBorder="1"/>
    <xf numFmtId="171" fontId="0" fillId="0" borderId="11" xfId="1" applyNumberFormat="1" applyFont="1" applyBorder="1"/>
    <xf numFmtId="171" fontId="0" fillId="0" borderId="12" xfId="1" applyNumberFormat="1" applyFont="1" applyBorder="1"/>
    <xf numFmtId="171" fontId="0" fillId="0" borderId="13" xfId="1" applyNumberFormat="1" applyFont="1" applyBorder="1"/>
    <xf numFmtId="171" fontId="0" fillId="0" borderId="14" xfId="1" applyNumberFormat="1" applyFont="1" applyBorder="1"/>
    <xf numFmtId="171" fontId="0" fillId="0" borderId="16" xfId="1" applyNumberFormat="1" applyFont="1" applyBorder="1"/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8" fontId="0" fillId="0" borderId="0" xfId="0" applyNumberFormat="1"/>
    <xf numFmtId="167" fontId="0" fillId="2" borderId="0" xfId="0" applyNumberFormat="1" applyFill="1" applyBorder="1"/>
    <xf numFmtId="167" fontId="0" fillId="2" borderId="15" xfId="0" applyNumberFormat="1" applyFill="1" applyBorder="1"/>
    <xf numFmtId="168" fontId="0" fillId="2" borderId="0" xfId="0" applyNumberFormat="1" applyFill="1" applyBorder="1"/>
    <xf numFmtId="0" fontId="2" fillId="0" borderId="0" xfId="0" applyFont="1" applyBorder="1" applyAlignment="1">
      <alignment horizontal="left"/>
    </xf>
    <xf numFmtId="2" fontId="0" fillId="0" borderId="0" xfId="0" applyNumberFormat="1"/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ourcentage" xfId="1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sqref="A1:M23"/>
    </sheetView>
  </sheetViews>
  <sheetFormatPr baseColWidth="10" defaultRowHeight="15" x14ac:dyDescent="0.25"/>
  <cols>
    <col min="9" max="9" width="14" customWidth="1"/>
  </cols>
  <sheetData>
    <row r="1" spans="1:19" x14ac:dyDescent="0.25">
      <c r="A1" t="s">
        <v>43</v>
      </c>
      <c r="F1" t="s">
        <v>44</v>
      </c>
      <c r="I1" t="s">
        <v>45</v>
      </c>
      <c r="J1" t="s">
        <v>90</v>
      </c>
      <c r="K1" t="s">
        <v>20</v>
      </c>
      <c r="L1" t="s">
        <v>101</v>
      </c>
      <c r="M1" t="s">
        <v>102</v>
      </c>
    </row>
    <row r="2" spans="1:19" x14ac:dyDescent="0.25">
      <c r="A2" t="s">
        <v>46</v>
      </c>
      <c r="F2" t="s">
        <v>47</v>
      </c>
      <c r="J2" t="s">
        <v>48</v>
      </c>
      <c r="K2" t="s">
        <v>48</v>
      </c>
      <c r="L2" t="s">
        <v>48</v>
      </c>
      <c r="M2" t="s">
        <v>48</v>
      </c>
    </row>
    <row r="3" spans="1:19" x14ac:dyDescent="0.25">
      <c r="A3" t="s">
        <v>75</v>
      </c>
      <c r="B3">
        <v>0</v>
      </c>
      <c r="F3" t="s">
        <v>76</v>
      </c>
      <c r="G3">
        <v>821.96500000000003</v>
      </c>
      <c r="I3" t="s">
        <v>83</v>
      </c>
      <c r="J3">
        <v>0.30573541027275902</v>
      </c>
      <c r="K3">
        <v>9.5194970184080496</v>
      </c>
      <c r="L3">
        <v>9.2137616081352895</v>
      </c>
      <c r="M3">
        <v>9.8252324286808097</v>
      </c>
    </row>
    <row r="4" spans="1:19" x14ac:dyDescent="0.25">
      <c r="A4" t="s">
        <v>77</v>
      </c>
      <c r="B4">
        <v>373.81599999999997</v>
      </c>
      <c r="F4" t="s">
        <v>78</v>
      </c>
      <c r="G4">
        <v>19.119</v>
      </c>
      <c r="I4" t="s">
        <v>84</v>
      </c>
      <c r="J4">
        <v>5.6114752924550003E-2</v>
      </c>
      <c r="K4">
        <v>10.1632322824263</v>
      </c>
      <c r="L4">
        <v>10.1071175295017</v>
      </c>
      <c r="M4">
        <v>10.2193470353508</v>
      </c>
    </row>
    <row r="5" spans="1:19" x14ac:dyDescent="0.25">
      <c r="A5" t="s">
        <v>79</v>
      </c>
      <c r="B5">
        <v>502.82799999999997</v>
      </c>
      <c r="F5" t="s">
        <v>49</v>
      </c>
      <c r="I5" t="s">
        <v>85</v>
      </c>
      <c r="J5">
        <v>5.3059863704750999E-2</v>
      </c>
      <c r="K5">
        <v>9.5670596845798208</v>
      </c>
      <c r="L5">
        <v>9.5139998208750693</v>
      </c>
      <c r="M5">
        <v>9.6201195482845794</v>
      </c>
    </row>
    <row r="6" spans="1:19" x14ac:dyDescent="0.25">
      <c r="A6" t="s">
        <v>49</v>
      </c>
      <c r="F6" t="s">
        <v>50</v>
      </c>
      <c r="G6">
        <v>0.74199999999999999</v>
      </c>
      <c r="I6" t="s">
        <v>86</v>
      </c>
      <c r="J6">
        <v>3.2244087433485003E-2</v>
      </c>
      <c r="K6">
        <v>9.3674869703932302</v>
      </c>
      <c r="L6">
        <v>9.33524288295974</v>
      </c>
      <c r="M6">
        <v>9.3997310578267097</v>
      </c>
      <c r="S6" t="s">
        <v>80</v>
      </c>
    </row>
    <row r="7" spans="1:19" x14ac:dyDescent="0.25">
      <c r="B7" t="s">
        <v>51</v>
      </c>
      <c r="C7" t="s">
        <v>52</v>
      </c>
      <c r="D7" t="s">
        <v>53</v>
      </c>
      <c r="F7" t="s">
        <v>54</v>
      </c>
      <c r="G7">
        <v>2.6139999999999999</v>
      </c>
      <c r="S7" t="s">
        <v>81</v>
      </c>
    </row>
    <row r="8" spans="1:19" x14ac:dyDescent="0.25">
      <c r="A8" t="s">
        <v>55</v>
      </c>
      <c r="B8" s="68">
        <v>0.109</v>
      </c>
      <c r="C8" s="68">
        <v>0.11</v>
      </c>
      <c r="D8">
        <v>0.108</v>
      </c>
    </row>
    <row r="9" spans="1:19" x14ac:dyDescent="0.25">
      <c r="A9" t="s">
        <v>56</v>
      </c>
      <c r="B9" s="68">
        <v>0.29899999999999999</v>
      </c>
      <c r="C9" s="68">
        <v>0.29899999999999999</v>
      </c>
      <c r="D9">
        <v>0.29899999999999999</v>
      </c>
    </row>
    <row r="10" spans="1:19" x14ac:dyDescent="0.25">
      <c r="A10" t="s">
        <v>57</v>
      </c>
      <c r="B10" s="68">
        <v>0.34100000000000003</v>
      </c>
      <c r="C10" s="68">
        <v>0.34</v>
      </c>
      <c r="D10">
        <v>0.34100000000000003</v>
      </c>
    </row>
    <row r="11" spans="1:19" x14ac:dyDescent="0.25">
      <c r="B11" s="72" t="s">
        <v>64</v>
      </c>
      <c r="C11" s="72" t="s">
        <v>65</v>
      </c>
      <c r="D11" s="72" t="s">
        <v>66</v>
      </c>
      <c r="E11" s="72" t="s">
        <v>67</v>
      </c>
      <c r="F11" s="72" t="s">
        <v>68</v>
      </c>
      <c r="G11" s="72" t="s">
        <v>69</v>
      </c>
      <c r="I11" t="s">
        <v>87</v>
      </c>
      <c r="J11" t="s">
        <v>91</v>
      </c>
      <c r="K11" t="s">
        <v>88</v>
      </c>
      <c r="L11" t="s">
        <v>89</v>
      </c>
    </row>
    <row r="12" spans="1:19" x14ac:dyDescent="0.25">
      <c r="A12" t="s">
        <v>51</v>
      </c>
      <c r="B12">
        <v>45.372050816696898</v>
      </c>
      <c r="C12">
        <v>-250.626566416039</v>
      </c>
      <c r="D12">
        <v>205.25451559934299</v>
      </c>
      <c r="E12">
        <v>-48.235046044926499</v>
      </c>
      <c r="F12" s="74">
        <v>719.75058855330997</v>
      </c>
      <c r="G12">
        <v>-671.51554250838399</v>
      </c>
      <c r="I12" s="74">
        <v>11.2654371222895</v>
      </c>
      <c r="J12" s="74">
        <v>5.6327185611447597</v>
      </c>
      <c r="K12">
        <v>10.0079988999927</v>
      </c>
      <c r="L12">
        <v>-10.0079988999927</v>
      </c>
    </row>
    <row r="13" spans="1:19" x14ac:dyDescent="0.25">
      <c r="A13" t="s">
        <v>52</v>
      </c>
      <c r="B13">
        <v>46.008741660915597</v>
      </c>
      <c r="C13">
        <v>-258.09781907342801</v>
      </c>
      <c r="D13">
        <v>212.08907741251301</v>
      </c>
      <c r="E13">
        <v>-46.810995315074599</v>
      </c>
      <c r="F13">
        <v>758.36569481267702</v>
      </c>
      <c r="G13">
        <v>758.36569481267702</v>
      </c>
    </row>
    <row r="14" spans="1:19" x14ac:dyDescent="0.25">
      <c r="A14" t="s">
        <v>53</v>
      </c>
      <c r="B14">
        <v>44.940790508505003</v>
      </c>
      <c r="C14">
        <v>-249.31438544003899</v>
      </c>
      <c r="D14">
        <v>204.373594931534</v>
      </c>
      <c r="E14">
        <v>-46.895608502049697</v>
      </c>
      <c r="F14" s="74">
        <v>715.73324166993302</v>
      </c>
      <c r="G14">
        <v>-668.83763316788395</v>
      </c>
    </row>
    <row r="16" spans="1:19" x14ac:dyDescent="0.25">
      <c r="A16" t="s">
        <v>74</v>
      </c>
      <c r="B16">
        <v>2</v>
      </c>
    </row>
    <row r="25" spans="2:18" x14ac:dyDescent="0.25">
      <c r="C25" t="s">
        <v>75</v>
      </c>
      <c r="D25" t="s">
        <v>77</v>
      </c>
      <c r="E25" t="s">
        <v>79</v>
      </c>
      <c r="F25" t="s">
        <v>92</v>
      </c>
      <c r="G25" t="s">
        <v>93</v>
      </c>
      <c r="H25" t="s">
        <v>94</v>
      </c>
      <c r="I25" t="s">
        <v>95</v>
      </c>
      <c r="J25" t="s">
        <v>96</v>
      </c>
      <c r="K25" t="s">
        <v>97</v>
      </c>
      <c r="L25" t="s">
        <v>98</v>
      </c>
      <c r="M25" t="s">
        <v>99</v>
      </c>
      <c r="N25" t="s">
        <v>82</v>
      </c>
      <c r="O25" t="s">
        <v>76</v>
      </c>
      <c r="P25" t="s">
        <v>78</v>
      </c>
      <c r="Q25" t="s">
        <v>50</v>
      </c>
      <c r="R25" t="s">
        <v>54</v>
      </c>
    </row>
    <row r="26" spans="2:18" x14ac:dyDescent="0.25">
      <c r="B26" t="s">
        <v>100</v>
      </c>
      <c r="C26">
        <v>0</v>
      </c>
      <c r="D26">
        <v>373.82749308412474</v>
      </c>
      <c r="E26">
        <v>502.77930806852021</v>
      </c>
      <c r="F26">
        <v>0.11099180880660867</v>
      </c>
      <c r="G26">
        <v>0.29859644400599827</v>
      </c>
      <c r="H26">
        <v>0.33978604786866118</v>
      </c>
      <c r="I26">
        <v>0.10920207629575437</v>
      </c>
      <c r="J26">
        <v>0.29942191828625353</v>
      </c>
      <c r="K26">
        <v>0.34117658207218138</v>
      </c>
      <c r="L26">
        <v>0.10831873262229148</v>
      </c>
      <c r="M26">
        <v>0.29845067333094644</v>
      </c>
      <c r="N26">
        <v>0.33960961574984605</v>
      </c>
      <c r="O26">
        <v>822.54103131076829</v>
      </c>
      <c r="P26">
        <v>19.423663558399802</v>
      </c>
      <c r="Q26">
        <v>0.74680074564083243</v>
      </c>
      <c r="R26">
        <v>2.5503367933364962</v>
      </c>
    </row>
    <row r="27" spans="2:18" x14ac:dyDescent="0.25">
      <c r="C27">
        <v>0</v>
      </c>
      <c r="D27">
        <v>4.930841247414719E-4</v>
      </c>
      <c r="E27">
        <v>3.0806852021214581E-4</v>
      </c>
      <c r="F27">
        <v>-8.1911933913353385E-6</v>
      </c>
      <c r="G27">
        <v>-4.0355599400171416E-4</v>
      </c>
      <c r="H27">
        <v>-2.1395213133884594E-4</v>
      </c>
      <c r="I27">
        <v>2.020762957543748E-4</v>
      </c>
      <c r="J27">
        <v>4.21918286253542E-4</v>
      </c>
      <c r="K27">
        <v>1.7658207218135269E-4</v>
      </c>
      <c r="L27">
        <v>3.1873262229148436E-4</v>
      </c>
      <c r="M27">
        <v>4.5067333094644946E-4</v>
      </c>
      <c r="N27">
        <v>-3.9038425015397449E-4</v>
      </c>
      <c r="O27">
        <v>3.1310768235925934E-5</v>
      </c>
      <c r="P27">
        <v>-3.3644160019719038E-4</v>
      </c>
      <c r="Q27">
        <v>-1.9925435916756662E-4</v>
      </c>
      <c r="R27">
        <v>3.3679333649638821E-4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5"/>
  <sheetViews>
    <sheetView workbookViewId="0">
      <selection activeCell="K19" sqref="K19"/>
    </sheetView>
  </sheetViews>
  <sheetFormatPr baseColWidth="10" defaultRowHeight="15" x14ac:dyDescent="0.25"/>
  <cols>
    <col min="1" max="1" width="4.140625" customWidth="1"/>
    <col min="2" max="6" width="9.7109375" customWidth="1"/>
    <col min="7" max="7" width="5.5703125" customWidth="1"/>
    <col min="8" max="12" width="9.7109375" customWidth="1"/>
    <col min="13" max="13" width="4" customWidth="1"/>
    <col min="14" max="18" width="9.7109375" customWidth="1"/>
  </cols>
  <sheetData>
    <row r="1" spans="2:23" ht="21.75" customHeight="1" x14ac:dyDescent="0.25">
      <c r="B1" t="s">
        <v>41</v>
      </c>
      <c r="C1" s="22">
        <f>('données équipes'!B16)</f>
        <v>2</v>
      </c>
      <c r="H1" s="1" t="s">
        <v>59</v>
      </c>
    </row>
    <row r="2" spans="2:23" ht="16.5" customHeight="1" x14ac:dyDescent="0.25">
      <c r="B2" s="23"/>
      <c r="D2" s="23"/>
      <c r="E2" s="23"/>
      <c r="F2" s="23"/>
    </row>
    <row r="3" spans="2:23" ht="15" customHeight="1" x14ac:dyDescent="0.25">
      <c r="B3" s="26"/>
      <c r="C3" s="27" t="s">
        <v>19</v>
      </c>
      <c r="D3" s="27" t="s">
        <v>20</v>
      </c>
      <c r="E3" s="27" t="s">
        <v>35</v>
      </c>
      <c r="F3" s="27" t="s">
        <v>36</v>
      </c>
      <c r="G3" s="28" t="s">
        <v>42</v>
      </c>
      <c r="O3" s="72" t="s">
        <v>64</v>
      </c>
      <c r="P3" s="72" t="s">
        <v>65</v>
      </c>
      <c r="Q3" s="72" t="s">
        <v>66</v>
      </c>
      <c r="R3" s="72" t="s">
        <v>67</v>
      </c>
      <c r="S3" s="72" t="s">
        <v>68</v>
      </c>
      <c r="T3" s="72" t="s">
        <v>69</v>
      </c>
    </row>
    <row r="4" spans="2:23" ht="15" customHeight="1" x14ac:dyDescent="0.25">
      <c r="B4" s="29" t="s">
        <v>60</v>
      </c>
      <c r="C4" s="64">
        <f>SQRT(SUM(F11:F16))</f>
        <v>0.30615509992577761</v>
      </c>
      <c r="D4" s="63">
        <f>(2*((C11-C13)/(C14-C16)-(C11-C12)/(C14-C15)))/(C16-C15)</f>
        <v>9.5194970184080532</v>
      </c>
      <c r="E4" s="63">
        <f>D4-C4</f>
        <v>9.2133419184822749</v>
      </c>
      <c r="F4" s="63">
        <f>D4+C4</f>
        <v>9.8256521183338315</v>
      </c>
      <c r="G4" s="30" t="str">
        <f>IF($C$19&gt;=E4, IF($C$19&lt;=F4,"oui","non"), "non")</f>
        <v>oui</v>
      </c>
      <c r="I4" s="56">
        <f>ABS(('données équipes'!J3-chute!C4)/chute!C4)</f>
        <v>1.3708399864001337E-3</v>
      </c>
      <c r="J4" s="57">
        <f>('données équipes'!K3-chute!D4)/chute!D4</f>
        <v>-3.7320392788931421E-16</v>
      </c>
      <c r="K4" s="57">
        <f>('données équipes'!L3-chute!E4)/chute!E4</f>
        <v>4.5552380094863475E-5</v>
      </c>
      <c r="L4" s="58">
        <f>('données équipes'!M3-chute!F4)/chute!F4</f>
        <v>-4.2713669074304338E-5</v>
      </c>
      <c r="N4" t="s">
        <v>70</v>
      </c>
      <c r="O4">
        <f>ABS(('données équipes'!B12-chute!D11)/chute!D11)</f>
        <v>3.1320723792305217E-16</v>
      </c>
      <c r="P4">
        <f>ABS(('données équipes'!C12-chute!D12)/chute!D12)</f>
        <v>3.4020786188193633E-15</v>
      </c>
      <c r="Q4">
        <f>ABS(('données équipes'!D12-chute!D13)/chute!D13)</f>
        <v>0</v>
      </c>
      <c r="R4">
        <f>ABS(('données équipes'!E12-chute!D14)/chute!D14)</f>
        <v>1.9150091732633196E-15</v>
      </c>
      <c r="S4">
        <f>ABS(('données équipes'!F12-chute!D15)/chute!D15)</f>
        <v>9.4771860860961648E-16</v>
      </c>
      <c r="T4">
        <f>ABS(('données équipes'!G12-chute!D16)/chute!D16)</f>
        <v>1.6929889261676563E-16</v>
      </c>
    </row>
    <row r="5" spans="2:23" ht="15" customHeight="1" x14ac:dyDescent="0.25">
      <c r="B5" s="29" t="s">
        <v>61</v>
      </c>
      <c r="C5" s="64">
        <f>SQRT(SUM(L11:L16))</f>
        <v>5.8495955864051152E-2</v>
      </c>
      <c r="D5" s="64">
        <f>((I11-I13)/(I14-I16) - (I11-I12)/(I14-I15)) *2/(I16-I15)</f>
        <v>10.163232282426312</v>
      </c>
      <c r="E5" s="64">
        <f>D5-C5</f>
        <v>10.104736326562261</v>
      </c>
      <c r="F5" s="64">
        <f t="shared" ref="F5:F6" si="0">D5+C5</f>
        <v>10.221728238290364</v>
      </c>
      <c r="G5" s="30" t="str">
        <f>IF($C$19&gt;=E5, IF($C$19&lt;=F5,"oui","non"), "non")</f>
        <v>non</v>
      </c>
      <c r="I5" s="59">
        <f>ABS(('données équipes'!J4-chute!C5)/chute!C5)</f>
        <v>4.0707137858132243E-2</v>
      </c>
      <c r="J5" s="54">
        <f>('données équipes'!K4-chute!D5)/chute!D5</f>
        <v>-1.2234786660640223E-15</v>
      </c>
      <c r="K5" s="54">
        <f>('données équipes'!L4-chute!E5)/chute!E5</f>
        <v>2.3565215978765973E-4</v>
      </c>
      <c r="L5" s="60">
        <f>('données équipes'!M4-chute!F5)/chute!F5</f>
        <v>-2.329550232654036E-4</v>
      </c>
      <c r="N5" t="s">
        <v>71</v>
      </c>
      <c r="O5">
        <f>ABS(('données équipes'!B13-chute!J11)/chute!J11)</f>
        <v>0</v>
      </c>
      <c r="P5">
        <f>ABS(('données équipes'!C13-chute!J12)/chute!J12)</f>
        <v>2.2023982637620086E-15</v>
      </c>
      <c r="Q5">
        <f>ABS(('données équipes'!D13-chute!J13)/chute!J13)</f>
        <v>1.3400835996435503E-16</v>
      </c>
      <c r="R5">
        <f>ABS(('données équipes'!E13-chute!J14)/chute!J14)</f>
        <v>4.5536912704649304E-16</v>
      </c>
      <c r="S5">
        <f>ABS(('données équipes'!F13-chute!J15)/chute!J15)</f>
        <v>1.4991031173911111E-16</v>
      </c>
      <c r="T5">
        <f>ABS(('données équipes'!G13-chute!J16)/chute!J16)</f>
        <v>2.0657869245303639</v>
      </c>
    </row>
    <row r="6" spans="2:23" ht="15" customHeight="1" x14ac:dyDescent="0.25">
      <c r="B6" s="31" t="s">
        <v>62</v>
      </c>
      <c r="C6" s="65">
        <f>SQRT(SUM(R11:R16))</f>
        <v>5.5404145200089676E-2</v>
      </c>
      <c r="D6" s="65">
        <f>(2*((O11-O13)/(O14-O16)-(O11-O12)/(O14-O15)))/(O16-O15)</f>
        <v>9.5670596845798279</v>
      </c>
      <c r="E6" s="65">
        <f t="shared" ref="E6" si="1">D6-C6</f>
        <v>9.5116555393797384</v>
      </c>
      <c r="F6" s="65">
        <f t="shared" si="0"/>
        <v>9.6224638297799174</v>
      </c>
      <c r="G6" s="32" t="str">
        <f>IF($C$19&gt;=E6, IF($C$19&lt;=F6,"oui","non"), "non")</f>
        <v>non</v>
      </c>
      <c r="I6" s="61">
        <f>ABS(('données équipes'!J5-chute!C6)/chute!C6)</f>
        <v>4.231238451333208E-2</v>
      </c>
      <c r="J6" s="55">
        <f>('données équipes'!K5-chute!D6)/chute!D6</f>
        <v>-7.4269708686499769E-16</v>
      </c>
      <c r="K6" s="55">
        <f>('données équipes'!L5-chute!E6)/chute!E6</f>
        <v>2.4646408668031083E-4</v>
      </c>
      <c r="L6" s="62">
        <f>('données équipes'!M5-chute!F6)/chute!F6</f>
        <v>-2.4362590879093695E-4</v>
      </c>
      <c r="N6" t="s">
        <v>72</v>
      </c>
      <c r="O6">
        <f>ABS(('données équipes'!B14-chute!P11)/chute!P11)</f>
        <v>1.5810641684765882E-16</v>
      </c>
      <c r="P6">
        <f>ABS(('données équipes'!C14-chute!P12)/chute!P12)</f>
        <v>2.8499869131337639E-15</v>
      </c>
      <c r="Q6">
        <f>ABS(('données équipes'!D14-chute!P13)/chute!P13)</f>
        <v>3.0594833333452731E-15</v>
      </c>
      <c r="R6">
        <f>ABS(('données équipes'!E14-chute!P14)/chute!P14)</f>
        <v>6.0606334661723696E-16</v>
      </c>
      <c r="S6">
        <f>ABS(('données équipes'!F14-chute!P15)/chute!P15)</f>
        <v>9.5303806867791384E-16</v>
      </c>
      <c r="T6">
        <f>ABS(('données équipes'!G14-chute!P16)/chute!P16)</f>
        <v>0</v>
      </c>
    </row>
    <row r="7" spans="2:23" ht="15" customHeight="1" x14ac:dyDescent="0.25"/>
    <row r="9" spans="2:23" x14ac:dyDescent="0.25">
      <c r="B9" s="26" t="s">
        <v>32</v>
      </c>
      <c r="C9" s="33">
        <v>1</v>
      </c>
      <c r="D9" s="34"/>
      <c r="E9" s="34"/>
      <c r="F9" s="35"/>
      <c r="H9" s="26" t="s">
        <v>32</v>
      </c>
      <c r="I9" s="33">
        <v>10</v>
      </c>
      <c r="J9" s="34"/>
      <c r="K9" s="34"/>
      <c r="L9" s="35"/>
      <c r="N9" s="26" t="s">
        <v>32</v>
      </c>
      <c r="O9" s="33">
        <v>75</v>
      </c>
      <c r="P9" s="34"/>
      <c r="Q9" s="34"/>
      <c r="R9" s="35"/>
    </row>
    <row r="10" spans="2:23" ht="30" x14ac:dyDescent="0.25">
      <c r="B10" s="29"/>
      <c r="C10" s="6"/>
      <c r="D10" s="36" t="s">
        <v>6</v>
      </c>
      <c r="E10" s="17" t="s">
        <v>7</v>
      </c>
      <c r="F10" s="37" t="s">
        <v>18</v>
      </c>
      <c r="H10" s="29"/>
      <c r="I10" s="6"/>
      <c r="J10" s="36" t="s">
        <v>6</v>
      </c>
      <c r="K10" s="17" t="s">
        <v>7</v>
      </c>
      <c r="L10" s="37" t="s">
        <v>18</v>
      </c>
      <c r="N10" s="29"/>
      <c r="O10" s="6"/>
      <c r="P10" s="36" t="s">
        <v>6</v>
      </c>
      <c r="Q10" s="17" t="s">
        <v>7</v>
      </c>
      <c r="R10" s="37" t="s">
        <v>18</v>
      </c>
      <c r="U10" t="s">
        <v>73</v>
      </c>
    </row>
    <row r="11" spans="2:23" x14ac:dyDescent="0.25">
      <c r="B11" s="29" t="s">
        <v>26</v>
      </c>
      <c r="C11" s="38">
        <f>'données équipes'!B3/1000</f>
        <v>0</v>
      </c>
      <c r="D11" s="41">
        <f>(2*(1/(C14-C16)-1/(C14-C15)))/(C16-C15)</f>
        <v>45.372050816696913</v>
      </c>
      <c r="E11" s="39">
        <f>SQRT($C$18^2 *$C$35^2  +   ($C$32^2+$C$33^2+$C$34^2)   )</f>
        <v>1.5033296378372908E-4</v>
      </c>
      <c r="F11" s="40">
        <f t="shared" ref="F11:F16" si="2">(D11*E11)^2</f>
        <v>4.6524879694072148E-5</v>
      </c>
      <c r="H11" s="29" t="s">
        <v>26</v>
      </c>
      <c r="I11" s="38">
        <f>C11</f>
        <v>0</v>
      </c>
      <c r="J11" s="41">
        <f>(2*(1/(I14-I16)-1/(I14-I15)))/(I16-I15)</f>
        <v>46.008741660915597</v>
      </c>
      <c r="K11" s="39">
        <f>SQRT($C$18^2 *$C$35^2  +   ($C$32^2+$C$33^2+$C$34^2)   )</f>
        <v>1.5033296378372908E-4</v>
      </c>
      <c r="L11" s="40">
        <f>(J11*K11)^2</f>
        <v>4.783977738839167E-5</v>
      </c>
      <c r="N11" s="29" t="s">
        <v>26</v>
      </c>
      <c r="O11" s="38">
        <f>C11</f>
        <v>0</v>
      </c>
      <c r="P11" s="41">
        <f>(2*(1/(O14-O16)-1/(O14-O15)))/(O16-O15)</f>
        <v>44.94079050850501</v>
      </c>
      <c r="Q11" s="39">
        <f>SQRT($C$18^2 *$C$35^2  +   ($C$32^2+$C$33^2+$C$34^2)   )</f>
        <v>1.5033296378372908E-4</v>
      </c>
      <c r="R11" s="40">
        <f>(P11*Q11)^2</f>
        <v>4.5644647124562939E-5</v>
      </c>
      <c r="U11" s="73">
        <f>D11</f>
        <v>45.372050816696913</v>
      </c>
      <c r="V11" s="73">
        <f>J11</f>
        <v>46.008741660915597</v>
      </c>
      <c r="W11" s="73">
        <f>P11</f>
        <v>44.94079050850501</v>
      </c>
    </row>
    <row r="12" spans="2:23" x14ac:dyDescent="0.25">
      <c r="B12" s="29" t="s">
        <v>27</v>
      </c>
      <c r="C12" s="71">
        <f>'données équipes'!B4/1000</f>
        <v>0.37381599999999998</v>
      </c>
      <c r="D12" s="41">
        <f>2/((C16-C15)*(C14-C15))</f>
        <v>-250.62656641603985</v>
      </c>
      <c r="E12" s="39">
        <f>SQRT($C$18^2 *$D$35^2  +   ($D$32^2+$D$33^2+$D$34^2)   )</f>
        <v>1.5033296378372908E-4</v>
      </c>
      <c r="F12" s="40">
        <f t="shared" si="2"/>
        <v>1.4195890729329561E-3</v>
      </c>
      <c r="H12" s="29" t="s">
        <v>27</v>
      </c>
      <c r="I12" s="38">
        <f t="shared" ref="I12:I13" si="3">C12</f>
        <v>0.37381599999999998</v>
      </c>
      <c r="J12" s="41">
        <f>2/((I16-I15)*(I14-I15))</f>
        <v>-258.09781907342858</v>
      </c>
      <c r="K12" s="39">
        <f>SQRT($C$18^2 *$D$35^2  +   ($D$32^2+$D$33^2+$D$34^2)   )</f>
        <v>1.5033296378372908E-4</v>
      </c>
      <c r="L12" s="40">
        <f>(J12*K12)^2</f>
        <v>1.505487343156402E-3</v>
      </c>
      <c r="N12" s="29" t="s">
        <v>27</v>
      </c>
      <c r="O12" s="38">
        <f t="shared" ref="O12:O13" si="4">C12</f>
        <v>0.37381599999999998</v>
      </c>
      <c r="P12" s="41">
        <f>2/((O16-O15)*(O14-O15))</f>
        <v>-249.3143854400397</v>
      </c>
      <c r="Q12" s="39">
        <f>SQRT($C$18^2 *$D$35^2  +   ($D$32^2+$D$33^2+$D$34^2)   )</f>
        <v>1.5033296378372908E-4</v>
      </c>
      <c r="R12" s="40">
        <f t="shared" ref="R12:R16" si="5">(P12*Q12)^2</f>
        <v>1.4047631789939898E-3</v>
      </c>
      <c r="U12" s="73">
        <f t="shared" ref="U12:U16" si="6">D12</f>
        <v>-250.62656641603985</v>
      </c>
      <c r="V12" s="73">
        <f t="shared" ref="V12:V16" si="7">J12</f>
        <v>-258.09781907342858</v>
      </c>
      <c r="W12" s="73">
        <f t="shared" ref="W12:W16" si="8">P12</f>
        <v>-249.3143854400397</v>
      </c>
    </row>
    <row r="13" spans="2:23" x14ac:dyDescent="0.25">
      <c r="B13" s="29" t="s">
        <v>28</v>
      </c>
      <c r="C13" s="38">
        <f>'données équipes'!B5/1000</f>
        <v>0.50282799999999994</v>
      </c>
      <c r="D13" s="41">
        <f>-2/((C16-C15)*(C14-C16))</f>
        <v>205.25451559934299</v>
      </c>
      <c r="E13" s="39">
        <f>SQRT($C$18^2 *$E$35^2  +   ($E$32^2+$E$33^2+$E$34^2)   )</f>
        <v>1.5033296378372908E-4</v>
      </c>
      <c r="F13" s="40">
        <f t="shared" si="2"/>
        <v>9.5212480553061296E-4</v>
      </c>
      <c r="H13" s="29" t="s">
        <v>28</v>
      </c>
      <c r="I13" s="38">
        <f t="shared" si="3"/>
        <v>0.50282799999999994</v>
      </c>
      <c r="J13" s="41">
        <f>-2/((I16-I15)*(I14-I16))</f>
        <v>212.08907741251303</v>
      </c>
      <c r="K13" s="39">
        <f>SQRT($C$18^2 *$E$35^2  +   ($E$32^2+$E$33^2+$E$34^2)   )</f>
        <v>1.5033296378372908E-4</v>
      </c>
      <c r="L13" s="40">
        <f t="shared" ref="L13:L16" si="9">(J13*K13)^2</f>
        <v>1.0165881547238155E-3</v>
      </c>
      <c r="N13" s="29" t="s">
        <v>28</v>
      </c>
      <c r="O13" s="38">
        <f t="shared" si="4"/>
        <v>0.50282799999999994</v>
      </c>
      <c r="P13" s="41">
        <f>-2/((O16-O15)*(O14-O16))</f>
        <v>204.37359493153463</v>
      </c>
      <c r="Q13" s="39">
        <f>SQRT($C$18^2 *$E$35^2  +   ($E$32^2+$E$33^2+$E$34^2)   )</f>
        <v>1.5033296378372908E-4</v>
      </c>
      <c r="R13" s="40">
        <f t="shared" si="5"/>
        <v>9.4396959849840124E-4</v>
      </c>
      <c r="U13" s="73">
        <f t="shared" si="6"/>
        <v>205.25451559934299</v>
      </c>
      <c r="V13" s="73">
        <f t="shared" si="7"/>
        <v>212.08907741251303</v>
      </c>
      <c r="W13" s="73">
        <f t="shared" si="8"/>
        <v>204.37359493153463</v>
      </c>
    </row>
    <row r="14" spans="2:23" x14ac:dyDescent="0.25">
      <c r="B14" s="29" t="s">
        <v>29</v>
      </c>
      <c r="C14" s="69">
        <f>'données équipes'!B8</f>
        <v>0.109</v>
      </c>
      <c r="D14" s="41">
        <f>2/(C16-C15) * ((C11-C12)/(C14-C15)^2 - (C11-C13)/(C14-C16)^2)</f>
        <v>-48.235046044926591</v>
      </c>
      <c r="E14" s="39">
        <f>SQRT($C$18^2*$C$27^2 +   ($I$30^2 +$C$24^2)   )</f>
        <v>2.6683377441583361E-4</v>
      </c>
      <c r="F14" s="40">
        <f t="shared" si="2"/>
        <v>1.6565593258145166E-4</v>
      </c>
      <c r="H14" s="29" t="s">
        <v>29</v>
      </c>
      <c r="I14" s="38">
        <f>'données équipes'!C8</f>
        <v>0.11</v>
      </c>
      <c r="J14" s="41">
        <f>2/(I16-I15) * ((I11-I12)/(I14-I15)^2 - (I11-I13)/(I14-I16)^2)</f>
        <v>-46.810995315074621</v>
      </c>
      <c r="K14" s="39">
        <f>SQRT($C$18^2*$C$28^2 +   ($I$30^2 +$C$25^2)   )</f>
        <v>1.6013471484971644E-5</v>
      </c>
      <c r="L14" s="40">
        <f t="shared" si="9"/>
        <v>5.6190996280345808E-7</v>
      </c>
      <c r="N14" s="29" t="s">
        <v>29</v>
      </c>
      <c r="O14" s="38">
        <f>'données équipes'!D8</f>
        <v>0.108</v>
      </c>
      <c r="P14" s="41">
        <f>2/(O16-O15) * ((O11-O12)/(O14-O15)^2 - (O11-O13)/(O14-O16)^2)</f>
        <v>-46.895608502049726</v>
      </c>
      <c r="Q14" s="39">
        <f>SQRT($C$18^2*$C$29^2 +   ($I$30^2 +$C$26^2)   )</f>
        <v>1.6008234412326677E-5</v>
      </c>
      <c r="R14" s="40">
        <f t="shared" si="5"/>
        <v>5.6357435321821424E-7</v>
      </c>
      <c r="U14" s="73">
        <f t="shared" si="6"/>
        <v>-48.235046044926591</v>
      </c>
      <c r="V14" s="73">
        <f t="shared" si="7"/>
        <v>-46.810995315074621</v>
      </c>
      <c r="W14" s="73">
        <f t="shared" si="8"/>
        <v>-46.895608502049726</v>
      </c>
    </row>
    <row r="15" spans="2:23" x14ac:dyDescent="0.25">
      <c r="B15" s="29" t="s">
        <v>30</v>
      </c>
      <c r="C15" s="69">
        <f>'données équipes'!B9</f>
        <v>0.29899999999999999</v>
      </c>
      <c r="D15" s="41">
        <f>(2*((C11-C13)/(C14-C16)-(C11-C12)/(C14-C15))) / (C16-C15)^2   -(2*(C11-C12))/((C16-C15)*(C14-C15)^2)</f>
        <v>719.75058855331065</v>
      </c>
      <c r="E15" s="39">
        <f>SQRT($C$18^2*$D$27^2 +   ($J$30^2 +$D$24^2)   )</f>
        <v>3.0488050528034751E-4</v>
      </c>
      <c r="F15" s="40">
        <f t="shared" si="2"/>
        <v>4.8153002100568595E-2</v>
      </c>
      <c r="H15" s="29" t="s">
        <v>30</v>
      </c>
      <c r="I15" s="38">
        <f>'données équipes'!C9</f>
        <v>0.29899999999999999</v>
      </c>
      <c r="J15" s="41">
        <f>(2*((I11-I13)/(I14-I16)-(I11-I12)/(I14-I15))) / (I16-I15)^2   -(2*(I11-I12))/((I16-I15)*(I14-I15)^2)</f>
        <v>758.36569481267713</v>
      </c>
      <c r="K15" s="39">
        <f>SQRT($C$18^2*$D$28^2 +   ($J$30^2 +$D$25^2)   )</f>
        <v>2.2458239022683855E-5</v>
      </c>
      <c r="L15" s="40">
        <f t="shared" si="9"/>
        <v>2.900739692939652E-4</v>
      </c>
      <c r="N15" s="29" t="s">
        <v>30</v>
      </c>
      <c r="O15" s="38">
        <f>'données équipes'!D9</f>
        <v>0.29899999999999999</v>
      </c>
      <c r="P15" s="41">
        <f>(2*((O11-O13)/(O14-O16)-(O11-O12)/(O14-O15))) / (O16-O15)^2   -(2*(O11-O12))/((O16-O15)*(O14-O15)^2)</f>
        <v>715.7332416699337</v>
      </c>
      <c r="Q15" s="39">
        <f>SQRT($C$18^2*$D$29^2 +   ($J$30^2 +$D$26^2)   )</f>
        <v>2.2183890551479017E-5</v>
      </c>
      <c r="R15" s="40">
        <f t="shared" si="5"/>
        <v>2.5210287828897896E-4</v>
      </c>
      <c r="U15" s="73">
        <f t="shared" si="6"/>
        <v>719.75058855331065</v>
      </c>
      <c r="V15" s="73">
        <f t="shared" si="7"/>
        <v>758.36569481267713</v>
      </c>
      <c r="W15" s="73">
        <f t="shared" si="8"/>
        <v>715.7332416699337</v>
      </c>
    </row>
    <row r="16" spans="2:23" x14ac:dyDescent="0.25">
      <c r="B16" s="31" t="s">
        <v>31</v>
      </c>
      <c r="C16" s="70">
        <f>'données équipes'!B10</f>
        <v>0.34100000000000003</v>
      </c>
      <c r="D16" s="43">
        <f>-(2*((C11-C13)/(C14-C16)-(C11-C12)/(C14-C15))) / (C16-C15)^2    +   (2*(C11-C13))/((C16-C15)*(C14-C16)^2)</f>
        <v>-671.5155425083841</v>
      </c>
      <c r="E16" s="44">
        <f>SQRT($C$18^2*$E$27^2 +   ($K$30^2 +$E$24^2)   )</f>
        <v>3.0877924541652729E-4</v>
      </c>
      <c r="F16" s="45">
        <f t="shared" si="2"/>
        <v>4.2994048419255193E-2</v>
      </c>
      <c r="H16" s="31" t="s">
        <v>31</v>
      </c>
      <c r="I16" s="42">
        <f>'données équipes'!C10</f>
        <v>0.34</v>
      </c>
      <c r="J16" s="43">
        <f>-(2*((I11-I13)/(I14-I16)-(I11-I12)/(I14-I15))) / (I16-I15)^2    +   (2*(I11-I13))/((I16-I15)*(I14-I16)^2)</f>
        <v>-711.55469949760254</v>
      </c>
      <c r="K16" s="44">
        <f>SQRT($C$18^2*$E$28^2 +   ($K$30^2 +$E$25^2)   )</f>
        <v>3.3293578960514297E-5</v>
      </c>
      <c r="L16" s="45">
        <f t="shared" si="9"/>
        <v>5.612256979236433E-4</v>
      </c>
      <c r="N16" s="31" t="s">
        <v>31</v>
      </c>
      <c r="O16" s="42">
        <f>'données équipes'!D10</f>
        <v>0.34100000000000003</v>
      </c>
      <c r="P16" s="43">
        <f>-(2*((O11-O13)/(O14-O16)-(O11-O12)/(O14-O15))) / (O16-O15)^2    +   (2*(O11-O13))/((O16-O15)*(O14-O16)^2)</f>
        <v>-668.83763316788395</v>
      </c>
      <c r="Q16" s="44">
        <f>SQRT($C$18^2*$E$29^2 +   ($K$30^2 +$E$26^2)   )</f>
        <v>3.0734872701867498E-5</v>
      </c>
      <c r="R16" s="45">
        <f t="shared" si="5"/>
        <v>4.2257542809346835E-4</v>
      </c>
      <c r="U16" s="73">
        <f t="shared" si="6"/>
        <v>-671.5155425083841</v>
      </c>
      <c r="V16" s="73">
        <f t="shared" si="7"/>
        <v>-711.55469949760254</v>
      </c>
      <c r="W16" s="73">
        <f t="shared" si="8"/>
        <v>-668.83763316788395</v>
      </c>
    </row>
    <row r="18" spans="2:18" x14ac:dyDescent="0.25">
      <c r="B18" t="s">
        <v>8</v>
      </c>
      <c r="C18">
        <v>2</v>
      </c>
    </row>
    <row r="19" spans="2:18" x14ac:dyDescent="0.25">
      <c r="B19" s="25" t="s">
        <v>58</v>
      </c>
      <c r="C19">
        <v>9.8070000000000004</v>
      </c>
    </row>
    <row r="22" spans="2:18" x14ac:dyDescent="0.25">
      <c r="B22" s="2" t="s">
        <v>17</v>
      </c>
      <c r="C22" s="3"/>
      <c r="D22" s="3" t="s">
        <v>13</v>
      </c>
      <c r="E22" s="3"/>
      <c r="F22" s="4"/>
      <c r="H22" s="16"/>
      <c r="I22" s="75" t="s">
        <v>40</v>
      </c>
      <c r="J22" s="75"/>
      <c r="K22" s="75"/>
      <c r="L22" s="75"/>
      <c r="M22" s="75"/>
      <c r="N22" s="75"/>
      <c r="O22" s="75"/>
      <c r="P22" s="75"/>
      <c r="Q22" s="75"/>
      <c r="R22" s="76"/>
    </row>
    <row r="23" spans="2:18" x14ac:dyDescent="0.25">
      <c r="B23" s="5"/>
      <c r="C23" s="6" t="s">
        <v>3</v>
      </c>
      <c r="D23" s="6" t="s">
        <v>4</v>
      </c>
      <c r="E23" s="6" t="s">
        <v>5</v>
      </c>
      <c r="F23" s="7"/>
      <c r="H23" s="5"/>
      <c r="I23" s="17">
        <v>1</v>
      </c>
      <c r="J23" s="17">
        <v>2</v>
      </c>
      <c r="K23" s="17">
        <v>3</v>
      </c>
      <c r="L23" s="17">
        <v>4</v>
      </c>
      <c r="M23" s="17">
        <v>5</v>
      </c>
      <c r="N23" s="17">
        <v>6</v>
      </c>
      <c r="O23" s="17">
        <v>7</v>
      </c>
      <c r="P23" s="17">
        <v>8</v>
      </c>
      <c r="Q23" s="17">
        <v>9</v>
      </c>
      <c r="R23" s="18">
        <v>10</v>
      </c>
    </row>
    <row r="24" spans="2:18" x14ac:dyDescent="0.25">
      <c r="B24" s="5" t="s">
        <v>10</v>
      </c>
      <c r="C24" s="8">
        <v>6.0000000000000002E-5</v>
      </c>
      <c r="D24" s="8">
        <v>1E-4</v>
      </c>
      <c r="E24" s="8">
        <v>1.2999999999999999E-4</v>
      </c>
      <c r="F24" s="7" t="s">
        <v>14</v>
      </c>
      <c r="H24" s="5" t="s">
        <v>37</v>
      </c>
      <c r="I24" s="15">
        <v>3.3599999999999999E-7</v>
      </c>
      <c r="J24" s="15">
        <v>5.13E-7</v>
      </c>
      <c r="K24" s="15">
        <v>1.97E-7</v>
      </c>
      <c r="L24" s="15">
        <v>6.06E-8</v>
      </c>
      <c r="M24" s="15">
        <v>2.4700000000000001E-6</v>
      </c>
      <c r="N24" s="15">
        <v>1.1899999999999999E-7</v>
      </c>
      <c r="O24" s="15">
        <v>1.42E-7</v>
      </c>
      <c r="P24" s="15">
        <v>2.7500000000000001E-7</v>
      </c>
      <c r="Q24" s="15">
        <v>4.2500000000000001E-7</v>
      </c>
      <c r="R24" s="19">
        <v>2.5799999999999999E-6</v>
      </c>
    </row>
    <row r="25" spans="2:18" x14ac:dyDescent="0.25">
      <c r="B25" s="5" t="s">
        <v>10</v>
      </c>
      <c r="C25" s="8">
        <v>4.0999999999999999E-7</v>
      </c>
      <c r="D25" s="8">
        <v>3.4999999999999999E-6</v>
      </c>
      <c r="E25" s="8">
        <v>1.2799999999999999E-5</v>
      </c>
      <c r="F25" s="7" t="s">
        <v>15</v>
      </c>
      <c r="H25" s="5" t="s">
        <v>38</v>
      </c>
      <c r="I25" s="15">
        <v>3.0400000000000001E-6</v>
      </c>
      <c r="J25" s="15">
        <v>2.8499999999999998E-6</v>
      </c>
      <c r="K25" s="15">
        <v>4.1899999999999997E-6</v>
      </c>
      <c r="L25" s="15">
        <v>1.0499999999999999E-6</v>
      </c>
      <c r="M25" s="15">
        <v>4.0199999999999996E-6</v>
      </c>
      <c r="N25" s="15">
        <v>8.5099999999999998E-7</v>
      </c>
      <c r="O25" s="15">
        <v>8.2999999999999999E-7</v>
      </c>
      <c r="P25" s="15">
        <v>4.2400000000000001E-6</v>
      </c>
      <c r="Q25" s="15">
        <v>1.33E-6</v>
      </c>
      <c r="R25" s="19">
        <v>4.2699999999999998E-6</v>
      </c>
    </row>
    <row r="26" spans="2:18" x14ac:dyDescent="0.25">
      <c r="B26" s="5" t="s">
        <v>10</v>
      </c>
      <c r="C26" s="8">
        <v>2E-8</v>
      </c>
      <c r="D26" s="8">
        <v>4.9999999999999998E-8</v>
      </c>
      <c r="E26" s="8">
        <v>9.9999999999999995E-8</v>
      </c>
      <c r="F26" s="7" t="s">
        <v>16</v>
      </c>
      <c r="H26" s="9" t="s">
        <v>39</v>
      </c>
      <c r="I26" s="20">
        <v>6.3600000000000001E-6</v>
      </c>
      <c r="J26" s="20">
        <v>6.6800000000000004E-6</v>
      </c>
      <c r="K26" s="20">
        <v>6.2099999999999998E-6</v>
      </c>
      <c r="L26" s="20">
        <v>2.3199999999999998E-6</v>
      </c>
      <c r="M26" s="20">
        <v>5.7200000000000003E-6</v>
      </c>
      <c r="N26" s="20">
        <v>5.9100000000000002E-6</v>
      </c>
      <c r="O26" s="20">
        <v>1.86E-6</v>
      </c>
      <c r="P26" s="20">
        <v>6.2099999999999998E-6</v>
      </c>
      <c r="Q26" s="20">
        <v>6.5200000000000003E-6</v>
      </c>
      <c r="R26" s="21">
        <v>6.8000000000000001E-6</v>
      </c>
    </row>
    <row r="27" spans="2:18" x14ac:dyDescent="0.25">
      <c r="B27" s="5" t="s">
        <v>12</v>
      </c>
      <c r="C27" s="8">
        <v>1.2999999999999999E-4</v>
      </c>
      <c r="D27" s="8">
        <v>1.44E-4</v>
      </c>
      <c r="E27" s="8">
        <v>1.3999999999999999E-4</v>
      </c>
      <c r="F27" s="7" t="s">
        <v>14</v>
      </c>
    </row>
    <row r="28" spans="2:18" x14ac:dyDescent="0.25">
      <c r="B28" s="5" t="s">
        <v>12</v>
      </c>
      <c r="C28" s="8">
        <v>7.9999999999999996E-6</v>
      </c>
      <c r="D28" s="8">
        <v>1.1E-5</v>
      </c>
      <c r="E28" s="8">
        <v>1.5E-5</v>
      </c>
      <c r="F28" s="7" t="s">
        <v>15</v>
      </c>
      <c r="H28" t="s">
        <v>33</v>
      </c>
    </row>
    <row r="29" spans="2:18" x14ac:dyDescent="0.25">
      <c r="B29" s="5" t="s">
        <v>12</v>
      </c>
      <c r="C29" s="8">
        <v>7.9999999999999996E-6</v>
      </c>
      <c r="D29" s="8">
        <v>1.1E-5</v>
      </c>
      <c r="E29" s="8">
        <v>1.5E-5</v>
      </c>
      <c r="F29" s="7" t="s">
        <v>16</v>
      </c>
      <c r="I29" t="s">
        <v>3</v>
      </c>
      <c r="J29" t="s">
        <v>4</v>
      </c>
      <c r="K29" t="s">
        <v>5</v>
      </c>
    </row>
    <row r="30" spans="2:18" x14ac:dyDescent="0.25">
      <c r="B30" s="5"/>
      <c r="C30" s="6"/>
      <c r="D30" s="8"/>
      <c r="E30" s="8"/>
      <c r="F30" s="7"/>
      <c r="H30" t="s">
        <v>9</v>
      </c>
      <c r="I30" s="24">
        <f>LOOKUP(C1,I23:R23,I24:R24)</f>
        <v>5.13E-7</v>
      </c>
      <c r="J30" s="24">
        <f>LOOKUP(C1,I23:R23,I25:R25)</f>
        <v>2.8499999999999998E-6</v>
      </c>
      <c r="K30" s="24">
        <f>LOOKUP(C1,I23:R23,I26:R26)</f>
        <v>6.6800000000000004E-6</v>
      </c>
    </row>
    <row r="31" spans="2:18" x14ac:dyDescent="0.25">
      <c r="B31" s="5"/>
      <c r="C31" s="6" t="s">
        <v>0</v>
      </c>
      <c r="D31" s="6" t="s">
        <v>1</v>
      </c>
      <c r="E31" s="6" t="s">
        <v>2</v>
      </c>
      <c r="F31" s="7"/>
    </row>
    <row r="32" spans="2:18" x14ac:dyDescent="0.25">
      <c r="B32" s="5" t="s">
        <v>9</v>
      </c>
      <c r="C32" s="8">
        <v>1E-4</v>
      </c>
      <c r="D32" s="8">
        <v>1E-4</v>
      </c>
      <c r="E32" s="8">
        <v>1E-4</v>
      </c>
      <c r="F32" s="7"/>
    </row>
    <row r="33" spans="2:6" x14ac:dyDescent="0.25">
      <c r="B33" s="5" t="s">
        <v>10</v>
      </c>
      <c r="C33" s="8">
        <v>1E-4</v>
      </c>
      <c r="D33" s="8">
        <v>1E-4</v>
      </c>
      <c r="E33" s="8">
        <v>1E-4</v>
      </c>
      <c r="F33" s="7"/>
    </row>
    <row r="34" spans="2:6" x14ac:dyDescent="0.25">
      <c r="B34" s="5" t="s">
        <v>11</v>
      </c>
      <c r="C34" s="8">
        <v>5.0000000000000002E-5</v>
      </c>
      <c r="D34" s="8">
        <v>5.0000000000000002E-5</v>
      </c>
      <c r="E34" s="8">
        <v>5.0000000000000002E-5</v>
      </c>
      <c r="F34" s="7"/>
    </row>
    <row r="35" spans="2:6" x14ac:dyDescent="0.25">
      <c r="B35" s="9" t="s">
        <v>12</v>
      </c>
      <c r="C35" s="10">
        <v>5.0000000000000004E-6</v>
      </c>
      <c r="D35" s="10">
        <v>5.0000000000000004E-6</v>
      </c>
      <c r="E35" s="10">
        <v>5.0000000000000004E-6</v>
      </c>
      <c r="F35" s="11"/>
    </row>
  </sheetData>
  <mergeCells count="1">
    <mergeCell ref="I22:R22"/>
  </mergeCells>
  <conditionalFormatting sqref="F11:F16">
    <cfRule type="top10" dxfId="3" priority="10" rank="2"/>
  </conditionalFormatting>
  <conditionalFormatting sqref="L11:L16">
    <cfRule type="top10" dxfId="2" priority="5" rank="2"/>
  </conditionalFormatting>
  <conditionalFormatting sqref="R11:R16">
    <cfRule type="top10" dxfId="1" priority="4" rank="2"/>
  </conditionalFormatting>
  <conditionalFormatting sqref="I4:I6">
    <cfRule type="iconSet" priority="3">
      <iconSet iconSet="3Symbols2" reverse="1">
        <cfvo type="percent" val="0"/>
        <cfvo type="num" val="0.05"/>
        <cfvo type="num" val="0.0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O10" sqref="O10"/>
    </sheetView>
  </sheetViews>
  <sheetFormatPr baseColWidth="10" defaultRowHeight="15" x14ac:dyDescent="0.25"/>
  <cols>
    <col min="1" max="1" width="4.28515625" customWidth="1"/>
    <col min="2" max="2" width="9.5703125" customWidth="1"/>
    <col min="3" max="3" width="9.85546875" customWidth="1"/>
    <col min="6" max="6" width="13.140625" customWidth="1"/>
    <col min="8" max="8" width="7" customWidth="1"/>
    <col min="9" max="12" width="10.7109375" customWidth="1"/>
  </cols>
  <sheetData>
    <row r="3" spans="2:12" x14ac:dyDescent="0.25">
      <c r="H3" s="1" t="s">
        <v>59</v>
      </c>
    </row>
    <row r="4" spans="2:12" x14ac:dyDescent="0.25">
      <c r="B4" s="26"/>
      <c r="C4" s="34"/>
      <c r="D4" s="46" t="s">
        <v>6</v>
      </c>
      <c r="E4" s="27" t="s">
        <v>7</v>
      </c>
      <c r="F4" s="35" t="s">
        <v>18</v>
      </c>
      <c r="H4" s="26"/>
      <c r="I4" s="27" t="s">
        <v>19</v>
      </c>
      <c r="J4" s="27" t="s">
        <v>20</v>
      </c>
      <c r="K4" s="27" t="s">
        <v>35</v>
      </c>
      <c r="L4" s="28" t="s">
        <v>36</v>
      </c>
    </row>
    <row r="5" spans="2:12" x14ac:dyDescent="0.25">
      <c r="B5" s="29" t="s">
        <v>22</v>
      </c>
      <c r="C5" s="38">
        <f>'données équipes'!G3/1000</f>
        <v>0.82196500000000006</v>
      </c>
      <c r="D5" s="51">
        <f>4*PI()^2/(C8-C7)^2</f>
        <v>11.265437122289519</v>
      </c>
      <c r="E5" s="47">
        <f>SQRT($C$10^2*G14^2  +  (C14^2+D14^2+E14^2+F14^2))</f>
        <v>7.222188034107115E-4</v>
      </c>
      <c r="F5" s="49">
        <f>(D5*E5)^2</f>
        <v>6.6196294366944558E-5</v>
      </c>
      <c r="H5" s="31" t="s">
        <v>21</v>
      </c>
      <c r="I5" s="66">
        <f>SQRT(SUM(F5:F8))</f>
        <v>3.2727533020736999E-2</v>
      </c>
      <c r="J5" s="66">
        <f>4*PI()^2*(C5+C6/2) / (C8-C7)^2</f>
        <v>9.3674869703932337</v>
      </c>
      <c r="K5" s="66">
        <f>J5-I5</f>
        <v>9.3347594373724974</v>
      </c>
      <c r="L5" s="67">
        <f>J5+I5</f>
        <v>9.4002145034139701</v>
      </c>
    </row>
    <row r="6" spans="2:12" x14ac:dyDescent="0.25">
      <c r="B6" s="29" t="s">
        <v>23</v>
      </c>
      <c r="C6" s="38">
        <f>'données équipes'!G4/1000</f>
        <v>1.9119000000000001E-2</v>
      </c>
      <c r="D6" s="51">
        <f>2*PI()^2/(C8-C7)^2</f>
        <v>5.6327185611447597</v>
      </c>
      <c r="E6" s="47">
        <f>SQRT($C$10^2*G15^2  +  (C15^2))</f>
        <v>1.0198039027185569E-4</v>
      </c>
      <c r="F6" s="49">
        <f t="shared" ref="F6:F8" si="0">(D6*E6)^2</f>
        <v>3.2996619124627275E-7</v>
      </c>
    </row>
    <row r="7" spans="2:12" x14ac:dyDescent="0.25">
      <c r="B7" s="29" t="s">
        <v>24</v>
      </c>
      <c r="C7" s="38">
        <f>'données équipes'!G6</f>
        <v>0.74199999999999999</v>
      </c>
      <c r="D7" s="51">
        <f>8*PI()^2*(C5+C6/2)/(C8-C7)^3</f>
        <v>10.007998899992771</v>
      </c>
      <c r="E7" s="47">
        <f>SQRT($C$10^2*G16^2  +  (C16^2+D16^2+E16^2))</f>
        <v>2.2393749127825827E-3</v>
      </c>
      <c r="F7" s="49">
        <f>(D7*E7)^2</f>
        <v>5.0228257853261987E-4</v>
      </c>
      <c r="H7" t="s">
        <v>63</v>
      </c>
      <c r="I7" s="53">
        <f>ABS(('données équipes'!J6-pendule!I5)/pendule!I5)</f>
        <v>1.4771831012917246E-2</v>
      </c>
      <c r="J7" s="53">
        <f>('données équipes'!K6-pendule!J5)/pendule!J5</f>
        <v>-3.7926006089244264E-16</v>
      </c>
      <c r="K7" s="53">
        <f>('données équipes'!L6-pendule!K5)/pendule!K5</f>
        <v>5.1789828167092875E-5</v>
      </c>
      <c r="L7" s="53">
        <f>('données équipes'!M6-pendule!L5)/pendule!L5</f>
        <v>-5.1429208034014113E-5</v>
      </c>
    </row>
    <row r="8" spans="2:12" x14ac:dyDescent="0.25">
      <c r="B8" s="31" t="s">
        <v>25</v>
      </c>
      <c r="C8" s="42">
        <f>'données équipes'!G7</f>
        <v>2.6139999999999999</v>
      </c>
      <c r="D8" s="52">
        <f>-8*PI()^2*(C5+C6/2)/(C8-C7)^3</f>
        <v>-10.007998899992771</v>
      </c>
      <c r="E8" s="48">
        <f>SQRT($C$10^2*G17^2  +  (C17^2+D17^2+E17^2))</f>
        <v>2.2393749127825827E-3</v>
      </c>
      <c r="F8" s="50">
        <f t="shared" si="0"/>
        <v>5.0228257853261987E-4</v>
      </c>
    </row>
    <row r="10" spans="2:12" x14ac:dyDescent="0.25">
      <c r="B10" t="s">
        <v>8</v>
      </c>
      <c r="C10">
        <v>2</v>
      </c>
    </row>
    <row r="12" spans="2:12" x14ac:dyDescent="0.25">
      <c r="B12" s="2" t="s">
        <v>17</v>
      </c>
      <c r="C12" s="3"/>
      <c r="D12" s="3"/>
      <c r="E12" s="3"/>
      <c r="F12" s="3"/>
      <c r="G12" s="4"/>
    </row>
    <row r="13" spans="2:12" x14ac:dyDescent="0.25">
      <c r="B13" s="5"/>
      <c r="C13" s="6" t="s">
        <v>9</v>
      </c>
      <c r="D13" s="6" t="s">
        <v>10</v>
      </c>
      <c r="E13" s="6" t="s">
        <v>11</v>
      </c>
      <c r="F13" s="6" t="s">
        <v>34</v>
      </c>
      <c r="G13" s="7" t="s">
        <v>12</v>
      </c>
    </row>
    <row r="14" spans="2:12" x14ac:dyDescent="0.25">
      <c r="B14" s="5" t="s">
        <v>22</v>
      </c>
      <c r="C14" s="8">
        <v>1E-4</v>
      </c>
      <c r="D14" s="8">
        <v>5.0000000000000001E-4</v>
      </c>
      <c r="E14" s="8">
        <v>5.0000000000000001E-4</v>
      </c>
      <c r="F14" s="8">
        <v>1E-4</v>
      </c>
      <c r="G14" s="12">
        <v>2.0000000000000002E-5</v>
      </c>
    </row>
    <row r="15" spans="2:12" x14ac:dyDescent="0.25">
      <c r="B15" s="5" t="s">
        <v>23</v>
      </c>
      <c r="C15" s="8">
        <v>1E-4</v>
      </c>
      <c r="D15" s="6"/>
      <c r="E15" s="6"/>
      <c r="F15" s="6"/>
      <c r="G15" s="12">
        <v>1.0000000000000001E-5</v>
      </c>
    </row>
    <row r="16" spans="2:12" x14ac:dyDescent="0.25">
      <c r="B16" s="5" t="s">
        <v>24</v>
      </c>
      <c r="C16" s="8">
        <v>2.0000000000000002E-5</v>
      </c>
      <c r="D16" s="8">
        <v>1E-3</v>
      </c>
      <c r="E16" s="8">
        <v>2E-3</v>
      </c>
      <c r="F16" s="6"/>
      <c r="G16" s="12">
        <v>6.0000000000000002E-5</v>
      </c>
    </row>
    <row r="17" spans="2:7" x14ac:dyDescent="0.25">
      <c r="B17" s="9" t="s">
        <v>25</v>
      </c>
      <c r="C17" s="10">
        <v>2.0000000000000002E-5</v>
      </c>
      <c r="D17" s="10">
        <v>1E-3</v>
      </c>
      <c r="E17" s="10">
        <v>2E-3</v>
      </c>
      <c r="F17" s="13"/>
      <c r="G17" s="14">
        <v>6.0000000000000002E-5</v>
      </c>
    </row>
  </sheetData>
  <conditionalFormatting sqref="F5:F8">
    <cfRule type="top10" dxfId="0" priority="4" rank="2"/>
  </conditionalFormatting>
  <conditionalFormatting sqref="I7">
    <cfRule type="iconSet" priority="3">
      <iconSet iconSet="3Symbols2" reverse="1">
        <cfvo type="percent" val="0"/>
        <cfvo type="num" val="0.05"/>
        <cfvo type="num" val="0.0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 équipes</vt:lpstr>
      <vt:lpstr>chute</vt:lpstr>
      <vt:lpstr>pendule</vt:lpstr>
    </vt:vector>
  </TitlesOfParts>
  <Company>Université 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Marc-André Campagna</dc:creator>
  <cp:lastModifiedBy>philippe Lebel</cp:lastModifiedBy>
  <dcterms:created xsi:type="dcterms:W3CDTF">2015-03-26T13:48:34Z</dcterms:created>
  <dcterms:modified xsi:type="dcterms:W3CDTF">2017-03-28T17:19:33Z</dcterms:modified>
</cp:coreProperties>
</file>