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4000" yWindow="0" windowWidth="28000" windowHeight="16160"/>
  </bookViews>
  <sheets>
    <sheet name="TP7" sheetId="1" r:id="rId1"/>
    <sheet name="Calculs d'erreurs" sheetId="2" r:id="rId2"/>
    <sheet name="Comparaison" sheetId="4" r:id="rId3"/>
    <sheet name="5.b) Parametres Impact" sheetId="5" r:id="rId4"/>
  </sheets>
  <definedNames>
    <definedName name="t_11">'TP7'!$B$8</definedName>
    <definedName name="Theta_t1_1khz">'TP7'!$E$12</definedName>
    <definedName name="Theta_t2_1khz">'TP7'!$F$12</definedName>
    <definedName name="Theta_t3_1khz">'TP7'!$G$12</definedName>
    <definedName name="Theta_z1_1khz">'TP7'!$B$12</definedName>
    <definedName name="Theta_z2_1khz">'TP7'!$C$12</definedName>
    <definedName name="Theta_z3_1khz">'TP7'!$D$12</definedName>
    <definedName name="u_x_t_1">'Calculs d''erreurs'!$B$77</definedName>
    <definedName name="u_x_t_2">'Calculs d''erreurs'!$B$78</definedName>
    <definedName name="u_x_t_3">'Calculs d''erreurs'!$B$79</definedName>
    <definedName name="u_x_z_1">'Calculs d''erreurs'!$B$86</definedName>
    <definedName name="u_x_z_2">'Calculs d''erreurs'!$B$87</definedName>
    <definedName name="u_x_z_3">'Calculs d''erreurs'!$B$88</definedName>
  </definedNames>
  <calcPr calcId="171027"/>
</workbook>
</file>

<file path=xl/calcChain.xml><?xml version="1.0" encoding="utf-8"?>
<calcChain xmlns="http://schemas.openxmlformats.org/spreadsheetml/2006/main">
  <c r="H2" i="5" l="1"/>
  <c r="G2" i="5"/>
  <c r="F2" i="5"/>
  <c r="E2" i="5"/>
  <c r="D2" i="5"/>
  <c r="B2" i="5"/>
  <c r="C2" i="5"/>
  <c r="J3" i="1"/>
  <c r="G4" i="1" l="1"/>
  <c r="B4" i="1" l="1"/>
  <c r="B5" i="1"/>
  <c r="B3" i="1"/>
  <c r="K6" i="1" l="1"/>
  <c r="K5" i="1"/>
  <c r="K4" i="1"/>
  <c r="K3" i="1"/>
  <c r="G3" i="1"/>
  <c r="G49" i="2"/>
  <c r="G47" i="2"/>
  <c r="G48" i="2"/>
  <c r="G46" i="2"/>
  <c r="G42" i="2"/>
  <c r="G41" i="2"/>
  <c r="G40" i="2"/>
  <c r="G39" i="2"/>
  <c r="G37" i="2"/>
  <c r="G36" i="2"/>
  <c r="G35" i="2"/>
  <c r="G34" i="2"/>
  <c r="B86" i="2"/>
  <c r="B88" i="2"/>
  <c r="B60" i="2"/>
  <c r="B59" i="2"/>
  <c r="B58" i="2"/>
  <c r="B56" i="2"/>
  <c r="B84" i="2" s="1"/>
  <c r="B57" i="2"/>
  <c r="B85" i="2" s="1"/>
  <c r="B55" i="2"/>
  <c r="B83" i="2" s="1"/>
  <c r="B53" i="2"/>
  <c r="B81" i="2" s="1"/>
  <c r="B54" i="2"/>
  <c r="B82" i="2" s="1"/>
  <c r="B52" i="2"/>
  <c r="B80" i="2" s="1"/>
  <c r="B50" i="2"/>
  <c r="B78" i="2" s="1"/>
  <c r="B51" i="2"/>
  <c r="B79" i="2" s="1"/>
  <c r="B49" i="2"/>
  <c r="B77" i="2" s="1"/>
  <c r="B72" i="2"/>
  <c r="B87" i="2" s="1"/>
  <c r="B73" i="2"/>
  <c r="B71" i="2"/>
  <c r="B69" i="2"/>
  <c r="B70" i="2"/>
  <c r="B68" i="2"/>
  <c r="B66" i="2"/>
  <c r="B67" i="2"/>
  <c r="B65" i="2"/>
  <c r="B64" i="2"/>
  <c r="B63" i="2"/>
  <c r="B62" i="2"/>
  <c r="K12" i="1" l="1"/>
  <c r="L12" i="1"/>
  <c r="J12" i="1"/>
  <c r="I12" i="1"/>
  <c r="D14" i="1"/>
  <c r="D13" i="1"/>
  <c r="D12" i="1"/>
  <c r="C14" i="1"/>
  <c r="C13" i="1"/>
  <c r="C12" i="1"/>
  <c r="B14" i="1"/>
  <c r="B13" i="1"/>
  <c r="B12" i="1"/>
  <c r="G14" i="1"/>
  <c r="G13" i="1"/>
  <c r="G12" i="1"/>
  <c r="F14" i="1"/>
  <c r="F13" i="1"/>
  <c r="F12" i="1"/>
  <c r="E14" i="1"/>
  <c r="E13" i="1"/>
  <c r="E12" i="1"/>
  <c r="J6" i="1" l="1"/>
  <c r="L6" i="1" s="1"/>
  <c r="J5" i="1"/>
  <c r="M5" i="1" s="1"/>
  <c r="J4" i="1"/>
  <c r="M4" i="1" s="1"/>
  <c r="M6" i="1" l="1"/>
  <c r="L5" i="1"/>
  <c r="L4" i="1"/>
  <c r="M3" i="1"/>
  <c r="L3" i="1"/>
</calcChain>
</file>

<file path=xl/sharedStrings.xml><?xml version="1.0" encoding="utf-8"?>
<sst xmlns="http://schemas.openxmlformats.org/spreadsheetml/2006/main" count="335" uniqueCount="169">
  <si>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</si>
  <si>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</si>
  <si>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</si>
  <si>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</si>
  <si>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</si>
  <si>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</si>
  <si>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</si>
  <si>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</si>
  <si>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</si>
  <si>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</si>
  <si>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</si>
  <si>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</si>
  <si>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</si>
  <si>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</si>
  <si>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</si>
  <si>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</si>
  <si>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</si>
  <si>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</si>
  <si>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</si>
  <si>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</si>
  <si>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</si>
  <si>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</si>
  <si>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</si>
  <si>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</si>
  <si>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</si>
  <si>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</si>
  <si>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</si>
  <si>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</si>
  <si>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</si>
  <si>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</si>
  <si>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</si>
  <si>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</si>
  <si>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</si>
  <si>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</si>
  <si>
    <t>Erreurs biais</t>
  </si>
  <si>
    <t>e1_Bt1</t>
  </si>
  <si>
    <t>e1_Bt2</t>
  </si>
  <si>
    <t>e1_Bt3</t>
  </si>
  <si>
    <t>trainée capteur 1</t>
  </si>
  <si>
    <t>trainée capteur 2</t>
  </si>
  <si>
    <t>trainée capteur 3</t>
  </si>
  <si>
    <t>fréquence d'échantillonage capteur 1 @ 75 kHz</t>
  </si>
  <si>
    <t>fréquence d'échantillonage capteur 1 @ 10 Hhz</t>
  </si>
  <si>
    <t>fréquence d'échantillonage capteur 1 @ 1000 Hz</t>
  </si>
  <si>
    <t>fréquence d'échantillonage capteur 2 @ 1000 Hz</t>
  </si>
  <si>
    <t>fréquence d'échantillonage capteur 2 @ 10 Hhz</t>
  </si>
  <si>
    <t>fréquence d'échantillonage capteur 2 @ 75 kHz</t>
  </si>
  <si>
    <t>fréquence d'échantillonage capteur 3 @ 1000 Hz</t>
  </si>
  <si>
    <t>fréquence d'échantillonage capteur 3 @ 10 Hhz</t>
  </si>
  <si>
    <t>fréquence d'échantillonage capteur 3 @ 75 kHz</t>
  </si>
  <si>
    <t>e2_Bt1</t>
  </si>
  <si>
    <t>e2_Bt2</t>
  </si>
  <si>
    <t>e2_Bt3</t>
  </si>
  <si>
    <t>précision vernier capteur 1</t>
  </si>
  <si>
    <t>précision vernier capteur 2</t>
  </si>
  <si>
    <t>précision vernier capteur 3</t>
  </si>
  <si>
    <t>e1_Bz1</t>
  </si>
  <si>
    <t>e1_Bz2</t>
  </si>
  <si>
    <t>e1_Bz3</t>
  </si>
  <si>
    <t>Utilisateur capteur 1</t>
  </si>
  <si>
    <t>Utilisateur capteur 2</t>
  </si>
  <si>
    <t>Utilisateur capteur 3</t>
  </si>
  <si>
    <t>e2_Bz1</t>
  </si>
  <si>
    <t>e2_Bz2</t>
  </si>
  <si>
    <t>e2_Bz3</t>
  </si>
  <si>
    <t>ajustement montage capteur 1</t>
  </si>
  <si>
    <t>ajustement montage capteur 2</t>
  </si>
  <si>
    <t>ajustement montage capteur 3</t>
  </si>
  <si>
    <t>e3_Bz1</t>
  </si>
  <si>
    <t>e3_Bz2</t>
  </si>
  <si>
    <t>e3_Bz3</t>
  </si>
  <si>
    <t>mesure de temps capteur 1 @ 1000 Hz</t>
  </si>
  <si>
    <t>mesure de temps capteur 1 @ 10 kHz</t>
  </si>
  <si>
    <t>mesure de temps capteur 1 @ 75 kHz</t>
  </si>
  <si>
    <t>e1_Pt1</t>
  </si>
  <si>
    <t>mesure de temps capteur 2 @ 1000 Hz</t>
  </si>
  <si>
    <t>mesure de temps capteur 2 @ 10 kHz</t>
  </si>
  <si>
    <t>mesure de temps capteur 2 @ 75 kHz</t>
  </si>
  <si>
    <t>mesure de temps capteur 3 @ 1000 Hz</t>
  </si>
  <si>
    <t>mesure de temps capteur 3 @ 10 kHz</t>
  </si>
  <si>
    <t>mesure de temps capteur 3 @ 75 kHz</t>
  </si>
  <si>
    <t>e1_Pt2</t>
  </si>
  <si>
    <t>e1_Pt3</t>
  </si>
  <si>
    <t>position capteur 1</t>
  </si>
  <si>
    <t>position capteur 2</t>
  </si>
  <si>
    <t>position capteur 3</t>
  </si>
  <si>
    <t>e1_Pz1</t>
  </si>
  <si>
    <t>e1_Pz2</t>
  </si>
  <si>
    <t>e1_Pz3</t>
  </si>
  <si>
    <t>s</t>
  </si>
  <si>
    <t>m</t>
  </si>
  <si>
    <t>Erreurs de précision (avec t=2)</t>
  </si>
  <si>
    <t>CAUSE</t>
  </si>
  <si>
    <t>VARIABLE</t>
  </si>
  <si>
    <t>ERREUR</t>
  </si>
  <si>
    <t>UNITÉS</t>
  </si>
  <si>
    <t>fréquence d'échantillonnage capteur i</t>
  </si>
  <si>
    <t>fréquence d'échantillonnage capteur f</t>
  </si>
  <si>
    <t>e1_Bti</t>
  </si>
  <si>
    <t>e2_Bti</t>
  </si>
  <si>
    <t>e1_Btf</t>
  </si>
  <si>
    <t>e2_Btf</t>
  </si>
  <si>
    <t>rotation et vibration masse capteur i</t>
  </si>
  <si>
    <t>effet hypothèse petit angle capteur i</t>
  </si>
  <si>
    <t>effet hypothèse petit angle capteur f</t>
  </si>
  <si>
    <t>rotation et vibration masse capteur f</t>
  </si>
  <si>
    <t>e3_Bti</t>
  </si>
  <si>
    <t>e3_Btf</t>
  </si>
  <si>
    <t>Mesure temps</t>
  </si>
  <si>
    <t>Mesure des longueur l_cp et L_M</t>
  </si>
  <si>
    <t>précision vernier</t>
  </si>
  <si>
    <t>e1_Blcp</t>
  </si>
  <si>
    <t>masse non ponctuelle</t>
  </si>
  <si>
    <t>pivot non ponctuel</t>
  </si>
  <si>
    <t>e2_Blcp</t>
  </si>
  <si>
    <t>e3_Blcp</t>
  </si>
  <si>
    <t>précision course vernier non parfaitement verticale</t>
  </si>
  <si>
    <t>e4_Blcp</t>
  </si>
  <si>
    <t>pied à coulisse + fini de surface + utilisateur</t>
  </si>
  <si>
    <t>e1_BLM</t>
  </si>
  <si>
    <t>e1_Pti</t>
  </si>
  <si>
    <t>e1_Ptf</t>
  </si>
  <si>
    <t>e1_Plcp</t>
  </si>
  <si>
    <t>e1_PLM</t>
  </si>
  <si>
    <t>hauteur de la masse</t>
  </si>
  <si>
    <t>longueur câble jusqu'à potence</t>
  </si>
  <si>
    <t>temps initial</t>
  </si>
  <si>
    <t>temps final</t>
  </si>
  <si>
    <t>Formule de calcul</t>
  </si>
  <si>
    <t>t_1 @ 1000 Hz</t>
  </si>
  <si>
    <t>t_2 @ 1000 Hz</t>
  </si>
  <si>
    <t>t_3 @ 1000 Hz</t>
  </si>
  <si>
    <t>t_1 @ 10 kHz</t>
  </si>
  <si>
    <t>t_2 @ 10 kHz</t>
  </si>
  <si>
    <t>t_3 @ 10 kHz</t>
  </si>
  <si>
    <t>t_1 @ 75 kHz</t>
  </si>
  <si>
    <t>t_2 @ 75 kHz</t>
  </si>
  <si>
    <t>t_3 @ 75 kHz</t>
  </si>
  <si>
    <t>z1</t>
  </si>
  <si>
    <t>z2</t>
  </si>
  <si>
    <t>z3</t>
  </si>
  <si>
    <t>t_nu,95%</t>
  </si>
  <si>
    <t>t_i</t>
  </si>
  <si>
    <t>t_f</t>
  </si>
  <si>
    <t>l_cp</t>
  </si>
  <si>
    <t>L_M</t>
  </si>
  <si>
    <t>Incertitudes finales (u_x)</t>
  </si>
  <si>
    <t>Erreurs biais (B_x)</t>
  </si>
  <si>
    <t>Erreurs précision (P_x)</t>
  </si>
  <si>
    <t>Lcp [m]</t>
  </si>
  <si>
    <t>Lm [m]</t>
  </si>
  <si>
    <t>z1 [m]</t>
  </si>
  <si>
    <t>z2 [m]</t>
  </si>
  <si>
    <t>z3 [m]</t>
  </si>
  <si>
    <t>Tableau 1.1 : Erreurs de biais et de précicion pour la méthode de la chute libre</t>
  </si>
  <si>
    <t>Tableau 1.2 : Calcul des erreurs de biais et de précision</t>
  </si>
  <si>
    <t>Tableau 1.3 : Calcul des erreurs absolues</t>
  </si>
  <si>
    <t>Tableau 2.1 : Erreurs de biais et de précicion pour la méthode du pendule</t>
  </si>
  <si>
    <t>Tableau 2.2 : Calcul des erreurs de biais et de précision</t>
  </si>
  <si>
    <t>Tableau 2.3 : Calcul des erreurs absolues</t>
  </si>
  <si>
    <t xml:space="preserve"> calculé (Chute à 1kHz) [m/s²]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</si>
  <si>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</si>
  <si>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</si>
  <si>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</si>
  <si>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</si>
  <si>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</si>
  <si>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</si>
  <si>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tous</t>
  </si>
  <si>
    <t>Paramètre(s) considéré(s)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</si>
</sst>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ill="1" applyAlignment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11" fontId="0" fillId="0" borderId="4" xfId="0" applyNumberFormat="1" applyBorder="1"/>
    <xf numFmtId="11" fontId="0" fillId="0" borderId="9" xfId="0" applyNumberFormat="1" applyBorder="1"/>
    <xf numFmtId="11" fontId="0" fillId="0" borderId="5" xfId="0" applyNumberFormat="1" applyBorder="1"/>
    <xf numFmtId="0" fontId="0" fillId="0" borderId="9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4" xfId="0" applyFill="1" applyBorder="1"/>
    <xf numFmtId="11" fontId="0" fillId="0" borderId="10" xfId="0" applyNumberFormat="1" applyBorder="1"/>
    <xf numFmtId="11" fontId="0" fillId="0" borderId="11" xfId="0" applyNumberFormat="1" applyBorder="1"/>
    <xf numFmtId="0" fontId="7" fillId="7" borderId="0" xfId="0" applyFont="1" applyFill="1" applyBorder="1" applyAlignment="1">
      <alignment horizontal="left"/>
    </xf>
    <xf numFmtId="0" fontId="1" fillId="7" borderId="0" xfId="0" applyFont="1" applyFill="1" applyBorder="1"/>
    <xf numFmtId="0" fontId="1" fillId="7" borderId="0" xfId="0" applyFont="1" applyFill="1" applyBorder="1" applyAlignment="1">
      <alignment horizontal="left"/>
    </xf>
    <xf numFmtId="0" fontId="0" fillId="7" borderId="0" xfId="0" applyFill="1" applyBorder="1"/>
    <xf numFmtId="0" fontId="0" fillId="7" borderId="0" xfId="0" applyFill="1"/>
    <xf numFmtId="0" fontId="0" fillId="0" borderId="1" xfId="0" applyFill="1" applyBorder="1"/>
    <xf numFmtId="11" fontId="0" fillId="0" borderId="1" xfId="0" applyNumberFormat="1" applyBorder="1"/>
    <xf numFmtId="11" fontId="0" fillId="0" borderId="7" xfId="0" applyNumberFormat="1" applyBorder="1"/>
    <xf numFmtId="0" fontId="1" fillId="0" borderId="14" xfId="0" applyFont="1" applyFill="1" applyBorder="1"/>
    <xf numFmtId="11" fontId="0" fillId="5" borderId="4" xfId="0" applyNumberFormat="1" applyFill="1" applyBorder="1"/>
    <xf numFmtId="11" fontId="0" fillId="5" borderId="9" xfId="0" applyNumberFormat="1" applyFill="1" applyBorder="1"/>
    <xf numFmtId="11" fontId="0" fillId="5" borderId="5" xfId="0" applyNumberFormat="1" applyFill="1" applyBorder="1"/>
    <xf numFmtId="0" fontId="0" fillId="5" borderId="4" xfId="0" applyFill="1" applyBorder="1"/>
    <xf numFmtId="0" fontId="0" fillId="5" borderId="9" xfId="0" applyFill="1" applyBorder="1"/>
    <xf numFmtId="0" fontId="0" fillId="5" borderId="5" xfId="0" applyFill="1" applyBorder="1"/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11" fontId="0" fillId="0" borderId="0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1" fontId="0" fillId="0" borderId="30" xfId="0" applyNumberFormat="1" applyBorder="1"/>
    <xf numFmtId="0" fontId="0" fillId="0" borderId="31" xfId="0" applyBorder="1"/>
    <xf numFmtId="0" fontId="1" fillId="6" borderId="15" xfId="0" applyFont="1" applyFill="1" applyBorder="1" applyAlignment="1">
      <alignment horizontal="left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left"/>
    </xf>
    <xf numFmtId="0" fontId="0" fillId="5" borderId="27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28" xfId="0" applyFill="1" applyBorder="1"/>
    <xf numFmtId="11" fontId="0" fillId="5" borderId="29" xfId="0" applyNumberFormat="1" applyFill="1" applyBorder="1"/>
    <xf numFmtId="0" fontId="0" fillId="5" borderId="37" xfId="0" applyFill="1" applyBorder="1"/>
    <xf numFmtId="0" fontId="1" fillId="3" borderId="4" xfId="0" applyFont="1" applyFill="1" applyBorder="1"/>
    <xf numFmtId="0" fontId="0" fillId="0" borderId="27" xfId="0" applyFill="1" applyBorder="1"/>
    <xf numFmtId="0" fontId="0" fillId="0" borderId="34" xfId="0" applyBorder="1"/>
    <xf numFmtId="0" fontId="0" fillId="0" borderId="35" xfId="0" applyFill="1" applyBorder="1"/>
    <xf numFmtId="0" fontId="0" fillId="0" borderId="36" xfId="0" applyBorder="1"/>
    <xf numFmtId="0" fontId="0" fillId="0" borderId="28" xfId="0" applyFill="1" applyBorder="1"/>
    <xf numFmtId="11" fontId="0" fillId="0" borderId="29" xfId="0" applyNumberFormat="1" applyBorder="1"/>
    <xf numFmtId="0" fontId="0" fillId="0" borderId="37" xfId="0" applyBorder="1"/>
    <xf numFmtId="0" fontId="0" fillId="0" borderId="41" xfId="0" applyBorder="1"/>
    <xf numFmtId="0" fontId="1" fillId="6" borderId="33" xfId="0" applyFont="1" applyFill="1" applyBorder="1"/>
    <xf numFmtId="0" fontId="0" fillId="0" borderId="20" xfId="0" applyBorder="1"/>
    <xf numFmtId="0" fontId="0" fillId="0" borderId="42" xfId="0" applyBorder="1"/>
    <xf numFmtId="0" fontId="0" fillId="0" borderId="43" xfId="0" applyBorder="1"/>
    <xf numFmtId="0" fontId="0" fillId="0" borderId="43" xfId="0" applyFill="1" applyBorder="1"/>
    <xf numFmtId="11" fontId="0" fillId="0" borderId="44" xfId="0" applyNumberFormat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33" xfId="0" applyFont="1" applyFill="1" applyBorder="1"/>
    <xf numFmtId="0" fontId="0" fillId="0" borderId="26" xfId="0" applyBorder="1"/>
    <xf numFmtId="0" fontId="0" fillId="5" borderId="26" xfId="0" applyFill="1" applyBorder="1"/>
    <xf numFmtId="0" fontId="0" fillId="5" borderId="41" xfId="0" applyFill="1" applyBorder="1"/>
    <xf numFmtId="165" fontId="6" fillId="4" borderId="0" xfId="0" applyNumberFormat="1" applyFont="1" applyFill="1"/>
    <xf numFmtId="165" fontId="0" fillId="4" borderId="0" xfId="0" applyNumberFormat="1" applyFill="1"/>
    <xf numFmtId="165" fontId="0" fillId="0" borderId="0" xfId="0" applyNumberFormat="1"/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1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5" borderId="38" xfId="0" applyFont="1" applyFill="1" applyBorder="1" applyAlignment="1">
      <alignment horizontal="left"/>
    </xf>
    <xf numFmtId="0" fontId="1" fillId="5" borderId="39" xfId="0" applyFont="1" applyFill="1" applyBorder="1" applyAlignment="1">
      <alignment horizontal="left"/>
    </xf>
    <xf numFmtId="0" fontId="1" fillId="5" borderId="4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500"/>
              <a:t>Comparaison des valeurs de</a:t>
            </a:r>
            <a:r>
              <a:rPr lang="en-CA" sz="1500" baseline="0"/>
              <a:t> la constante gravitationnelle</a:t>
            </a:r>
            <a:endParaRPr lang="en-CA" sz="15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475607554605696E-2"/>
          <c:y val="8.2756781419382433E-2"/>
          <c:w val="0.76389410218302745"/>
          <c:h val="0.82179945900996187"/>
        </c:manualLayout>
      </c:layout>
      <c:scatterChart>
        <c:scatterStyle val="lineMarker"/>
        <c:varyColors val="0"/>
        <c:ser>
          <c:idx val="0"/>
          <c:order val="0"/>
          <c:tx>
            <c:v>Valeur théorique</c:v>
          </c:tx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Lit>
              <c:formatCode>General</c:formatCode>
              <c:ptCount val="1"/>
              <c:pt idx="0">
                <c:v>9.8064999999999998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A1-41A3-A75D-1D2F61720872}"/>
            </c:ext>
          </c:extLst>
        </c:ser>
        <c:ser>
          <c:idx val="1"/>
          <c:order val="1"/>
          <c:tx>
            <c:v>Chute à 1kHz</c:v>
          </c:tx>
          <c:errBars>
            <c:errDir val="x"/>
            <c:errBarType val="both"/>
            <c:errValType val="cust"/>
            <c:noEndCap val="0"/>
            <c:plus>
              <c:numRef>
                <c:f>'TP7'!$J$3</c:f>
                <c:numCache>
                  <c:formatCode>General</c:formatCode>
                  <c:ptCount val="1"/>
                  <c:pt idx="0">
                    <c:v>0.32174551791996769</c:v>
                  </c:pt>
                </c:numCache>
              </c:numRef>
            </c:plus>
            <c:minus>
              <c:numRef>
                <c:f>'TP7'!$J$3</c:f>
                <c:numCache>
                  <c:formatCode>General</c:formatCode>
                  <c:ptCount val="1"/>
                  <c:pt idx="0">
                    <c:v>0.32174551791996769</c:v>
                  </c:pt>
                </c:numCache>
              </c:numRef>
            </c:minus>
          </c:errBars>
          <c:errBars>
            <c:errDir val="y"/>
            <c:errBarType val="both"/>
            <c:errValType val="stdErr"/>
            <c:noEndCap val="0"/>
          </c:errBars>
          <c:xVal>
            <c:numRef>
              <c:f>'TP7'!$K$3</c:f>
              <c:numCache>
                <c:formatCode>0.000</c:formatCode>
                <c:ptCount val="1"/>
                <c:pt idx="0">
                  <c:v>10.141842469763512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A1-41A3-A75D-1D2F61720872}"/>
            </c:ext>
          </c:extLst>
        </c:ser>
        <c:ser>
          <c:idx val="2"/>
          <c:order val="2"/>
          <c:tx>
            <c:v>Chute à 10kHz</c:v>
          </c:tx>
          <c:errBars>
            <c:errDir val="x"/>
            <c:errBarType val="both"/>
            <c:errValType val="cust"/>
            <c:noEndCap val="0"/>
            <c:plus>
              <c:numRef>
                <c:f>'TP7'!$J$4</c:f>
                <c:numCache>
                  <c:formatCode>General</c:formatCode>
                  <c:ptCount val="1"/>
                  <c:pt idx="0">
                    <c:v>5.9135689004725621E-2</c:v>
                  </c:pt>
                </c:numCache>
              </c:numRef>
            </c:plus>
            <c:minus>
              <c:numRef>
                <c:f>'TP7'!$J$4</c:f>
                <c:numCache>
                  <c:formatCode>General</c:formatCode>
                  <c:ptCount val="1"/>
                  <c:pt idx="0">
                    <c:v>5.9135689004725621E-2</c:v>
                  </c:pt>
                </c:numCache>
              </c:numRef>
            </c:minus>
          </c:errBars>
          <c:errBars>
            <c:errDir val="y"/>
            <c:errBarType val="both"/>
            <c:errValType val="stdErr"/>
            <c:noEndCap val="0"/>
          </c:errBars>
          <c:xVal>
            <c:numRef>
              <c:f>'TP7'!$K$4</c:f>
              <c:numCache>
                <c:formatCode>0.000</c:formatCode>
                <c:ptCount val="1"/>
                <c:pt idx="0">
                  <c:v>10.707772831374543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1A1-41A3-A75D-1D2F61720872}"/>
            </c:ext>
          </c:extLst>
        </c:ser>
        <c:ser>
          <c:idx val="3"/>
          <c:order val="3"/>
          <c:tx>
            <c:v>Chute à 75kHz</c:v>
          </c:tx>
          <c:errBars>
            <c:errDir val="x"/>
            <c:errBarType val="both"/>
            <c:errValType val="cust"/>
            <c:noEndCap val="0"/>
            <c:plus>
              <c:numRef>
                <c:f>'TP7'!$J$5</c:f>
                <c:numCache>
                  <c:formatCode>General</c:formatCode>
                  <c:ptCount val="1"/>
                  <c:pt idx="0">
                    <c:v>5.849646646539769E-2</c:v>
                  </c:pt>
                </c:numCache>
              </c:numRef>
            </c:plus>
            <c:minus>
              <c:numRef>
                <c:f>'TP7'!$J$5</c:f>
                <c:numCache>
                  <c:formatCode>General</c:formatCode>
                  <c:ptCount val="1"/>
                  <c:pt idx="0">
                    <c:v>5.849646646539769E-2</c:v>
                  </c:pt>
                </c:numCache>
              </c:numRef>
            </c:minus>
          </c:errBars>
          <c:errBars>
            <c:errDir val="y"/>
            <c:errBarType val="both"/>
            <c:errValType val="stdErr"/>
            <c:noEndCap val="0"/>
          </c:errBars>
          <c:xVal>
            <c:numRef>
              <c:f>'TP7'!$K$5</c:f>
              <c:numCache>
                <c:formatCode>0.000</c:formatCode>
                <c:ptCount val="1"/>
                <c:pt idx="0">
                  <c:v>10.742980975559787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1A1-41A3-A75D-1D2F61720872}"/>
            </c:ext>
          </c:extLst>
        </c:ser>
        <c:ser>
          <c:idx val="4"/>
          <c:order val="4"/>
          <c:tx>
            <c:v>Pendule</c:v>
          </c:tx>
          <c:errBars>
            <c:errDir val="x"/>
            <c:errBarType val="both"/>
            <c:errValType val="cust"/>
            <c:noEndCap val="0"/>
            <c:plus>
              <c:numRef>
                <c:f>'TP7'!$J$6</c:f>
                <c:numCache>
                  <c:formatCode>General</c:formatCode>
                  <c:ptCount val="1"/>
                  <c:pt idx="0">
                    <c:v>2.7095731790281824E-2</c:v>
                  </c:pt>
                </c:numCache>
              </c:numRef>
            </c:plus>
            <c:minus>
              <c:numRef>
                <c:f>'TP7'!$J$6</c:f>
                <c:numCache>
                  <c:formatCode>General</c:formatCode>
                  <c:ptCount val="1"/>
                  <c:pt idx="0">
                    <c:v>2.7095731790281824E-2</c:v>
                  </c:pt>
                </c:numCache>
              </c:numRef>
            </c:minus>
          </c:errBars>
          <c:errBars>
            <c:errDir val="y"/>
            <c:errBarType val="both"/>
            <c:errValType val="stdErr"/>
            <c:noEndCap val="0"/>
          </c:errBars>
          <c:xVal>
            <c:numRef>
              <c:f>'TP7'!$K$6</c:f>
              <c:numCache>
                <c:formatCode>0.000</c:formatCode>
                <c:ptCount val="1"/>
                <c:pt idx="0">
                  <c:v>10.237191363778486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1A1-41A3-A75D-1D2F6172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6624"/>
        <c:axId val="87708416"/>
      </c:scatterChart>
      <c:valAx>
        <c:axId val="877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Constante gravitationnelle g (m/s²)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708416"/>
        <c:crosses val="autoZero"/>
        <c:crossBetween val="midCat"/>
      </c:valAx>
      <c:valAx>
        <c:axId val="87708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70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477523</xdr:colOff>
      <xdr:row>58</xdr:row>
      <xdr:rowOff>68581</xdr:rowOff>
    </xdr:from>
    <xdr:to>
      <xdr:col>6</xdr:col>
      <xdr:colOff>203203</xdr:colOff>
      <xdr:row>67</xdr:row>
      <xdr:rowOff>91441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2ADEF-C292-4C40-8CB1-A7A3D7177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243" y="10576561"/>
          <a:ext cx="2697480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40</xdr:row>
      <xdr:rowOff>53340</xdr:rowOff>
    </xdr:from>
    <xdr:to>
      <xdr:col>2</xdr:col>
      <xdr:colOff>213360</xdr:colOff>
      <xdr:row>44</xdr:row>
      <xdr:rowOff>91821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1470EC-E693-40E7-AAC2-4D85C6ABF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" y="7307580"/>
          <a:ext cx="3489960" cy="78524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26</xdr:row>
      <xdr:rowOff>30480</xdr:rowOff>
    </xdr:from>
    <xdr:to>
      <xdr:col>6</xdr:col>
      <xdr:colOff>266700</xdr:colOff>
      <xdr:row>29</xdr:row>
      <xdr:rowOff>40821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848A61-A7B5-41F7-8305-4CB574530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84420" y="4686300"/>
          <a:ext cx="2971800" cy="558981"/>
        </a:xfrm>
        <a:prstGeom prst="rect">
          <a:avLst/>
        </a:prstGeom>
      </xdr:spPr>
    </xdr:pic>
    <xdr:clientData/>
  </xdr:twoCellAnchor>
  <xdr:twoCellAnchor editAs="oneCell">
    <xdr:from>
      <xdr:col>6</xdr:col>
      <xdr:colOff>205740</xdr:colOff>
      <xdr:row>25</xdr:row>
      <xdr:rowOff>144780</xdr:rowOff>
    </xdr:from>
    <xdr:to>
      <xdr:col>9</xdr:col>
      <xdr:colOff>341917</xdr:colOff>
      <xdr:row>30</xdr:row>
      <xdr:rowOff>20637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23B485-2CD6-4CD3-A41B-4CC6AC0EC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95260" y="4617720"/>
          <a:ext cx="1835437" cy="7902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459" cy="6281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65F6B-66DF-416D-82F1-D40F17F793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38100</xdr:rowOff>
    </xdr:from>
    <xdr:to>
      <xdr:col>0</xdr:col>
      <xdr:colOff>180975</xdr:colOff>
      <xdr:row>2</xdr:row>
      <xdr:rowOff>19050</xdr:rowOff>
    </xdr:to>
    <xdr:pic>
      <xdr:nvPicPr>
        <xdr:cNvPr id="2" name="Image 4">
          <a:extLst>
            <a:ext uri="{FF2B5EF4-FFF2-40B4-BE49-F238E27FC236}">
              <a16:creationId xmlns:a16="http://schemas.microsoft.com/office/drawing/2014/main" id="{3D1170FA-B8DE-4326-B2F1-DCA38B6F4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57149</xdr:colOff>
      <xdr:row>1</xdr:row>
      <xdr:rowOff>95250</xdr:rowOff>
    </xdr:from>
    <xdr:to>
      <xdr:col>0</xdr:col>
      <xdr:colOff>257174</xdr:colOff>
      <xdr:row>1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E4E2023-F69F-40F2-824E-7385568B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49" y="95250"/>
          <a:ext cx="200025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sqref="A1:D1"/>
    </sheetView>
  </sheetViews>
  <sheetFormatPr defaultColWidth="9.08984375" defaultRowHeight="14.5" x14ac:dyDescent="0.35"/>
  <cols>
    <col min="1" max="1" width="17.36328125" customWidth="1"/>
    <col min="2" max="2" width="10.54296875" bestFit="1" customWidth="1"/>
    <col min="3" max="3" width="10.08984375" customWidth="1"/>
    <col min="4" max="4" width="10.1796875" customWidth="1"/>
    <col min="5" max="5" width="10.453125" customWidth="1"/>
    <col min="6" max="6" width="11.1796875" customWidth="1"/>
    <col min="7" max="7" width="10.54296875" customWidth="1"/>
    <col min="8" max="8" width="13.08984375" customWidth="1"/>
    <col min="9" max="9" width="14" customWidth="1"/>
    <col min="10" max="10" width="10" customWidth="1"/>
    <col min="11" max="11" width="10.81640625" customWidth="1"/>
    <col min="12" max="13" width="14.6328125" customWidth="1"/>
  </cols>
  <sheetData>
    <row r="1" spans="1:13" s="1" customFormat="1" ht="18" customHeight="1" x14ac:dyDescent="0.35">
      <c r="A1" s="114" t="s">
        <v>5</v>
      </c>
      <c r="B1" s="116"/>
      <c r="C1" s="116"/>
      <c r="D1" s="115"/>
      <c r="E1"/>
      <c r="F1" s="114" t="s">
        <v>6</v>
      </c>
      <c r="G1" s="115"/>
      <c r="H1"/>
      <c r="I1" s="109" t="s">
        <v>8</v>
      </c>
      <c r="J1" s="3" t="s">
        <v>9</v>
      </c>
      <c r="K1" s="4" t="s">
        <v>11</v>
      </c>
      <c r="L1" s="4" t="s">
        <v>16</v>
      </c>
      <c r="M1" s="4" t="s">
        <v>17</v>
      </c>
    </row>
    <row r="2" spans="1:13" s="1" customFormat="1" ht="18" customHeight="1" x14ac:dyDescent="0.35">
      <c r="A2" s="111" t="s">
        <v>0</v>
      </c>
      <c r="B2" s="112"/>
      <c r="C2" s="112"/>
      <c r="D2" s="113"/>
      <c r="E2"/>
      <c r="F2" s="111" t="s">
        <v>7</v>
      </c>
      <c r="G2" s="113"/>
      <c r="H2"/>
      <c r="I2" s="109"/>
      <c r="J2" s="5" t="s">
        <v>10</v>
      </c>
      <c r="K2" s="5" t="s">
        <v>10</v>
      </c>
      <c r="L2" s="5" t="s">
        <v>10</v>
      </c>
      <c r="M2" s="5" t="s">
        <v>10</v>
      </c>
    </row>
    <row r="3" spans="1:13" s="1" customFormat="1" ht="18" customHeight="1" x14ac:dyDescent="0.35">
      <c r="A3" t="s">
        <v>151</v>
      </c>
      <c r="B3" s="99">
        <f>0/1000</f>
        <v>0</v>
      </c>
      <c r="C3"/>
      <c r="D3"/>
      <c r="F3" t="s">
        <v>149</v>
      </c>
      <c r="G3" s="100">
        <f>822.762223936967/1000</f>
        <v>0.82276222393696696</v>
      </c>
      <c r="H3"/>
      <c r="I3" t="s">
        <v>12</v>
      </c>
      <c r="J3" s="100">
        <f>SQRT(Theta_z1_1khz^2*u_x_z_1^2+Theta_z2_1khz^2*u_x_z_2^2+Theta_z3_1khz^2*u_x_z_3^2+Theta_t1_1khz^2*u_x_t_1^2+Theta_t2_1khz^2*u_x_t_2^2+Theta_t3_1khz^2*u_x_t_3^2)</f>
        <v>0.32174551791996769</v>
      </c>
      <c r="K3" s="100">
        <f>(2*((B3-B5)/(t_11-B10)-(B3-B4)/(t_11-B9)))/(B10-B9)</f>
        <v>10.141842469763512</v>
      </c>
      <c r="L3" s="100">
        <f>K3-J3</f>
        <v>9.8200969518435439</v>
      </c>
      <c r="M3" s="100">
        <f>K3+J3</f>
        <v>10.46358798768348</v>
      </c>
    </row>
    <row r="4" spans="1:13" s="1" customFormat="1" ht="18" customHeight="1" x14ac:dyDescent="0.35">
      <c r="A4" t="s">
        <v>152</v>
      </c>
      <c r="B4" s="99">
        <f>373.764307784634/1000</f>
        <v>0.37376430778463399</v>
      </c>
      <c r="C4"/>
      <c r="D4"/>
      <c r="F4" t="s">
        <v>150</v>
      </c>
      <c r="G4" s="100">
        <f>19.2566871521458/1000</f>
        <v>1.9256687152145801E-2</v>
      </c>
      <c r="H4"/>
      <c r="I4" t="s">
        <v>13</v>
      </c>
      <c r="J4" s="100">
        <f>SQRT(B13^2*'Calculs d''erreurs'!B86^2+'TP7'!C13^2*'Calculs d''erreurs'!B87^2+'TP7'!D13^2*'Calculs d''erreurs'!B88^2+'TP7'!E13^2*'Calculs d''erreurs'!B80^2+'TP7'!F13^2*'Calculs d''erreurs'!B81^2+'Calculs d''erreurs'!B82^2*'TP7'!G13^2)</f>
        <v>5.9135689004725621E-2</v>
      </c>
      <c r="K4" s="100">
        <f>(2*((B3-B5)/(C8-C10)-(B3-B4)/(C8-C9)))/(C10-C9)</f>
        <v>10.707772831374543</v>
      </c>
      <c r="L4" s="100">
        <f t="shared" ref="L4:L6" si="0">K4-J4</f>
        <v>10.648637142369818</v>
      </c>
      <c r="M4" s="100">
        <f t="shared" ref="M4:M6" si="1">K4+J4</f>
        <v>10.766908520379268</v>
      </c>
    </row>
    <row r="5" spans="1:13" s="1" customFormat="1" ht="18" customHeight="1" x14ac:dyDescent="0.35">
      <c r="A5" t="s">
        <v>153</v>
      </c>
      <c r="B5" s="99">
        <f>502.967308430944/1000</f>
        <v>0.50296730843094395</v>
      </c>
      <c r="C5"/>
      <c r="D5"/>
      <c r="F5" s="111" t="s">
        <v>1</v>
      </c>
      <c r="G5" s="113"/>
      <c r="H5"/>
      <c r="I5" t="s">
        <v>14</v>
      </c>
      <c r="J5" s="100">
        <f>SQRT(B14^2*'Calculs d''erreurs'!B86^2+'TP7'!C14^2*'Calculs d''erreurs'!B87^2+'TP7'!D14^2*'Calculs d''erreurs'!B88^2+'Calculs d''erreurs'!B83^2*'TP7'!E14^2+'TP7'!F14^2*'Calculs d''erreurs'!B84^2+'Calculs d''erreurs'!B85^2*'TP7'!G14^2)</f>
        <v>5.849646646539769E-2</v>
      </c>
      <c r="K5" s="100">
        <f>(2*((B3-B5)/(D8-D10)-(B3-B4)/(D8-D9)))/(D10-D9)</f>
        <v>10.742980975559787</v>
      </c>
      <c r="L5" s="100">
        <f t="shared" si="0"/>
        <v>10.684484509094389</v>
      </c>
      <c r="M5" s="100">
        <f t="shared" si="1"/>
        <v>10.801477442025185</v>
      </c>
    </row>
    <row r="6" spans="1:13" s="1" customFormat="1" ht="18" customHeight="1" x14ac:dyDescent="0.35">
      <c r="A6" s="110" t="s">
        <v>1</v>
      </c>
      <c r="B6" s="110"/>
      <c r="C6" s="110"/>
      <c r="D6" s="110"/>
      <c r="E6"/>
      <c r="F6" t="s">
        <v>18</v>
      </c>
      <c r="G6" s="100">
        <v>0.77376280752147297</v>
      </c>
      <c r="H6"/>
      <c r="I6" t="s">
        <v>15</v>
      </c>
      <c r="J6" s="100">
        <f>SQRT(I12^2*'Calculs d''erreurs'!G48^2+'TP7'!J12^2*'Calculs d''erreurs'!G49^2+'TP7'!G43^2*'TP7'!K12^2+'TP7'!L12^2*'Calculs d''erreurs'!G47^2)</f>
        <v>2.7095731790281824E-2</v>
      </c>
      <c r="K6" s="100">
        <f>4*PI()^2*(G3+(1/2)*G4)/(G7-G6)^2</f>
        <v>10.237191363778486</v>
      </c>
      <c r="L6" s="100">
        <f t="shared" si="0"/>
        <v>10.210095631988203</v>
      </c>
      <c r="M6" s="100">
        <f t="shared" si="1"/>
        <v>10.264287095568768</v>
      </c>
    </row>
    <row r="7" spans="1:13" s="1" customFormat="1" ht="18" customHeight="1" x14ac:dyDescent="0.35">
      <c r="A7"/>
      <c r="B7" t="s">
        <v>2</v>
      </c>
      <c r="C7" t="s">
        <v>3</v>
      </c>
      <c r="D7" t="s">
        <v>4</v>
      </c>
      <c r="E7"/>
      <c r="F7" t="s">
        <v>19</v>
      </c>
      <c r="G7" s="100">
        <v>2.5654122248357698</v>
      </c>
      <c r="H7"/>
      <c r="I7"/>
      <c r="J7"/>
      <c r="K7" s="101"/>
      <c r="L7"/>
      <c r="M7"/>
    </row>
    <row r="8" spans="1:13" s="1" customFormat="1" ht="18" customHeight="1" x14ac:dyDescent="0.35">
      <c r="A8" t="s">
        <v>20</v>
      </c>
      <c r="B8" s="100">
        <v>0.109438862802161</v>
      </c>
      <c r="C8" s="100">
        <v>0.10882553706810499</v>
      </c>
      <c r="D8" s="100">
        <v>0.108526884271647</v>
      </c>
      <c r="E8"/>
      <c r="F8"/>
      <c r="G8"/>
      <c r="H8"/>
      <c r="I8"/>
      <c r="J8"/>
      <c r="K8"/>
      <c r="L8"/>
      <c r="M8"/>
    </row>
    <row r="9" spans="1:13" s="1" customFormat="1" ht="18" customHeight="1" x14ac:dyDescent="0.35">
      <c r="A9" t="s">
        <v>21</v>
      </c>
      <c r="B9" s="100">
        <v>0.29860647925714001</v>
      </c>
      <c r="C9" s="100">
        <v>0.29938502438502701</v>
      </c>
      <c r="D9" s="100">
        <v>0.298884666877131</v>
      </c>
      <c r="E9"/>
      <c r="F9"/>
      <c r="G9"/>
      <c r="H9"/>
      <c r="I9"/>
      <c r="J9"/>
      <c r="K9"/>
      <c r="L9"/>
      <c r="M9"/>
    </row>
    <row r="10" spans="1:13" s="1" customFormat="1" ht="18" customHeight="1" x14ac:dyDescent="0.35">
      <c r="A10" t="s">
        <v>22</v>
      </c>
      <c r="B10" s="100">
        <v>0.339707947380122</v>
      </c>
      <c r="C10" s="100">
        <v>0.33978689794876399</v>
      </c>
      <c r="D10" s="100">
        <v>0.33922675080370901</v>
      </c>
      <c r="E10"/>
      <c r="F10"/>
      <c r="G10"/>
      <c r="H10"/>
      <c r="I10"/>
      <c r="J10"/>
      <c r="K10"/>
      <c r="L10"/>
      <c r="M10"/>
    </row>
    <row r="11" spans="1:13" x14ac:dyDescent="0.35">
      <c r="B11" s="10" t="s">
        <v>23</v>
      </c>
      <c r="C11" s="10" t="s">
        <v>27</v>
      </c>
      <c r="D11" s="10" t="s">
        <v>28</v>
      </c>
      <c r="E11" s="10" t="s">
        <v>24</v>
      </c>
      <c r="F11" s="10" t="s">
        <v>25</v>
      </c>
      <c r="G11" s="10" t="s">
        <v>26</v>
      </c>
      <c r="H11" s="9"/>
      <c r="I11" s="10" t="s">
        <v>30</v>
      </c>
      <c r="J11" s="11" t="s">
        <v>31</v>
      </c>
      <c r="K11" s="11" t="s">
        <v>32</v>
      </c>
      <c r="L11" s="11" t="s">
        <v>33</v>
      </c>
    </row>
    <row r="12" spans="1:13" x14ac:dyDescent="0.35">
      <c r="A12" t="s">
        <v>2</v>
      </c>
      <c r="B12" s="100">
        <f>(2*(1/(B8-B10)-1/(B8-B9)))/(B10-B9)</f>
        <v>45.914257920599525</v>
      </c>
      <c r="C12" s="100">
        <f>2/((B10-B9)*(B8-B9))</f>
        <v>-257.23251804090978</v>
      </c>
      <c r="D12" s="100">
        <f>-2/((B10-B9)*(B8-B10))</f>
        <v>211.31826012031027</v>
      </c>
      <c r="E12" s="100">
        <f>(2*(-(B3-B5)/(B8-B10)^2+(B3-B4)/(B8-B9)^2))/(B10-B9)</f>
        <v>-46.675633731147684</v>
      </c>
      <c r="F12" s="100">
        <f>(2*((B3-B5)/(B8-B10)-(B3-B4)/(B8-B9)))/(B10-B9)^2-(2*(B3-B4))/((B10-B9)*(B8-B9)^2)</f>
        <v>755.00077754018696</v>
      </c>
      <c r="G12" s="100">
        <f>-(2*((B3-B5)/(B8-B10)-(B3-B4)/(B8-B9)))/(B10-B9)^2+(2*(B3-B5))/((B10-B9)*(B8-B10)^2)</f>
        <v>-708.32514380903945</v>
      </c>
      <c r="H12" s="2"/>
      <c r="I12" s="100">
        <f>4*PI()^2/(G7-G6)^2</f>
        <v>12.298543211949736</v>
      </c>
      <c r="J12" s="100">
        <f>2*PI()^2/(G7-G6)^2</f>
        <v>6.1492716059748682</v>
      </c>
      <c r="K12" s="100">
        <f>8*PI()^2*(G3+(1/2)*G4)/(G7-G6)^3</f>
        <v>11.42767247302673</v>
      </c>
      <c r="L12" s="100">
        <f>-8*PI()^2*(G3+(1/2)*G4)/(G7-G6)^3</f>
        <v>-11.42767247302673</v>
      </c>
    </row>
    <row r="13" spans="1:13" x14ac:dyDescent="0.35">
      <c r="A13" t="s">
        <v>3</v>
      </c>
      <c r="B13" s="100">
        <f>(2*(1/(C8-C10)-1/(C8-C9)))/(C10-C9)</f>
        <v>45.44227756869634</v>
      </c>
      <c r="C13" s="100">
        <f>2/((C10-C9)*(C8-C9))</f>
        <v>-259.77533572113822</v>
      </c>
      <c r="D13" s="100">
        <f>-2/((C10-C9)*(C8-C10))</f>
        <v>214.33305815244188</v>
      </c>
      <c r="E13" s="100">
        <f>(2*(-(B3-B5)/(C8-C10)^2+(B3-B4)/(C8-C9)^2))/(C10-C9)</f>
        <v>-42.768955025249063</v>
      </c>
      <c r="F13" s="100">
        <f>(2*((B3-B5)/(C8-C10)-(B3-B4)/(C8-C9)))/(C10-C9)^2-(2*(B3-B4))/((C10-C9)*(C8-C9)^2)</f>
        <v>774.55620144586692</v>
      </c>
      <c r="G13" s="100">
        <f>-(2*((B3-B5)/(C8-C10)-(B3-B4)/(C8-C9)))/(C10-C9)^2+(2*(B3-B5))/((C10-C9)*(C8-C10)^2)</f>
        <v>-731.78724642061798</v>
      </c>
    </row>
    <row r="14" spans="1:13" x14ac:dyDescent="0.35">
      <c r="A14" t="s">
        <v>4</v>
      </c>
      <c r="B14" s="100">
        <f>(2*(1/(D8-D10)-1/(D8-D9)))/(D10-D9)</f>
        <v>45.541991211055851</v>
      </c>
      <c r="C14" s="100">
        <f>2/((D10-D9)*(D8-D9))</f>
        <v>-260.43600804352724</v>
      </c>
      <c r="D14" s="100">
        <f>-2/((D10-D9)*(D8-D10))</f>
        <v>214.89401683247146</v>
      </c>
      <c r="E14" s="100">
        <f>(2*(-(B3-B5)/(D8-D10)^2+(B3-B4)/(D8-D9)^2))/(D10-D9)</f>
        <v>-42.854019985984401</v>
      </c>
      <c r="F14" s="100">
        <f>(2*((B3-B5)/(D8-D10)-(B3-B4)/(D8-D9)))/(D10-D9)^2-(2*(B3-B4))/((D10-D9)*(D8-D9)^2)</f>
        <v>777.65885122210716</v>
      </c>
      <c r="G14" s="100">
        <f>-(2*((B3-B5)/(D8-D10)-(B3-B4)/(D8-D9)))/(D10-D9)^2+(2*(B3-B5))/((D10-D9)*(D8-D10)^2)</f>
        <v>-734.80483123612271</v>
      </c>
    </row>
    <row r="15" spans="1:13" x14ac:dyDescent="0.35">
      <c r="A15" s="7"/>
    </row>
    <row r="16" spans="1:13" x14ac:dyDescent="0.35">
      <c r="A16" s="8" t="s">
        <v>29</v>
      </c>
      <c r="B16" s="12">
        <v>6</v>
      </c>
    </row>
    <row r="17" spans="1:3" x14ac:dyDescent="0.35">
      <c r="A17" s="7"/>
    </row>
    <row r="21" spans="1:3" x14ac:dyDescent="0.35">
      <c r="B21" s="6"/>
      <c r="C21" s="6"/>
    </row>
    <row r="22" spans="1:3" x14ac:dyDescent="0.35">
      <c r="B22" s="6"/>
      <c r="C22" s="6"/>
    </row>
    <row r="23" spans="1:3" x14ac:dyDescent="0.35">
      <c r="B23" s="6"/>
      <c r="C23" s="6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sqref="A1:D1"/>
    </sheetView>
  </sheetViews>
  <sheetFormatPr defaultRowHeight="14.5" x14ac:dyDescent="0.35"/>
  <cols>
    <col min="1" max="1" width="40.36328125" bestFit="1" customWidth="1"/>
    <col min="2" max="2" width="9.36328125" bestFit="1" customWidth="1"/>
    <col min="3" max="3" width="8.1796875" bestFit="1" customWidth="1"/>
    <col min="4" max="4" width="8.54296875" bestFit="1" customWidth="1"/>
    <col min="5" max="5" width="0.90625" style="37" customWidth="1"/>
    <col min="6" max="6" width="43.36328125" bestFit="1" customWidth="1"/>
    <col min="7" max="7" width="9.36328125" bestFit="1" customWidth="1"/>
    <col min="8" max="8" width="8.1796875" bestFit="1" customWidth="1"/>
    <col min="9" max="9" width="7.1796875" bestFit="1" customWidth="1"/>
  </cols>
  <sheetData>
    <row r="1" spans="1:9" ht="21" x14ac:dyDescent="0.5">
      <c r="A1" s="120" t="s">
        <v>5</v>
      </c>
      <c r="B1" s="121"/>
      <c r="C1" s="121"/>
      <c r="D1" s="122"/>
      <c r="E1" s="33"/>
      <c r="F1" s="123" t="s">
        <v>6</v>
      </c>
      <c r="G1" s="124"/>
      <c r="H1" s="124"/>
      <c r="I1" s="125"/>
    </row>
    <row r="2" spans="1:9" ht="21.5" thickBot="1" x14ac:dyDescent="0.55000000000000004">
      <c r="A2" s="103" t="s">
        <v>154</v>
      </c>
      <c r="B2" s="102"/>
      <c r="C2" s="102"/>
      <c r="D2" s="102"/>
      <c r="E2" s="33"/>
      <c r="F2" s="103" t="s">
        <v>157</v>
      </c>
      <c r="G2" s="102"/>
      <c r="H2" s="102"/>
      <c r="I2" s="102"/>
    </row>
    <row r="3" spans="1:9" x14ac:dyDescent="0.35">
      <c r="A3" s="48" t="s">
        <v>92</v>
      </c>
      <c r="B3" s="49" t="s">
        <v>93</v>
      </c>
      <c r="C3" s="50" t="s">
        <v>94</v>
      </c>
      <c r="D3" s="87" t="s">
        <v>95</v>
      </c>
      <c r="E3" s="34"/>
      <c r="F3" s="48" t="s">
        <v>92</v>
      </c>
      <c r="G3" s="49" t="s">
        <v>93</v>
      </c>
      <c r="H3" s="50" t="s">
        <v>94</v>
      </c>
      <c r="I3" s="51" t="s">
        <v>95</v>
      </c>
    </row>
    <row r="4" spans="1:9" x14ac:dyDescent="0.35">
      <c r="A4" s="117" t="s">
        <v>34</v>
      </c>
      <c r="B4" s="118"/>
      <c r="C4" s="118"/>
      <c r="D4" s="119"/>
      <c r="E4" s="35"/>
      <c r="F4" s="117" t="s">
        <v>34</v>
      </c>
      <c r="G4" s="118"/>
      <c r="H4" s="118"/>
      <c r="I4" s="119"/>
    </row>
    <row r="5" spans="1:9" x14ac:dyDescent="0.35">
      <c r="A5" s="88" t="s">
        <v>38</v>
      </c>
      <c r="B5" s="13" t="s">
        <v>35</v>
      </c>
      <c r="C5" s="19">
        <v>1.1899999999999999E-7</v>
      </c>
      <c r="D5" s="89" t="s">
        <v>89</v>
      </c>
      <c r="E5" s="36"/>
      <c r="F5" s="126" t="s">
        <v>108</v>
      </c>
      <c r="G5" s="127"/>
      <c r="H5" s="127"/>
      <c r="I5" s="128"/>
    </row>
    <row r="6" spans="1:9" x14ac:dyDescent="0.35">
      <c r="A6" s="90" t="s">
        <v>39</v>
      </c>
      <c r="B6" s="14" t="s">
        <v>36</v>
      </c>
      <c r="C6" s="20">
        <v>8.5099999999999998E-7</v>
      </c>
      <c r="D6" s="89" t="s">
        <v>89</v>
      </c>
      <c r="E6" s="36"/>
      <c r="F6" s="52" t="s">
        <v>96</v>
      </c>
      <c r="G6" s="23" t="s">
        <v>98</v>
      </c>
      <c r="H6" s="19">
        <v>2.0000000000000002E-5</v>
      </c>
      <c r="I6" s="53" t="s">
        <v>89</v>
      </c>
    </row>
    <row r="7" spans="1:9" x14ac:dyDescent="0.35">
      <c r="A7" s="90" t="s">
        <v>40</v>
      </c>
      <c r="B7" s="15" t="s">
        <v>37</v>
      </c>
      <c r="C7" s="21">
        <v>5.9100000000000002E-6</v>
      </c>
      <c r="D7" s="89" t="s">
        <v>89</v>
      </c>
      <c r="E7" s="36"/>
      <c r="F7" s="54" t="s">
        <v>97</v>
      </c>
      <c r="G7" s="24" t="s">
        <v>100</v>
      </c>
      <c r="H7" s="21">
        <v>2.0000000000000002E-5</v>
      </c>
      <c r="I7" s="55" t="s">
        <v>89</v>
      </c>
    </row>
    <row r="8" spans="1:9" x14ac:dyDescent="0.35">
      <c r="A8" s="88" t="s">
        <v>43</v>
      </c>
      <c r="B8" s="25" t="s">
        <v>50</v>
      </c>
      <c r="C8" s="19">
        <v>6.0000000000000002E-5</v>
      </c>
      <c r="D8" s="53" t="s">
        <v>89</v>
      </c>
      <c r="E8" s="36"/>
      <c r="F8" s="52" t="s">
        <v>103</v>
      </c>
      <c r="G8" s="23" t="s">
        <v>99</v>
      </c>
      <c r="H8" s="19">
        <v>1E-3</v>
      </c>
      <c r="I8" s="56" t="s">
        <v>89</v>
      </c>
    </row>
    <row r="9" spans="1:9" x14ac:dyDescent="0.35">
      <c r="A9" s="90" t="s">
        <v>44</v>
      </c>
      <c r="B9" s="26" t="s">
        <v>51</v>
      </c>
      <c r="C9" s="20">
        <v>1E-4</v>
      </c>
      <c r="D9" s="89" t="s">
        <v>89</v>
      </c>
      <c r="E9" s="36"/>
      <c r="F9" s="54" t="s">
        <v>104</v>
      </c>
      <c r="G9" s="24" t="s">
        <v>101</v>
      </c>
      <c r="H9" s="21">
        <v>1E-3</v>
      </c>
      <c r="I9" s="57" t="s">
        <v>89</v>
      </c>
    </row>
    <row r="10" spans="1:9" x14ac:dyDescent="0.35">
      <c r="A10" s="90" t="s">
        <v>47</v>
      </c>
      <c r="B10" s="26" t="s">
        <v>52</v>
      </c>
      <c r="C10" s="20">
        <v>1.2999999999999999E-4</v>
      </c>
      <c r="D10" s="89" t="s">
        <v>89</v>
      </c>
      <c r="E10" s="36"/>
      <c r="F10" s="52" t="s">
        <v>102</v>
      </c>
      <c r="G10" s="23" t="s">
        <v>106</v>
      </c>
      <c r="H10" s="19">
        <v>2E-3</v>
      </c>
      <c r="I10" s="56" t="s">
        <v>89</v>
      </c>
    </row>
    <row r="11" spans="1:9" x14ac:dyDescent="0.35">
      <c r="A11" s="90" t="s">
        <v>42</v>
      </c>
      <c r="B11" s="26" t="s">
        <v>50</v>
      </c>
      <c r="C11" s="20">
        <v>4.0999999999999999E-7</v>
      </c>
      <c r="D11" s="89" t="s">
        <v>89</v>
      </c>
      <c r="E11" s="36"/>
      <c r="F11" s="58" t="s">
        <v>105</v>
      </c>
      <c r="G11" s="24" t="s">
        <v>107</v>
      </c>
      <c r="H11" s="21">
        <v>2E-3</v>
      </c>
      <c r="I11" s="57" t="s">
        <v>89</v>
      </c>
    </row>
    <row r="12" spans="1:9" x14ac:dyDescent="0.35">
      <c r="A12" s="90" t="s">
        <v>45</v>
      </c>
      <c r="B12" s="26" t="s">
        <v>51</v>
      </c>
      <c r="C12" s="20">
        <v>3.4999999999999999E-6</v>
      </c>
      <c r="D12" s="89" t="s">
        <v>89</v>
      </c>
      <c r="E12" s="36"/>
      <c r="F12" s="126" t="s">
        <v>109</v>
      </c>
      <c r="G12" s="127"/>
      <c r="H12" s="127"/>
      <c r="I12" s="128"/>
    </row>
    <row r="13" spans="1:9" x14ac:dyDescent="0.35">
      <c r="A13" s="90" t="s">
        <v>48</v>
      </c>
      <c r="B13" s="26" t="s">
        <v>52</v>
      </c>
      <c r="C13" s="20">
        <v>1.2799999999999999E-5</v>
      </c>
      <c r="D13" s="89" t="s">
        <v>89</v>
      </c>
      <c r="E13" s="36"/>
      <c r="F13" s="59" t="s">
        <v>110</v>
      </c>
      <c r="G13" s="38" t="s">
        <v>111</v>
      </c>
      <c r="H13" s="39">
        <v>1E-4</v>
      </c>
      <c r="I13" s="60" t="s">
        <v>90</v>
      </c>
    </row>
    <row r="14" spans="1:9" x14ac:dyDescent="0.35">
      <c r="A14" s="90" t="s">
        <v>41</v>
      </c>
      <c r="B14" s="26" t="s">
        <v>50</v>
      </c>
      <c r="C14" s="20">
        <v>2E-8</v>
      </c>
      <c r="D14" s="89" t="s">
        <v>89</v>
      </c>
      <c r="E14" s="36"/>
      <c r="F14" s="52" t="s">
        <v>113</v>
      </c>
      <c r="G14" s="16" t="s">
        <v>114</v>
      </c>
      <c r="H14" s="19">
        <v>5.0000000000000001E-4</v>
      </c>
      <c r="I14" s="53" t="s">
        <v>90</v>
      </c>
    </row>
    <row r="15" spans="1:9" x14ac:dyDescent="0.35">
      <c r="A15" s="90" t="s">
        <v>46</v>
      </c>
      <c r="B15" s="26" t="s">
        <v>51</v>
      </c>
      <c r="C15" s="20">
        <v>4.9999999999999998E-8</v>
      </c>
      <c r="D15" s="89" t="s">
        <v>89</v>
      </c>
      <c r="E15" s="36"/>
      <c r="F15" s="58" t="s">
        <v>112</v>
      </c>
      <c r="G15" s="18" t="s">
        <v>115</v>
      </c>
      <c r="H15" s="21">
        <v>5.0000000000000001E-4</v>
      </c>
      <c r="I15" s="55" t="s">
        <v>90</v>
      </c>
    </row>
    <row r="16" spans="1:9" x14ac:dyDescent="0.35">
      <c r="A16" s="54" t="s">
        <v>49</v>
      </c>
      <c r="B16" s="27" t="s">
        <v>52</v>
      </c>
      <c r="C16" s="21">
        <v>9.9999999999999995E-8</v>
      </c>
      <c r="D16" s="55" t="s">
        <v>89</v>
      </c>
      <c r="E16" s="36"/>
      <c r="F16" s="52" t="s">
        <v>116</v>
      </c>
      <c r="G16" s="23" t="s">
        <v>117</v>
      </c>
      <c r="H16" s="19">
        <v>1E-4</v>
      </c>
      <c r="I16" s="56" t="s">
        <v>90</v>
      </c>
    </row>
    <row r="17" spans="1:9" x14ac:dyDescent="0.35">
      <c r="A17" s="91" t="s">
        <v>53</v>
      </c>
      <c r="B17" s="23" t="s">
        <v>56</v>
      </c>
      <c r="C17" s="19">
        <v>1E-4</v>
      </c>
      <c r="D17" s="89" t="s">
        <v>90</v>
      </c>
      <c r="E17" s="36"/>
      <c r="F17" s="58" t="s">
        <v>118</v>
      </c>
      <c r="G17" s="24" t="s">
        <v>119</v>
      </c>
      <c r="H17" s="21">
        <v>1E-4</v>
      </c>
      <c r="I17" s="57" t="s">
        <v>90</v>
      </c>
    </row>
    <row r="18" spans="1:9" x14ac:dyDescent="0.35">
      <c r="A18" s="91" t="s">
        <v>54</v>
      </c>
      <c r="B18" s="22" t="s">
        <v>57</v>
      </c>
      <c r="C18" s="20">
        <v>1E-4</v>
      </c>
      <c r="D18" s="89" t="s">
        <v>90</v>
      </c>
      <c r="E18" s="36"/>
      <c r="F18" s="117" t="s">
        <v>91</v>
      </c>
      <c r="G18" s="118"/>
      <c r="H18" s="118"/>
      <c r="I18" s="119"/>
    </row>
    <row r="19" spans="1:9" x14ac:dyDescent="0.35">
      <c r="A19" s="58" t="s">
        <v>55</v>
      </c>
      <c r="B19" s="24" t="s">
        <v>58</v>
      </c>
      <c r="C19" s="21">
        <v>1E-4</v>
      </c>
      <c r="D19" s="89" t="s">
        <v>90</v>
      </c>
      <c r="E19" s="36"/>
      <c r="F19" s="126" t="s">
        <v>108</v>
      </c>
      <c r="G19" s="127"/>
      <c r="H19" s="127"/>
      <c r="I19" s="128"/>
    </row>
    <row r="20" spans="1:9" x14ac:dyDescent="0.35">
      <c r="A20" s="52" t="s">
        <v>59</v>
      </c>
      <c r="B20" s="23" t="s">
        <v>62</v>
      </c>
      <c r="C20" s="19">
        <v>1E-4</v>
      </c>
      <c r="D20" s="53" t="s">
        <v>90</v>
      </c>
      <c r="E20" s="36"/>
      <c r="F20" s="61" t="s">
        <v>126</v>
      </c>
      <c r="G20" s="16" t="s">
        <v>120</v>
      </c>
      <c r="H20" s="62">
        <v>6.0000000000000002E-5</v>
      </c>
      <c r="I20" s="53" t="s">
        <v>89</v>
      </c>
    </row>
    <row r="21" spans="1:9" x14ac:dyDescent="0.35">
      <c r="A21" s="91" t="s">
        <v>60</v>
      </c>
      <c r="B21" s="22" t="s">
        <v>63</v>
      </c>
      <c r="C21" s="20">
        <v>1E-4</v>
      </c>
      <c r="D21" s="89" t="s">
        <v>90</v>
      </c>
      <c r="E21" s="36"/>
      <c r="F21" s="61" t="s">
        <v>127</v>
      </c>
      <c r="G21" s="18" t="s">
        <v>121</v>
      </c>
      <c r="H21" s="62">
        <v>6.0000000000000002E-5</v>
      </c>
      <c r="I21" s="55" t="s">
        <v>89</v>
      </c>
    </row>
    <row r="22" spans="1:9" x14ac:dyDescent="0.35">
      <c r="A22" s="58" t="s">
        <v>61</v>
      </c>
      <c r="B22" s="24" t="s">
        <v>64</v>
      </c>
      <c r="C22" s="21">
        <v>1E-4</v>
      </c>
      <c r="D22" s="55" t="s">
        <v>90</v>
      </c>
      <c r="E22" s="36"/>
      <c r="F22" s="126" t="s">
        <v>109</v>
      </c>
      <c r="G22" s="127"/>
      <c r="H22" s="127"/>
      <c r="I22" s="128"/>
    </row>
    <row r="23" spans="1:9" x14ac:dyDescent="0.35">
      <c r="A23" s="52" t="s">
        <v>65</v>
      </c>
      <c r="B23" s="23" t="s">
        <v>68</v>
      </c>
      <c r="C23" s="19">
        <v>5.0000000000000002E-5</v>
      </c>
      <c r="D23" s="53" t="s">
        <v>90</v>
      </c>
      <c r="E23" s="36"/>
      <c r="F23" s="63" t="s">
        <v>125</v>
      </c>
      <c r="G23" s="16" t="s">
        <v>122</v>
      </c>
      <c r="H23" s="40">
        <v>2.0000000000000002E-5</v>
      </c>
      <c r="I23" s="53" t="s">
        <v>90</v>
      </c>
    </row>
    <row r="24" spans="1:9" ht="15" thickBot="1" x14ac:dyDescent="0.4">
      <c r="A24" s="91" t="s">
        <v>66</v>
      </c>
      <c r="B24" s="22" t="s">
        <v>69</v>
      </c>
      <c r="C24" s="20">
        <v>5.0000000000000002E-5</v>
      </c>
      <c r="D24" s="89" t="s">
        <v>90</v>
      </c>
      <c r="E24" s="36"/>
      <c r="F24" s="64" t="s">
        <v>124</v>
      </c>
      <c r="G24" s="65" t="s">
        <v>123</v>
      </c>
      <c r="H24" s="66">
        <v>1.0000000000000001E-5</v>
      </c>
      <c r="I24" s="67" t="s">
        <v>90</v>
      </c>
    </row>
    <row r="25" spans="1:9" x14ac:dyDescent="0.35">
      <c r="A25" s="58" t="s">
        <v>67</v>
      </c>
      <c r="B25" s="24" t="s">
        <v>70</v>
      </c>
      <c r="C25" s="21">
        <v>5.0000000000000002E-5</v>
      </c>
      <c r="D25" s="55" t="s">
        <v>90</v>
      </c>
      <c r="E25" s="36"/>
    </row>
    <row r="26" spans="1:9" x14ac:dyDescent="0.35">
      <c r="A26" s="117" t="s">
        <v>91</v>
      </c>
      <c r="B26" s="118"/>
      <c r="C26" s="118"/>
      <c r="D26" s="119"/>
      <c r="E26" s="35"/>
      <c r="F26" s="41" t="s">
        <v>128</v>
      </c>
    </row>
    <row r="27" spans="1:9" x14ac:dyDescent="0.35">
      <c r="A27" s="52" t="s">
        <v>71</v>
      </c>
      <c r="B27" s="28" t="s">
        <v>74</v>
      </c>
      <c r="C27" s="19">
        <v>1.2999999999999999E-4</v>
      </c>
      <c r="D27" s="53" t="s">
        <v>89</v>
      </c>
      <c r="E27" s="36"/>
    </row>
    <row r="28" spans="1:9" x14ac:dyDescent="0.35">
      <c r="A28" s="91" t="s">
        <v>75</v>
      </c>
      <c r="B28" s="29" t="s">
        <v>81</v>
      </c>
      <c r="C28" s="20">
        <v>1.44E-4</v>
      </c>
      <c r="D28" s="89" t="s">
        <v>89</v>
      </c>
      <c r="E28" s="36"/>
    </row>
    <row r="29" spans="1:9" x14ac:dyDescent="0.35">
      <c r="A29" s="91" t="s">
        <v>78</v>
      </c>
      <c r="B29" s="29" t="s">
        <v>82</v>
      </c>
      <c r="C29" s="20">
        <v>1.3999999999999999E-4</v>
      </c>
      <c r="D29" s="89" t="s">
        <v>89</v>
      </c>
      <c r="E29" s="36"/>
    </row>
    <row r="30" spans="1:9" x14ac:dyDescent="0.35">
      <c r="A30" s="91" t="s">
        <v>72</v>
      </c>
      <c r="B30" s="29" t="s">
        <v>74</v>
      </c>
      <c r="C30" s="20">
        <v>7.9999999999999996E-6</v>
      </c>
      <c r="D30" s="89" t="s">
        <v>89</v>
      </c>
      <c r="E30" s="36"/>
    </row>
    <row r="31" spans="1:9" x14ac:dyDescent="0.35">
      <c r="A31" s="91" t="s">
        <v>76</v>
      </c>
      <c r="B31" s="29" t="s">
        <v>81</v>
      </c>
      <c r="C31" s="20">
        <v>1.1E-5</v>
      </c>
      <c r="D31" s="89" t="s">
        <v>89</v>
      </c>
      <c r="E31" s="36"/>
      <c r="F31" s="104" t="s">
        <v>158</v>
      </c>
    </row>
    <row r="32" spans="1:9" ht="15" thickBot="1" x14ac:dyDescent="0.4">
      <c r="A32" s="91" t="s">
        <v>79</v>
      </c>
      <c r="B32" s="29" t="s">
        <v>82</v>
      </c>
      <c r="C32" s="20">
        <v>1.5E-5</v>
      </c>
      <c r="D32" s="89" t="s">
        <v>89</v>
      </c>
      <c r="E32" s="36"/>
      <c r="F32" s="78" t="s">
        <v>93</v>
      </c>
      <c r="G32" s="78" t="s">
        <v>94</v>
      </c>
      <c r="H32" s="78" t="s">
        <v>95</v>
      </c>
    </row>
    <row r="33" spans="1:8" x14ac:dyDescent="0.35">
      <c r="A33" s="91" t="s">
        <v>73</v>
      </c>
      <c r="B33" s="29" t="s">
        <v>74</v>
      </c>
      <c r="C33" s="20">
        <v>7.9999999999999996E-6</v>
      </c>
      <c r="D33" s="89" t="s">
        <v>89</v>
      </c>
      <c r="E33" s="36"/>
      <c r="F33" s="129" t="s">
        <v>147</v>
      </c>
      <c r="G33" s="130"/>
      <c r="H33" s="131"/>
    </row>
    <row r="34" spans="1:8" x14ac:dyDescent="0.35">
      <c r="A34" s="91" t="s">
        <v>77</v>
      </c>
      <c r="B34" s="29" t="s">
        <v>81</v>
      </c>
      <c r="C34" s="20">
        <v>1.1E-5</v>
      </c>
      <c r="D34" s="89" t="s">
        <v>89</v>
      </c>
      <c r="E34" s="36"/>
      <c r="F34" s="79" t="s">
        <v>142</v>
      </c>
      <c r="G34" s="19">
        <f>SQRT(H6^2+H8^2+H10^2)</f>
        <v>2.2361574184301069E-3</v>
      </c>
      <c r="H34" s="80" t="s">
        <v>89</v>
      </c>
    </row>
    <row r="35" spans="1:8" x14ac:dyDescent="0.35">
      <c r="A35" s="58" t="s">
        <v>80</v>
      </c>
      <c r="B35" s="29" t="s">
        <v>82</v>
      </c>
      <c r="C35" s="21">
        <v>1.5E-5</v>
      </c>
      <c r="D35" s="55" t="s">
        <v>89</v>
      </c>
      <c r="E35" s="36"/>
      <c r="F35" s="81" t="s">
        <v>143</v>
      </c>
      <c r="G35" s="21">
        <f>SQRT(H7^2+H9^2+H11^2)</f>
        <v>2.2361574184301069E-3</v>
      </c>
      <c r="H35" s="82" t="s">
        <v>89</v>
      </c>
    </row>
    <row r="36" spans="1:8" x14ac:dyDescent="0.35">
      <c r="A36" s="79" t="s">
        <v>83</v>
      </c>
      <c r="B36" s="16" t="s">
        <v>86</v>
      </c>
      <c r="C36" s="31">
        <v>5.0000000000000004E-6</v>
      </c>
      <c r="D36" s="89" t="s">
        <v>90</v>
      </c>
      <c r="E36" s="36"/>
      <c r="F36" s="79" t="s">
        <v>144</v>
      </c>
      <c r="G36" s="17">
        <f>SQRT(H13^2+H14^2+H15^2+H16^2)</f>
        <v>7.2111025509279786E-4</v>
      </c>
      <c r="H36" s="80" t="s">
        <v>90</v>
      </c>
    </row>
    <row r="37" spans="1:8" ht="15" thickBot="1" x14ac:dyDescent="0.4">
      <c r="A37" s="61" t="s">
        <v>84</v>
      </c>
      <c r="B37" s="17" t="s">
        <v>87</v>
      </c>
      <c r="C37" s="32">
        <v>5.0000000000000004E-6</v>
      </c>
      <c r="D37" s="89" t="s">
        <v>90</v>
      </c>
      <c r="E37" s="36"/>
      <c r="F37" s="61" t="s">
        <v>145</v>
      </c>
      <c r="G37" s="20">
        <f>H17</f>
        <v>1E-4</v>
      </c>
      <c r="H37" s="86" t="s">
        <v>90</v>
      </c>
    </row>
    <row r="38" spans="1:8" ht="15" thickBot="1" x14ac:dyDescent="0.4">
      <c r="A38" s="83" t="s">
        <v>85</v>
      </c>
      <c r="B38" s="65" t="s">
        <v>88</v>
      </c>
      <c r="C38" s="92">
        <v>5.0000000000000004E-6</v>
      </c>
      <c r="D38" s="67" t="s">
        <v>90</v>
      </c>
      <c r="E38" s="36"/>
      <c r="F38" s="129" t="s">
        <v>148</v>
      </c>
      <c r="G38" s="130"/>
      <c r="H38" s="131"/>
    </row>
    <row r="39" spans="1:8" x14ac:dyDescent="0.35">
      <c r="A39" s="30"/>
      <c r="B39" s="14"/>
      <c r="F39" s="79" t="s">
        <v>142</v>
      </c>
      <c r="G39" s="19">
        <f>H20</f>
        <v>6.0000000000000002E-5</v>
      </c>
      <c r="H39" s="80" t="s">
        <v>89</v>
      </c>
    </row>
    <row r="40" spans="1:8" x14ac:dyDescent="0.35">
      <c r="A40" s="41" t="s">
        <v>128</v>
      </c>
      <c r="F40" s="81" t="s">
        <v>143</v>
      </c>
      <c r="G40" s="21">
        <f>H21</f>
        <v>6.0000000000000002E-5</v>
      </c>
      <c r="H40" s="82" t="s">
        <v>89</v>
      </c>
    </row>
    <row r="41" spans="1:8" x14ac:dyDescent="0.35">
      <c r="F41" s="79" t="s">
        <v>144</v>
      </c>
      <c r="G41" s="19">
        <f>H23</f>
        <v>2.0000000000000002E-5</v>
      </c>
      <c r="H41" s="80" t="s">
        <v>90</v>
      </c>
    </row>
    <row r="42" spans="1:8" ht="15" thickBot="1" x14ac:dyDescent="0.4">
      <c r="F42" s="83" t="s">
        <v>145</v>
      </c>
      <c r="G42" s="84">
        <f>H24</f>
        <v>1.0000000000000001E-5</v>
      </c>
      <c r="H42" s="85" t="s">
        <v>90</v>
      </c>
    </row>
    <row r="44" spans="1:8" ht="15" thickBot="1" x14ac:dyDescent="0.4">
      <c r="F44" s="104" t="s">
        <v>159</v>
      </c>
    </row>
    <row r="45" spans="1:8" x14ac:dyDescent="0.35">
      <c r="F45" s="68" t="s">
        <v>146</v>
      </c>
      <c r="G45" s="69" t="s">
        <v>141</v>
      </c>
      <c r="H45" s="70">
        <v>2</v>
      </c>
    </row>
    <row r="46" spans="1:8" ht="15" thickBot="1" x14ac:dyDescent="0.4">
      <c r="A46" s="104" t="s">
        <v>155</v>
      </c>
      <c r="F46" s="71" t="s">
        <v>142</v>
      </c>
      <c r="G46" s="42">
        <f>SQRT(G34^2+(H$45*G39)^2)</f>
        <v>2.2393749127825827E-3</v>
      </c>
      <c r="H46" s="72" t="s">
        <v>89</v>
      </c>
    </row>
    <row r="47" spans="1:8" x14ac:dyDescent="0.35">
      <c r="A47" s="93" t="s">
        <v>93</v>
      </c>
      <c r="B47" s="94" t="s">
        <v>94</v>
      </c>
      <c r="C47" s="95" t="s">
        <v>95</v>
      </c>
      <c r="F47" s="73" t="s">
        <v>143</v>
      </c>
      <c r="G47" s="44">
        <f>SQRT(G35^2+(H$45*G40)^2)</f>
        <v>2.2393749127825827E-3</v>
      </c>
      <c r="H47" s="74" t="s">
        <v>89</v>
      </c>
    </row>
    <row r="48" spans="1:8" x14ac:dyDescent="0.35">
      <c r="A48" s="117" t="s">
        <v>147</v>
      </c>
      <c r="B48" s="132"/>
      <c r="C48" s="119"/>
      <c r="F48" s="71" t="s">
        <v>144</v>
      </c>
      <c r="G48" s="42">
        <f>SQRT(G36^2+(H$45*G41)^2)</f>
        <v>7.222188034107115E-4</v>
      </c>
      <c r="H48" s="72" t="s">
        <v>90</v>
      </c>
    </row>
    <row r="49" spans="1:8" ht="15" thickBot="1" x14ac:dyDescent="0.4">
      <c r="A49" s="63" t="s">
        <v>129</v>
      </c>
      <c r="B49" s="19">
        <f>SQRT(C5^2+C8^2)</f>
        <v>6.0000118008217281E-5</v>
      </c>
      <c r="C49" s="80" t="s">
        <v>89</v>
      </c>
      <c r="F49" s="75" t="s">
        <v>145</v>
      </c>
      <c r="G49" s="76">
        <f>SQRT(G37^2+(H$45*G42)^2)</f>
        <v>1.0198039027185569E-4</v>
      </c>
      <c r="H49" s="77" t="s">
        <v>90</v>
      </c>
    </row>
    <row r="50" spans="1:8" x14ac:dyDescent="0.35">
      <c r="A50" s="96" t="s">
        <v>130</v>
      </c>
      <c r="B50" s="20">
        <f t="shared" ref="B50:B51" si="0">SQRT(C6^2+C9^2)</f>
        <v>1.0000362093944398E-4</v>
      </c>
      <c r="C50" s="86" t="s">
        <v>89</v>
      </c>
    </row>
    <row r="51" spans="1:8" x14ac:dyDescent="0.35">
      <c r="A51" s="96" t="s">
        <v>131</v>
      </c>
      <c r="B51" s="21">
        <f t="shared" si="0"/>
        <v>1.3013426950653694E-4</v>
      </c>
      <c r="C51" s="86" t="s">
        <v>89</v>
      </c>
    </row>
    <row r="52" spans="1:8" x14ac:dyDescent="0.35">
      <c r="A52" s="63" t="s">
        <v>132</v>
      </c>
      <c r="B52" s="19">
        <f>SQRT(C11^2+C5^2)</f>
        <v>4.2692036728176834E-7</v>
      </c>
      <c r="C52" s="80" t="s">
        <v>89</v>
      </c>
    </row>
    <row r="53" spans="1:8" x14ac:dyDescent="0.35">
      <c r="A53" s="96" t="s">
        <v>133</v>
      </c>
      <c r="B53" s="20">
        <f t="shared" ref="B53:B54" si="1">SQRT(C12^2+C6^2)</f>
        <v>3.6019718211002152E-6</v>
      </c>
      <c r="C53" s="86" t="s">
        <v>89</v>
      </c>
    </row>
    <row r="54" spans="1:8" x14ac:dyDescent="0.35">
      <c r="A54" s="96" t="s">
        <v>134</v>
      </c>
      <c r="B54" s="21">
        <f t="shared" si="1"/>
        <v>1.4098514106103522E-5</v>
      </c>
      <c r="C54" s="86" t="s">
        <v>89</v>
      </c>
    </row>
    <row r="55" spans="1:8" x14ac:dyDescent="0.35">
      <c r="A55" s="88" t="s">
        <v>135</v>
      </c>
      <c r="B55" s="20">
        <f>SQRT(C14^2+C5^2)</f>
        <v>1.2066896867049124E-7</v>
      </c>
      <c r="C55" s="53" t="s">
        <v>89</v>
      </c>
    </row>
    <row r="56" spans="1:8" x14ac:dyDescent="0.35">
      <c r="A56" s="90" t="s">
        <v>136</v>
      </c>
      <c r="B56" s="20">
        <f t="shared" ref="B56:B57" si="2">SQRT(C15^2+C6^2)</f>
        <v>8.5246759469202112E-7</v>
      </c>
      <c r="C56" s="89" t="s">
        <v>89</v>
      </c>
    </row>
    <row r="57" spans="1:8" x14ac:dyDescent="0.35">
      <c r="A57" s="90" t="s">
        <v>137</v>
      </c>
      <c r="B57" s="20">
        <f t="shared" si="2"/>
        <v>5.910845963142671E-6</v>
      </c>
      <c r="C57" s="89" t="s">
        <v>89</v>
      </c>
    </row>
    <row r="58" spans="1:8" x14ac:dyDescent="0.35">
      <c r="A58" s="63" t="s">
        <v>138</v>
      </c>
      <c r="B58" s="19">
        <f>SQRT(C17^2+C20^2+C23^2)</f>
        <v>1.4999999999999999E-4</v>
      </c>
      <c r="C58" s="80" t="s">
        <v>90</v>
      </c>
    </row>
    <row r="59" spans="1:8" x14ac:dyDescent="0.35">
      <c r="A59" s="96" t="s">
        <v>139</v>
      </c>
      <c r="B59" s="20">
        <f>SQRT(C18^2+C21^2+C24^2)</f>
        <v>1.4999999999999999E-4</v>
      </c>
      <c r="C59" s="86" t="s">
        <v>90</v>
      </c>
    </row>
    <row r="60" spans="1:8" ht="15" thickBot="1" x14ac:dyDescent="0.4">
      <c r="A60" s="64" t="s">
        <v>140</v>
      </c>
      <c r="B60" s="84">
        <f>SQRT(C19^2+C22^2+C25^2)</f>
        <v>1.4999999999999999E-4</v>
      </c>
      <c r="C60" s="85" t="s">
        <v>90</v>
      </c>
    </row>
    <row r="61" spans="1:8" x14ac:dyDescent="0.35">
      <c r="A61" s="129" t="s">
        <v>148</v>
      </c>
      <c r="B61" s="130"/>
      <c r="C61" s="131"/>
    </row>
    <row r="62" spans="1:8" x14ac:dyDescent="0.35">
      <c r="A62" s="63" t="s">
        <v>129</v>
      </c>
      <c r="B62" s="19">
        <f>C27</f>
        <v>1.2999999999999999E-4</v>
      </c>
      <c r="C62" s="80" t="s">
        <v>89</v>
      </c>
    </row>
    <row r="63" spans="1:8" x14ac:dyDescent="0.35">
      <c r="A63" s="96" t="s">
        <v>130</v>
      </c>
      <c r="B63" s="20">
        <f t="shared" ref="B63:B64" si="3">C28</f>
        <v>1.44E-4</v>
      </c>
      <c r="C63" s="86" t="s">
        <v>89</v>
      </c>
    </row>
    <row r="64" spans="1:8" x14ac:dyDescent="0.35">
      <c r="A64" s="96" t="s">
        <v>131</v>
      </c>
      <c r="B64" s="21">
        <f t="shared" si="3"/>
        <v>1.3999999999999999E-4</v>
      </c>
      <c r="C64" s="86" t="s">
        <v>89</v>
      </c>
    </row>
    <row r="65" spans="1:3" x14ac:dyDescent="0.35">
      <c r="A65" s="88" t="s">
        <v>132</v>
      </c>
      <c r="B65" s="20">
        <f>C30</f>
        <v>7.9999999999999996E-6</v>
      </c>
      <c r="C65" s="53" t="s">
        <v>89</v>
      </c>
    </row>
    <row r="66" spans="1:3" x14ac:dyDescent="0.35">
      <c r="A66" s="90" t="s">
        <v>133</v>
      </c>
      <c r="B66" s="20">
        <f t="shared" ref="B66:B67" si="4">C31</f>
        <v>1.1E-5</v>
      </c>
      <c r="C66" s="89" t="s">
        <v>89</v>
      </c>
    </row>
    <row r="67" spans="1:3" x14ac:dyDescent="0.35">
      <c r="A67" s="90" t="s">
        <v>134</v>
      </c>
      <c r="B67" s="20">
        <f t="shared" si="4"/>
        <v>1.5E-5</v>
      </c>
      <c r="C67" s="89" t="s">
        <v>89</v>
      </c>
    </row>
    <row r="68" spans="1:3" x14ac:dyDescent="0.35">
      <c r="A68" s="63" t="s">
        <v>135</v>
      </c>
      <c r="B68" s="19">
        <f>C33</f>
        <v>7.9999999999999996E-6</v>
      </c>
      <c r="C68" s="80" t="s">
        <v>89</v>
      </c>
    </row>
    <row r="69" spans="1:3" x14ac:dyDescent="0.35">
      <c r="A69" s="96" t="s">
        <v>136</v>
      </c>
      <c r="B69" s="20">
        <f t="shared" ref="B69:B70" si="5">C34</f>
        <v>1.1E-5</v>
      </c>
      <c r="C69" s="86" t="s">
        <v>89</v>
      </c>
    </row>
    <row r="70" spans="1:3" x14ac:dyDescent="0.35">
      <c r="A70" s="96" t="s">
        <v>137</v>
      </c>
      <c r="B70" s="21">
        <f t="shared" si="5"/>
        <v>1.5E-5</v>
      </c>
      <c r="C70" s="86" t="s">
        <v>89</v>
      </c>
    </row>
    <row r="71" spans="1:3" x14ac:dyDescent="0.35">
      <c r="A71" s="88" t="s">
        <v>138</v>
      </c>
      <c r="B71" s="19">
        <f>C36</f>
        <v>5.0000000000000004E-6</v>
      </c>
      <c r="C71" s="53" t="s">
        <v>90</v>
      </c>
    </row>
    <row r="72" spans="1:3" x14ac:dyDescent="0.35">
      <c r="A72" s="90" t="s">
        <v>139</v>
      </c>
      <c r="B72" s="20">
        <f t="shared" ref="B72:B73" si="6">C37</f>
        <v>5.0000000000000004E-6</v>
      </c>
      <c r="C72" s="89" t="s">
        <v>90</v>
      </c>
    </row>
    <row r="73" spans="1:3" x14ac:dyDescent="0.35">
      <c r="A73" s="54" t="s">
        <v>140</v>
      </c>
      <c r="B73" s="21">
        <f t="shared" si="6"/>
        <v>5.0000000000000004E-6</v>
      </c>
      <c r="C73" s="55" t="s">
        <v>90</v>
      </c>
    </row>
    <row r="74" spans="1:3" x14ac:dyDescent="0.35">
      <c r="A74" s="14"/>
      <c r="B74" s="62"/>
      <c r="C74" s="14"/>
    </row>
    <row r="75" spans="1:3" x14ac:dyDescent="0.35">
      <c r="A75" s="104" t="s">
        <v>156</v>
      </c>
      <c r="B75" s="62"/>
      <c r="C75" s="14"/>
    </row>
    <row r="76" spans="1:3" x14ac:dyDescent="0.35">
      <c r="A76" s="105" t="s">
        <v>146</v>
      </c>
      <c r="B76" s="106" t="s">
        <v>141</v>
      </c>
      <c r="C76" s="107">
        <v>2</v>
      </c>
    </row>
    <row r="77" spans="1:3" x14ac:dyDescent="0.35">
      <c r="A77" s="71" t="s">
        <v>129</v>
      </c>
      <c r="B77" s="42">
        <f t="shared" ref="B77:B88" si="7">SQRT((B49)^2+(C$76*B62)^2)</f>
        <v>2.6683330781782094E-4</v>
      </c>
      <c r="C77" s="72" t="s">
        <v>89</v>
      </c>
    </row>
    <row r="78" spans="1:3" x14ac:dyDescent="0.35">
      <c r="A78" s="97" t="s">
        <v>130</v>
      </c>
      <c r="B78" s="43">
        <f t="shared" si="7"/>
        <v>3.0486837192631182E-4</v>
      </c>
      <c r="C78" s="98" t="s">
        <v>89</v>
      </c>
    </row>
    <row r="79" spans="1:3" x14ac:dyDescent="0.35">
      <c r="A79" s="73" t="s">
        <v>131</v>
      </c>
      <c r="B79" s="44">
        <f t="shared" si="7"/>
        <v>3.0876354723315374E-4</v>
      </c>
      <c r="C79" s="74" t="s">
        <v>89</v>
      </c>
    </row>
    <row r="80" spans="1:3" x14ac:dyDescent="0.35">
      <c r="A80" s="71" t="s">
        <v>132</v>
      </c>
      <c r="B80" s="45">
        <f t="shared" si="7"/>
        <v>1.600569464284509E-5</v>
      </c>
      <c r="C80" s="72" t="s">
        <v>89</v>
      </c>
    </row>
    <row r="81" spans="1:3" x14ac:dyDescent="0.35">
      <c r="A81" s="97" t="s">
        <v>133</v>
      </c>
      <c r="B81" s="46">
        <f t="shared" si="7"/>
        <v>2.2292918180444659E-5</v>
      </c>
      <c r="C81" s="98" t="s">
        <v>89</v>
      </c>
    </row>
    <row r="82" spans="1:3" x14ac:dyDescent="0.35">
      <c r="A82" s="97" t="s">
        <v>134</v>
      </c>
      <c r="B82" s="47">
        <f t="shared" si="7"/>
        <v>3.3147671109747662E-5</v>
      </c>
      <c r="C82" s="98" t="s">
        <v>89</v>
      </c>
    </row>
    <row r="83" spans="1:3" x14ac:dyDescent="0.35">
      <c r="A83" s="71" t="s">
        <v>135</v>
      </c>
      <c r="B83" s="45">
        <f t="shared" si="7"/>
        <v>1.6000455024779763E-5</v>
      </c>
      <c r="C83" s="72" t="s">
        <v>89</v>
      </c>
    </row>
    <row r="84" spans="1:3" x14ac:dyDescent="0.35">
      <c r="A84" s="97" t="s">
        <v>136</v>
      </c>
      <c r="B84" s="46">
        <f t="shared" si="7"/>
        <v>2.2016509737013267E-5</v>
      </c>
      <c r="C84" s="98" t="s">
        <v>89</v>
      </c>
    </row>
    <row r="85" spans="1:3" x14ac:dyDescent="0.35">
      <c r="A85" s="73" t="s">
        <v>137</v>
      </c>
      <c r="B85" s="46">
        <f t="shared" si="7"/>
        <v>3.0576757512856072E-5</v>
      </c>
      <c r="C85" s="74" t="s">
        <v>89</v>
      </c>
    </row>
    <row r="86" spans="1:3" x14ac:dyDescent="0.35">
      <c r="A86" s="71" t="s">
        <v>138</v>
      </c>
      <c r="B86" s="42">
        <f t="shared" si="7"/>
        <v>1.5033296378372908E-4</v>
      </c>
      <c r="C86" s="72" t="s">
        <v>90</v>
      </c>
    </row>
    <row r="87" spans="1:3" x14ac:dyDescent="0.35">
      <c r="A87" s="97" t="s">
        <v>139</v>
      </c>
      <c r="B87" s="43">
        <f t="shared" si="7"/>
        <v>1.5033296378372908E-4</v>
      </c>
      <c r="C87" s="98" t="s">
        <v>90</v>
      </c>
    </row>
    <row r="88" spans="1:3" ht="15" thickBot="1" x14ac:dyDescent="0.4">
      <c r="A88" s="75" t="s">
        <v>140</v>
      </c>
      <c r="B88" s="76">
        <f t="shared" si="7"/>
        <v>1.5033296378372908E-4</v>
      </c>
      <c r="C88" s="77" t="s">
        <v>90</v>
      </c>
    </row>
  </sheetData>
  <mergeCells count="14">
    <mergeCell ref="A61:C61"/>
    <mergeCell ref="F33:H33"/>
    <mergeCell ref="F38:H38"/>
    <mergeCell ref="F12:I12"/>
    <mergeCell ref="F18:I18"/>
    <mergeCell ref="F19:I19"/>
    <mergeCell ref="F22:I22"/>
    <mergeCell ref="A48:C48"/>
    <mergeCell ref="F4:I4"/>
    <mergeCell ref="A1:D1"/>
    <mergeCell ref="F1:I1"/>
    <mergeCell ref="F5:I5"/>
    <mergeCell ref="A26:D26"/>
    <mergeCell ref="A4:D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" sqref="D2"/>
    </sheetView>
  </sheetViews>
  <sheetFormatPr defaultRowHeight="14.5" x14ac:dyDescent="0.35"/>
  <cols>
    <col min="1" max="1" width="29.08984375" customWidth="1"/>
    <col min="2" max="2" width="9.08984375" customWidth="1"/>
    <col min="3" max="3" width="11.90625" customWidth="1"/>
  </cols>
  <sheetData>
    <row r="1" spans="1:8" s="104" customFormat="1" ht="18" customHeight="1" x14ac:dyDescent="0.35">
      <c r="A1" s="108" t="s">
        <v>168</v>
      </c>
      <c r="B1" s="108" t="s">
        <v>167</v>
      </c>
      <c r="C1" s="108" t="s">
        <v>161</v>
      </c>
      <c r="D1" s="108" t="s">
        <v>162</v>
      </c>
      <c r="E1" s="108" t="s">
        <v>163</v>
      </c>
      <c r="F1" s="108" t="s">
        <v>164</v>
      </c>
      <c r="G1" s="108" t="s">
        <v>165</v>
      </c>
      <c r="H1" s="108" t="s">
        <v>166</v>
      </c>
    </row>
    <row r="2" spans="1:8" ht="18" customHeight="1" x14ac:dyDescent="0.35">
      <c r="A2" s="3" t="s">
        <v>160</v>
      </c>
      <c r="B2" s="100">
        <f>SQRT(Theta_z1_1khz^2*u_x_z_1^2+Theta_z2_1khz^2*u_x_z_2^2+Theta_z3_1khz^2*u_x_z_3^2+Theta_t1_1khz^2*u_x_t_1^2+Theta_t2_1khz^2*u_x_t_2^2+Theta_t3_1khz^2*u_x_t_3^2)</f>
        <v>0.32174551791996769</v>
      </c>
      <c r="C2" s="101">
        <f>SQRT(0^2*0^2+0^2*0^2+0^2*0^2+Theta_t1_1khz^2*u_x_t_1^2+0^2*0+0^2*0)</f>
        <v>1.2454613742975197E-2</v>
      </c>
      <c r="D2">
        <f>SQRT(0^2*0^2+0^2*0^2+0^2*0^2+0^2*0^2+Theta_t2_1khz^2*u_x_t_2^2+0^2*0^2)</f>
        <v>0.23017585785177636</v>
      </c>
      <c r="E2">
        <f>SQRT(0^2*0^2+0^2*0^2+0^2*0^2+0^2*0^2+0^2*0^2+Theta_t3_1khz^2*u_x_t_3^2)</f>
        <v>0.21870498399691277</v>
      </c>
      <c r="F2">
        <f>SQRT(Theta_z1_1khz^2*u_x_z_1^2+0^2*0^2+0^2*0^2+0^2*0^2+0^2*0^2+0^2*0^2)</f>
        <v>6.9024264731342841E-3</v>
      </c>
      <c r="G2">
        <f>SQRT(0^2*0^2+Theta_z2_1khz^2*u_x_z_2^2+0^2*0^2+0^2*0^2+0^2*0^2+0^2*0^2)</f>
        <v>3.8670526818641526E-2</v>
      </c>
      <c r="H2">
        <f>SQRT(0^2*0^2+0^2*0^2+Theta_z3_1khz^2*u_x_z_3^2+0^2*0^2+0^2*0^2+0^2*0^2)</f>
        <v>3.1768100345507241E-2</v>
      </c>
    </row>
    <row r="3" spans="1:8" ht="18" customHeight="1" x14ac:dyDescent="0.35"/>
    <row r="4" spans="1:8" ht="18" customHeight="1" x14ac:dyDescent="0.35"/>
    <row r="5" spans="1:8" ht="18" customHeight="1" x14ac:dyDescent="0.35"/>
    <row r="6" spans="1:8" ht="18" customHeight="1" x14ac:dyDescent="0.35"/>
    <row r="7" spans="1:8" ht="18" customHeight="1" x14ac:dyDescent="0.35"/>
    <row r="8" spans="1:8" ht="18" customHeight="1" x14ac:dyDescent="0.35"/>
    <row r="9" spans="1:8" ht="18" customHeight="1" x14ac:dyDescent="0.35"/>
    <row r="10" spans="1:8" ht="18" customHeight="1" x14ac:dyDescent="0.35"/>
    <row r="11" spans="1:8" ht="18" customHeight="1" x14ac:dyDescent="0.35"/>
    <row r="12" spans="1:8" ht="18" customHeight="1" x14ac:dyDescent="0.35"/>
    <row r="13" spans="1:8" ht="18" customHeight="1" x14ac:dyDescent="0.35"/>
    <row r="14" spans="1:8" ht="18" customHeight="1" x14ac:dyDescent="0.35"/>
    <row r="15" spans="1:8" ht="18" customHeight="1" x14ac:dyDescent="0.35"/>
    <row r="16" spans="1:8" ht="18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TP7</vt:lpstr>
      <vt:lpstr>Calculs d'erreurs</vt:lpstr>
      <vt:lpstr>5.b) Parametres Impact</vt:lpstr>
      <vt:lpstr>Comparaison</vt:lpstr>
      <vt:lpstr>t_11</vt:lpstr>
      <vt:lpstr>Theta_t1_1khz</vt:lpstr>
      <vt:lpstr>Theta_t2_1khz</vt:lpstr>
      <vt:lpstr>Theta_t3_1khz</vt:lpstr>
      <vt:lpstr>Theta_z1_1khz</vt:lpstr>
      <vt:lpstr>Theta_z2_1khz</vt:lpstr>
      <vt:lpstr>Theta_z3_1khz</vt:lpstr>
      <vt:lpstr>u_x_t_1</vt:lpstr>
      <vt:lpstr>u_x_t_2</vt:lpstr>
      <vt:lpstr>u_x_t_3</vt:lpstr>
      <vt:lpstr>u_x_z_1</vt:lpstr>
      <vt:lpstr>u_x_z_2</vt:lpstr>
      <vt:lpstr>u_x_z_3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2017-03-20T22:42:16Z</dcterms:modified>
</cp:coreProperties>
</file>