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lb" ContentType="model/gltf.binar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/>
  <xr:revisionPtr revIDLastSave="0" documentId="13_ncr:1_{1F5A61A8-1826-43C8-BC03-DD9FEC28339F}" xr6:coauthVersionLast="47" xr6:coauthVersionMax="47" xr10:uidLastSave="{00000000-0000-0000-0000-000000000000}"/>
  <bookViews>
    <workbookView xWindow="-19845" yWindow="4898" windowWidth="27810" windowHeight="11797" tabRatio="732" xr2:uid="{00000000-000D-0000-FFFF-FFFF00000000}"/>
  </bookViews>
  <sheets>
    <sheet name="寸法→圧入力" sheetId="37" r:id="rId1"/>
    <sheet name="グラフ" sheetId="38" r:id="rId2"/>
    <sheet name="Material Table" sheetId="26" r:id="rId3"/>
    <sheet name="standard tolerance table" sheetId="39" r:id="rId4"/>
    <sheet name="円周応力" sheetId="36" r:id="rId5"/>
  </sheets>
  <externalReferences>
    <externalReference r:id="rId6"/>
  </externalReferences>
  <definedNames>
    <definedName name="Linear_Expansion_Coefficient_List" localSheetId="3">[1]!Material_Table[Linear Expansion Coefficient'[10^-6/K']]</definedName>
    <definedName name="Linear_Expansion_Coefficient_List" localSheetId="1">Material_Table[Linear Expansion Coefficient'[10^-6/K']]</definedName>
    <definedName name="Linear_Expansion_Coefficient_List" localSheetId="0">Material_Table[Linear Expansion Coefficient'[10^-6/K']]</definedName>
    <definedName name="Linear_Expansion_Coefficient_List">Material_Table[Linear Expansion Coefficient'[10^-6/K']]</definedName>
    <definedName name="Material_List" localSheetId="3">[1]!Material_Table[Material Name]</definedName>
    <definedName name="Material_List" localSheetId="1">Material_Table[Material Name]</definedName>
    <definedName name="Material_List" localSheetId="0">Material_Table[Material Name]</definedName>
    <definedName name="Material_List">Material_Table[Material Name]</definedName>
    <definedName name="Mi">#REF!</definedName>
    <definedName name="Ms">#REF!</definedName>
    <definedName name="Pm">#REF!</definedName>
    <definedName name="Poissons_Ratio_List" localSheetId="3">[1]!Material_Table[Poisson''s Ratio'[-']]</definedName>
    <definedName name="Poissons_Ratio_List" localSheetId="1">Material_Table[Poisson''s Ratio'[-']]</definedName>
    <definedName name="Poissons_Ratio_List" localSheetId="0">Material_Table[Poisson''s Ratio'[-']]</definedName>
    <definedName name="Poissons_Ratio_List">Material_Table[Poisson''s Ratio'[-']]</definedName>
    <definedName name="Yield_Point_List">[1]!Material_Table[Yield Point'[MPa']]</definedName>
    <definedName name="Youngs_Modulus_List" localSheetId="3">[1]!Material_Table[Young''s Modulus'[MPa']]</definedName>
    <definedName name="Youngs_Modulus_List" localSheetId="1">Material_Table[Young''s Modulus'[MPa']]</definedName>
    <definedName name="Youngs_Modulus_List" localSheetId="0">Material_Table[Young''s Modulus'[MPa']]</definedName>
    <definedName name="Youngs_Modulus_List">Material_Table[Young''s Modulus'[MPa']]</definedName>
    <definedName name="ケース横寸法">INDEX(#REF!,MATCH(#REF!,#REF!,0))</definedName>
    <definedName name="ケース縦寸法">INDEX(#REF!,MATCH(#REF!,#REF!,0))</definedName>
    <definedName name="シャフト横寸法">INDEX(#REF!,MATCH(#REF!,#REF!,0))</definedName>
    <definedName name="シャフト縦寸法">INDEX(#REF!,MATCH(#REF!,#REF!,0))</definedName>
    <definedName name="画像">INDIRECT([1]寸法→圧入力!$D$3)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56" i="38" l="1"/>
  <c r="AV57" i="38" s="1"/>
  <c r="AV58" i="38" s="1"/>
  <c r="AV59" i="38" s="1"/>
  <c r="AV60" i="38" s="1"/>
  <c r="AV61" i="38" s="1"/>
  <c r="AV62" i="38" s="1"/>
  <c r="AV63" i="38" s="1"/>
  <c r="AV64" i="38" s="1"/>
  <c r="AV65" i="38" s="1"/>
  <c r="AV66" i="38" s="1"/>
  <c r="AV67" i="38" s="1"/>
  <c r="AV68" i="38" s="1"/>
  <c r="AV69" i="38" s="1"/>
  <c r="AV70" i="38" s="1"/>
  <c r="AV71" i="38" s="1"/>
  <c r="AV72" i="38" s="1"/>
  <c r="AV73" i="38" s="1"/>
  <c r="AV74" i="38" s="1"/>
  <c r="AV75" i="38" s="1"/>
  <c r="AZ54" i="38"/>
  <c r="BA54" i="38" s="1"/>
  <c r="BB54" i="38" s="1"/>
  <c r="BC54" i="38" s="1"/>
  <c r="BD54" i="38" s="1"/>
  <c r="BE54" i="38" s="1"/>
  <c r="BF54" i="38" s="1"/>
  <c r="BG54" i="38" s="1"/>
  <c r="BH54" i="38" s="1"/>
  <c r="BI54" i="38" s="1"/>
  <c r="BJ54" i="38" s="1"/>
  <c r="BK54" i="38" s="1"/>
  <c r="BL54" i="38" s="1"/>
  <c r="BM54" i="38" s="1"/>
  <c r="BN54" i="38" s="1"/>
  <c r="BO54" i="38" s="1"/>
  <c r="BP54" i="38" s="1"/>
  <c r="BQ54" i="38" s="1"/>
  <c r="AY54" i="38"/>
  <c r="AX54" i="38"/>
  <c r="AV31" i="38"/>
  <c r="AV32" i="38" s="1"/>
  <c r="AX29" i="38"/>
  <c r="AY29" i="38" s="1"/>
  <c r="AZ29" i="38" s="1"/>
  <c r="BA29" i="38" s="1"/>
  <c r="BB29" i="38" s="1"/>
  <c r="BC29" i="38" s="1"/>
  <c r="BD29" i="38" s="1"/>
  <c r="BE29" i="38" s="1"/>
  <c r="BF29" i="38" s="1"/>
  <c r="BG29" i="38" s="1"/>
  <c r="BH29" i="38" s="1"/>
  <c r="BI29" i="38" s="1"/>
  <c r="BJ29" i="38" s="1"/>
  <c r="BK29" i="38" s="1"/>
  <c r="BL29" i="38" s="1"/>
  <c r="BM29" i="38" s="1"/>
  <c r="BN29" i="38" s="1"/>
  <c r="BO29" i="38" s="1"/>
  <c r="BP29" i="38" s="1"/>
  <c r="BQ29" i="38" s="1"/>
  <c r="BP4" i="38"/>
  <c r="BQ4" i="38" s="1"/>
  <c r="AY4" i="38"/>
  <c r="AZ4" i="38" s="1"/>
  <c r="BA4" i="38" s="1"/>
  <c r="BB4" i="38" s="1"/>
  <c r="BC4" i="38" s="1"/>
  <c r="BD4" i="38" s="1"/>
  <c r="BE4" i="38" s="1"/>
  <c r="BF4" i="38" s="1"/>
  <c r="BG4" i="38" s="1"/>
  <c r="BH4" i="38" s="1"/>
  <c r="BI4" i="38" s="1"/>
  <c r="BJ4" i="38" s="1"/>
  <c r="BK4" i="38" s="1"/>
  <c r="BL4" i="38" s="1"/>
  <c r="BM4" i="38" s="1"/>
  <c r="BN4" i="38" s="1"/>
  <c r="BO4" i="38" s="1"/>
  <c r="AX4" i="38"/>
  <c r="AV6" i="38"/>
  <c r="AV7" i="38" s="1"/>
  <c r="AV8" i="38" s="1"/>
  <c r="AV9" i="38" s="1"/>
  <c r="AV10" i="38" s="1"/>
  <c r="AV11" i="38" s="1"/>
  <c r="AV12" i="38" s="1"/>
  <c r="AV13" i="38" s="1"/>
  <c r="AV14" i="38" s="1"/>
  <c r="AV15" i="38" s="1"/>
  <c r="AV16" i="38" s="1"/>
  <c r="AV17" i="38" s="1"/>
  <c r="AV18" i="38" s="1"/>
  <c r="AV19" i="38" s="1"/>
  <c r="AV20" i="38" s="1"/>
  <c r="AV21" i="38" s="1"/>
  <c r="AV22" i="38" s="1"/>
  <c r="AV23" i="38" s="1"/>
  <c r="AV24" i="38" s="1"/>
  <c r="AV25" i="38" s="1"/>
  <c r="F44" i="37"/>
  <c r="E44" i="37"/>
  <c r="D44" i="37"/>
  <c r="D25" i="37"/>
  <c r="D27" i="37" s="1"/>
  <c r="D10" i="37"/>
  <c r="D12" i="37" s="1"/>
  <c r="D13" i="37" s="1"/>
  <c r="F25" i="37"/>
  <c r="F27" i="37" s="1"/>
  <c r="F28" i="37" s="1"/>
  <c r="F10" i="37"/>
  <c r="F12" i="37" s="1"/>
  <c r="F13" i="37" s="1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AK37" i="39"/>
  <c r="AJ37" i="39"/>
  <c r="AI37" i="39"/>
  <c r="AH37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AK36" i="39"/>
  <c r="AJ36" i="39"/>
  <c r="AI36" i="39"/>
  <c r="AH36" i="39"/>
  <c r="AG36" i="39"/>
  <c r="AF36" i="39"/>
  <c r="AE36" i="39"/>
  <c r="AD36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AK35" i="39"/>
  <c r="AJ35" i="39"/>
  <c r="AI35" i="39"/>
  <c r="AH35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AK34" i="39"/>
  <c r="AJ34" i="39"/>
  <c r="AI34" i="39"/>
  <c r="AH34" i="39"/>
  <c r="AG34" i="39"/>
  <c r="AF34" i="39"/>
  <c r="AE34" i="39"/>
  <c r="AD34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AK33" i="39"/>
  <c r="AJ33" i="39"/>
  <c r="AI33" i="39"/>
  <c r="AH33" i="39"/>
  <c r="AG33" i="39"/>
  <c r="AF33" i="39"/>
  <c r="AE33" i="39"/>
  <c r="AD33" i="39"/>
  <c r="AC33" i="39"/>
  <c r="AB33" i="39"/>
  <c r="AA33" i="39"/>
  <c r="Z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AK32" i="39"/>
  <c r="AJ32" i="39"/>
  <c r="AI32" i="39"/>
  <c r="AH32" i="39"/>
  <c r="AG32" i="39"/>
  <c r="AF32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AK31" i="39"/>
  <c r="AJ31" i="39"/>
  <c r="AI31" i="39"/>
  <c r="AH31" i="39"/>
  <c r="AG31" i="39"/>
  <c r="AF31" i="39"/>
  <c r="AE31" i="39"/>
  <c r="AD31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AK30" i="39"/>
  <c r="AJ30" i="39"/>
  <c r="AI30" i="39"/>
  <c r="AH30" i="39"/>
  <c r="AG30" i="39"/>
  <c r="AF30" i="39"/>
  <c r="AE30" i="39"/>
  <c r="AD30" i="39"/>
  <c r="AC30" i="39"/>
  <c r="AB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AV33" i="38" l="1"/>
  <c r="F4" i="37"/>
  <c r="D4" i="37"/>
  <c r="E27" i="37"/>
  <c r="E28" i="37" s="1"/>
  <c r="D28" i="37"/>
  <c r="F63" i="37"/>
  <c r="D63" i="37"/>
  <c r="D29" i="37"/>
  <c r="F29" i="37"/>
  <c r="D39" i="37"/>
  <c r="D16" i="37"/>
  <c r="D31" i="37"/>
  <c r="D32" i="37"/>
  <c r="D17" i="37"/>
  <c r="D33" i="37"/>
  <c r="D18" i="37"/>
  <c r="D34" i="37"/>
  <c r="D19" i="37"/>
  <c r="D35" i="37"/>
  <c r="D20" i="37"/>
  <c r="G6" i="26"/>
  <c r="G3" i="26"/>
  <c r="D55" i="37"/>
  <c r="D56" i="37" s="1"/>
  <c r="D41" i="37"/>
  <c r="F41" i="37"/>
  <c r="N7" i="38"/>
  <c r="AV34" i="38" l="1"/>
  <c r="D64" i="37"/>
  <c r="F43" i="37"/>
  <c r="D65" i="37"/>
  <c r="D43" i="37"/>
  <c r="N8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C100" i="37"/>
  <c r="C86" i="37"/>
  <c r="F14" i="37"/>
  <c r="D14" i="37"/>
  <c r="E12" i="37"/>
  <c r="D57" i="37"/>
  <c r="D60" i="37" s="1"/>
  <c r="F55" i="37"/>
  <c r="E55" i="37"/>
  <c r="E56" i="37" s="1"/>
  <c r="E57" i="37" s="1"/>
  <c r="E60" i="37" s="1"/>
  <c r="E52" i="37"/>
  <c r="F51" i="37"/>
  <c r="D51" i="37"/>
  <c r="E50" i="37"/>
  <c r="E51" i="37" s="1"/>
  <c r="B21" i="36"/>
  <c r="D5" i="36"/>
  <c r="B5" i="36"/>
  <c r="AV35" i="38" l="1"/>
  <c r="F56" i="37"/>
  <c r="F57" i="37" s="1"/>
  <c r="F60" i="37" s="1"/>
  <c r="D66" i="37"/>
  <c r="E13" i="37"/>
  <c r="E72" i="37" s="1"/>
  <c r="E4" i="37"/>
  <c r="E43" i="37" s="1"/>
  <c r="Q7" i="38"/>
  <c r="X7" i="38" s="1"/>
  <c r="AE7" i="38" s="1"/>
  <c r="D100" i="37"/>
  <c r="D101" i="37" s="1"/>
  <c r="I20" i="38"/>
  <c r="AR11" i="38"/>
  <c r="AR22" i="38"/>
  <c r="AR38" i="38"/>
  <c r="AR54" i="38"/>
  <c r="AR6" i="38"/>
  <c r="AR23" i="38"/>
  <c r="AR39" i="38"/>
  <c r="AR55" i="38"/>
  <c r="AR7" i="38"/>
  <c r="AR24" i="38"/>
  <c r="AR40" i="38"/>
  <c r="AR56" i="38"/>
  <c r="AR8" i="38"/>
  <c r="AR25" i="38"/>
  <c r="AR41" i="38"/>
  <c r="AR9" i="38"/>
  <c r="AR26" i="38"/>
  <c r="AR42" i="38"/>
  <c r="AR10" i="38"/>
  <c r="AR27" i="38"/>
  <c r="AR43" i="38"/>
  <c r="AR12" i="38"/>
  <c r="AR28" i="38"/>
  <c r="AR44" i="38"/>
  <c r="AR13" i="38"/>
  <c r="AR29" i="38"/>
  <c r="AR45" i="38"/>
  <c r="AR14" i="38"/>
  <c r="AR30" i="38"/>
  <c r="AR46" i="38"/>
  <c r="AR15" i="38"/>
  <c r="AR31" i="38"/>
  <c r="AR47" i="38"/>
  <c r="AR16" i="38"/>
  <c r="AR32" i="38"/>
  <c r="AR48" i="38"/>
  <c r="AR17" i="38"/>
  <c r="AR33" i="38"/>
  <c r="AR49" i="38"/>
  <c r="AR18" i="38"/>
  <c r="AR34" i="38"/>
  <c r="AR50" i="38"/>
  <c r="AR19" i="38"/>
  <c r="AR20" i="38"/>
  <c r="AR21" i="38"/>
  <c r="AR35" i="38"/>
  <c r="AR51" i="38"/>
  <c r="AR52" i="38"/>
  <c r="AR53" i="38"/>
  <c r="AR36" i="38"/>
  <c r="AR37" i="38"/>
  <c r="H7" i="38"/>
  <c r="AJ20" i="38"/>
  <c r="AJ36" i="38"/>
  <c r="AJ52" i="38"/>
  <c r="AJ21" i="38"/>
  <c r="AJ37" i="38"/>
  <c r="AJ53" i="38"/>
  <c r="AJ22" i="38"/>
  <c r="AJ38" i="38"/>
  <c r="AJ54" i="38"/>
  <c r="AJ6" i="38"/>
  <c r="AJ23" i="38"/>
  <c r="AJ39" i="38"/>
  <c r="AJ55" i="38"/>
  <c r="AJ7" i="38"/>
  <c r="AJ24" i="38"/>
  <c r="AJ40" i="38"/>
  <c r="AJ56" i="38"/>
  <c r="AJ8" i="38"/>
  <c r="AJ25" i="38"/>
  <c r="AJ41" i="38"/>
  <c r="AJ9" i="38"/>
  <c r="AJ26" i="38"/>
  <c r="AJ42" i="38"/>
  <c r="AJ10" i="38"/>
  <c r="AJ27" i="38"/>
  <c r="AJ43" i="38"/>
  <c r="AJ12" i="38"/>
  <c r="AJ28" i="38"/>
  <c r="AJ44" i="38"/>
  <c r="AJ13" i="38"/>
  <c r="AJ29" i="38"/>
  <c r="AJ45" i="38"/>
  <c r="AJ14" i="38"/>
  <c r="AJ30" i="38"/>
  <c r="AJ46" i="38"/>
  <c r="AJ15" i="38"/>
  <c r="AJ31" i="38"/>
  <c r="AJ47" i="38"/>
  <c r="AJ16" i="38"/>
  <c r="AJ32" i="38"/>
  <c r="AJ48" i="38"/>
  <c r="AJ11" i="38"/>
  <c r="AJ50" i="38"/>
  <c r="AJ17" i="38"/>
  <c r="AJ18" i="38"/>
  <c r="AJ19" i="38"/>
  <c r="AJ33" i="38"/>
  <c r="AJ49" i="38"/>
  <c r="AJ51" i="38"/>
  <c r="AJ34" i="38"/>
  <c r="AJ35" i="38"/>
  <c r="N9" i="38"/>
  <c r="O8" i="38"/>
  <c r="V8" i="38" s="1"/>
  <c r="H51" i="38"/>
  <c r="H45" i="38"/>
  <c r="B37" i="38"/>
  <c r="I51" i="38"/>
  <c r="H38" i="38"/>
  <c r="D23" i="38"/>
  <c r="I50" i="38"/>
  <c r="H37" i="38"/>
  <c r="I48" i="38"/>
  <c r="H35" i="38"/>
  <c r="I42" i="38"/>
  <c r="H29" i="38"/>
  <c r="I35" i="38"/>
  <c r="H22" i="38"/>
  <c r="I34" i="38"/>
  <c r="H21" i="38"/>
  <c r="I32" i="38"/>
  <c r="H19" i="38"/>
  <c r="I26" i="38"/>
  <c r="H13" i="38"/>
  <c r="C17" i="38"/>
  <c r="C33" i="38"/>
  <c r="C49" i="38"/>
  <c r="I19" i="38"/>
  <c r="H6" i="38"/>
  <c r="I18" i="38"/>
  <c r="B56" i="38"/>
  <c r="I16" i="38"/>
  <c r="B24" i="38"/>
  <c r="I10" i="38"/>
  <c r="B6" i="38"/>
  <c r="H54" i="38"/>
  <c r="C43" i="38"/>
  <c r="H53" i="38"/>
  <c r="C42" i="38"/>
  <c r="C18" i="38"/>
  <c r="C50" i="38"/>
  <c r="J50" i="38" s="1"/>
  <c r="D55" i="38"/>
  <c r="B21" i="38"/>
  <c r="C34" i="38"/>
  <c r="C19" i="38"/>
  <c r="C35" i="38"/>
  <c r="J35" i="38" s="1"/>
  <c r="C51" i="38"/>
  <c r="J51" i="38" s="1"/>
  <c r="I49" i="38"/>
  <c r="I33" i="38"/>
  <c r="I17" i="38"/>
  <c r="H52" i="38"/>
  <c r="H36" i="38"/>
  <c r="H20" i="38"/>
  <c r="D53" i="38"/>
  <c r="B8" i="38"/>
  <c r="C52" i="38"/>
  <c r="J52" i="38" s="1"/>
  <c r="C22" i="38"/>
  <c r="C38" i="38"/>
  <c r="J38" i="38" s="1"/>
  <c r="C54" i="38"/>
  <c r="I46" i="38"/>
  <c r="I30" i="38"/>
  <c r="I14" i="38"/>
  <c r="H49" i="38"/>
  <c r="H33" i="38"/>
  <c r="H17" i="38"/>
  <c r="D39" i="38"/>
  <c r="D7" i="38"/>
  <c r="B23" i="38"/>
  <c r="C39" i="38"/>
  <c r="C55" i="38"/>
  <c r="I45" i="38"/>
  <c r="I29" i="38"/>
  <c r="I13" i="38"/>
  <c r="H48" i="38"/>
  <c r="H32" i="38"/>
  <c r="H16" i="38"/>
  <c r="D37" i="38"/>
  <c r="C27" i="38"/>
  <c r="J27" i="38" s="1"/>
  <c r="C20" i="38"/>
  <c r="C21" i="38"/>
  <c r="J21" i="38" s="1"/>
  <c r="C37" i="38"/>
  <c r="J37" i="38" s="1"/>
  <c r="C53" i="38"/>
  <c r="J53" i="38" s="1"/>
  <c r="I47" i="38"/>
  <c r="I31" i="38"/>
  <c r="I15" i="38"/>
  <c r="H50" i="38"/>
  <c r="H34" i="38"/>
  <c r="H18" i="38"/>
  <c r="D49" i="38"/>
  <c r="D8" i="38"/>
  <c r="D24" i="38"/>
  <c r="D40" i="38"/>
  <c r="D56" i="38"/>
  <c r="I44" i="38"/>
  <c r="I28" i="38"/>
  <c r="I12" i="38"/>
  <c r="H47" i="38"/>
  <c r="H31" i="38"/>
  <c r="H15" i="38"/>
  <c r="D36" i="38"/>
  <c r="C26" i="38"/>
  <c r="D52" i="38"/>
  <c r="B9" i="38"/>
  <c r="E9" i="38" s="1"/>
  <c r="B25" i="38"/>
  <c r="B41" i="38"/>
  <c r="I43" i="38"/>
  <c r="I27" i="38"/>
  <c r="I11" i="38"/>
  <c r="H46" i="38"/>
  <c r="H30" i="38"/>
  <c r="H14" i="38"/>
  <c r="D33" i="38"/>
  <c r="C11" i="38"/>
  <c r="C10" i="38"/>
  <c r="C6" i="38"/>
  <c r="C36" i="38"/>
  <c r="J36" i="38" s="1"/>
  <c r="B42" i="38"/>
  <c r="C12" i="38"/>
  <c r="J12" i="38" s="1"/>
  <c r="C28" i="38"/>
  <c r="C44" i="38"/>
  <c r="I56" i="38"/>
  <c r="I40" i="38"/>
  <c r="I24" i="38"/>
  <c r="I8" i="38"/>
  <c r="H43" i="38"/>
  <c r="H27" i="38"/>
  <c r="H11" i="38"/>
  <c r="D20" i="38"/>
  <c r="D6" i="38"/>
  <c r="B10" i="38"/>
  <c r="B11" i="38"/>
  <c r="B43" i="38"/>
  <c r="D21" i="38"/>
  <c r="C13" i="38"/>
  <c r="C45" i="38"/>
  <c r="I55" i="38"/>
  <c r="I39" i="38"/>
  <c r="I23" i="38"/>
  <c r="I7" i="38"/>
  <c r="H42" i="38"/>
  <c r="H10" i="38"/>
  <c r="C14" i="38"/>
  <c r="J14" i="38" s="1"/>
  <c r="C30" i="38"/>
  <c r="C46" i="38"/>
  <c r="J46" i="38" s="1"/>
  <c r="I54" i="38"/>
  <c r="I38" i="38"/>
  <c r="I22" i="38"/>
  <c r="I6" i="38"/>
  <c r="H41" i="38"/>
  <c r="H25" i="38"/>
  <c r="H9" i="38"/>
  <c r="B53" i="38"/>
  <c r="B40" i="38"/>
  <c r="B26" i="38"/>
  <c r="B27" i="38"/>
  <c r="I41" i="38"/>
  <c r="I25" i="38"/>
  <c r="I9" i="38"/>
  <c r="H44" i="38"/>
  <c r="H28" i="38"/>
  <c r="H12" i="38"/>
  <c r="C29" i="38"/>
  <c r="J29" i="38" s="1"/>
  <c r="H26" i="38"/>
  <c r="C15" i="38"/>
  <c r="J15" i="38" s="1"/>
  <c r="C31" i="38"/>
  <c r="J31" i="38" s="1"/>
  <c r="C47" i="38"/>
  <c r="J47" i="38" s="1"/>
  <c r="I53" i="38"/>
  <c r="I37" i="38"/>
  <c r="I21" i="38"/>
  <c r="H56" i="38"/>
  <c r="H40" i="38"/>
  <c r="H24" i="38"/>
  <c r="H8" i="38"/>
  <c r="C16" i="38"/>
  <c r="J16" i="38" s="1"/>
  <c r="C32" i="38"/>
  <c r="J32" i="38" s="1"/>
  <c r="C48" i="38"/>
  <c r="J48" i="38" s="1"/>
  <c r="I52" i="38"/>
  <c r="I36" i="38"/>
  <c r="H55" i="38"/>
  <c r="H39" i="38"/>
  <c r="H23" i="38"/>
  <c r="D54" i="38"/>
  <c r="D38" i="38"/>
  <c r="D22" i="38"/>
  <c r="B55" i="38"/>
  <c r="B39" i="38"/>
  <c r="B54" i="38"/>
  <c r="B38" i="38"/>
  <c r="B22" i="38"/>
  <c r="C41" i="38"/>
  <c r="C25" i="38"/>
  <c r="C9" i="38"/>
  <c r="C56" i="38"/>
  <c r="C40" i="38"/>
  <c r="C24" i="38"/>
  <c r="C8" i="38"/>
  <c r="D51" i="38"/>
  <c r="D35" i="38"/>
  <c r="D19" i="38"/>
  <c r="B52" i="38"/>
  <c r="B36" i="38"/>
  <c r="B20" i="38"/>
  <c r="C23" i="38"/>
  <c r="C7" i="38"/>
  <c r="D50" i="38"/>
  <c r="D34" i="38"/>
  <c r="D18" i="38"/>
  <c r="B51" i="38"/>
  <c r="B35" i="38"/>
  <c r="B19" i="38"/>
  <c r="D17" i="38"/>
  <c r="B50" i="38"/>
  <c r="B34" i="38"/>
  <c r="B18" i="38"/>
  <c r="D48" i="38"/>
  <c r="D32" i="38"/>
  <c r="D16" i="38"/>
  <c r="B49" i="38"/>
  <c r="B33" i="38"/>
  <c r="B17" i="38"/>
  <c r="D47" i="38"/>
  <c r="D31" i="38"/>
  <c r="D15" i="38"/>
  <c r="B48" i="38"/>
  <c r="B32" i="38"/>
  <c r="B16" i="38"/>
  <c r="D46" i="38"/>
  <c r="D30" i="38"/>
  <c r="D14" i="38"/>
  <c r="B47" i="38"/>
  <c r="B31" i="38"/>
  <c r="B15" i="38"/>
  <c r="D45" i="38"/>
  <c r="D29" i="38"/>
  <c r="D13" i="38"/>
  <c r="B46" i="38"/>
  <c r="B30" i="38"/>
  <c r="B14" i="38"/>
  <c r="B7" i="38"/>
  <c r="D44" i="38"/>
  <c r="D28" i="38"/>
  <c r="D12" i="38"/>
  <c r="B45" i="38"/>
  <c r="B29" i="38"/>
  <c r="B13" i="38"/>
  <c r="D43" i="38"/>
  <c r="D27" i="38"/>
  <c r="D11" i="38"/>
  <c r="B44" i="38"/>
  <c r="B28" i="38"/>
  <c r="B12" i="38"/>
  <c r="D42" i="38"/>
  <c r="D26" i="38"/>
  <c r="D10" i="38"/>
  <c r="D41" i="38"/>
  <c r="D25" i="38"/>
  <c r="D9" i="38"/>
  <c r="F86" i="37"/>
  <c r="F87" i="37" s="1"/>
  <c r="F100" i="37"/>
  <c r="F101" i="37" s="1"/>
  <c r="J26" i="38" l="1"/>
  <c r="AV36" i="38"/>
  <c r="AX5" i="38"/>
  <c r="AX30" i="38" s="1"/>
  <c r="AX55" i="38" s="1"/>
  <c r="BN5" i="38"/>
  <c r="BN30" i="38" s="1"/>
  <c r="BN55" i="38" s="1"/>
  <c r="BJ6" i="38"/>
  <c r="BJ31" i="38" s="1"/>
  <c r="BJ56" i="38" s="1"/>
  <c r="BF7" i="38"/>
  <c r="BF32" i="38" s="1"/>
  <c r="BF57" i="38" s="1"/>
  <c r="BB8" i="38"/>
  <c r="BB33" i="38" s="1"/>
  <c r="BB58" i="38" s="1"/>
  <c r="AX9" i="38"/>
  <c r="AX34" i="38" s="1"/>
  <c r="AX59" i="38" s="1"/>
  <c r="BN9" i="38"/>
  <c r="BN34" i="38" s="1"/>
  <c r="BN59" i="38" s="1"/>
  <c r="BJ10" i="38"/>
  <c r="BJ35" i="38" s="1"/>
  <c r="BJ60" i="38" s="1"/>
  <c r="BF11" i="38"/>
  <c r="BF36" i="38" s="1"/>
  <c r="BF61" i="38" s="1"/>
  <c r="BB12" i="38"/>
  <c r="BB37" i="38" s="1"/>
  <c r="BB62" i="38" s="1"/>
  <c r="AX13" i="38"/>
  <c r="AX38" i="38" s="1"/>
  <c r="AX63" i="38" s="1"/>
  <c r="BN13" i="38"/>
  <c r="BN38" i="38" s="1"/>
  <c r="BN63" i="38" s="1"/>
  <c r="BJ14" i="38"/>
  <c r="BJ39" i="38" s="1"/>
  <c r="BJ64" i="38" s="1"/>
  <c r="BF15" i="38"/>
  <c r="BF40" i="38" s="1"/>
  <c r="BF65" i="38" s="1"/>
  <c r="BB16" i="38"/>
  <c r="BB41" i="38" s="1"/>
  <c r="BB66" i="38" s="1"/>
  <c r="AX17" i="38"/>
  <c r="AX42" i="38" s="1"/>
  <c r="AX67" i="38" s="1"/>
  <c r="BN17" i="38"/>
  <c r="BN42" i="38" s="1"/>
  <c r="BN67" i="38" s="1"/>
  <c r="BJ18" i="38"/>
  <c r="BJ43" i="38" s="1"/>
  <c r="BJ68" i="38" s="1"/>
  <c r="BF19" i="38"/>
  <c r="BF44" i="38" s="1"/>
  <c r="BF69" i="38" s="1"/>
  <c r="BB20" i="38"/>
  <c r="BB45" i="38" s="1"/>
  <c r="BB70" i="38" s="1"/>
  <c r="AX21" i="38"/>
  <c r="AX46" i="38" s="1"/>
  <c r="AX71" i="38" s="1"/>
  <c r="BN21" i="38"/>
  <c r="BN46" i="38" s="1"/>
  <c r="BN71" i="38" s="1"/>
  <c r="BJ22" i="38"/>
  <c r="BJ47" i="38" s="1"/>
  <c r="BJ72" i="38" s="1"/>
  <c r="BF23" i="38"/>
  <c r="BF48" i="38" s="1"/>
  <c r="BF73" i="38" s="1"/>
  <c r="BB24" i="38"/>
  <c r="BB49" i="38" s="1"/>
  <c r="BB74" i="38" s="1"/>
  <c r="AX25" i="38"/>
  <c r="AX50" i="38" s="1"/>
  <c r="AX75" i="38" s="1"/>
  <c r="BN25" i="38"/>
  <c r="BN50" i="38" s="1"/>
  <c r="BN75" i="38" s="1"/>
  <c r="AW18" i="38"/>
  <c r="AW43" i="38" s="1"/>
  <c r="AW68" i="38" s="1"/>
  <c r="BO23" i="38"/>
  <c r="BO48" i="38" s="1"/>
  <c r="BO73" i="38" s="1"/>
  <c r="BI21" i="38"/>
  <c r="BI46" i="38" s="1"/>
  <c r="BI71" i="38" s="1"/>
  <c r="BN8" i="38"/>
  <c r="BN33" i="38" s="1"/>
  <c r="BN58" i="38" s="1"/>
  <c r="BJ17" i="38"/>
  <c r="BJ42" i="38" s="1"/>
  <c r="BJ67" i="38" s="1"/>
  <c r="BC15" i="38"/>
  <c r="BC40" i="38" s="1"/>
  <c r="BC65" i="38" s="1"/>
  <c r="BK21" i="38"/>
  <c r="BK46" i="38" s="1"/>
  <c r="BK71" i="38" s="1"/>
  <c r="AY5" i="38"/>
  <c r="AY30" i="38" s="1"/>
  <c r="AY55" i="38" s="1"/>
  <c r="BO5" i="38"/>
  <c r="BO30" i="38" s="1"/>
  <c r="BO55" i="38" s="1"/>
  <c r="BK6" i="38"/>
  <c r="BK31" i="38" s="1"/>
  <c r="BK56" i="38" s="1"/>
  <c r="BG7" i="38"/>
  <c r="BG32" i="38" s="1"/>
  <c r="BG57" i="38" s="1"/>
  <c r="BC8" i="38"/>
  <c r="BC33" i="38" s="1"/>
  <c r="BC58" i="38" s="1"/>
  <c r="AY9" i="38"/>
  <c r="AY34" i="38" s="1"/>
  <c r="AY59" i="38" s="1"/>
  <c r="BO9" i="38"/>
  <c r="BO34" i="38" s="1"/>
  <c r="BO59" i="38" s="1"/>
  <c r="BK10" i="38"/>
  <c r="BK35" i="38" s="1"/>
  <c r="BK60" i="38" s="1"/>
  <c r="BG11" i="38"/>
  <c r="BG36" i="38" s="1"/>
  <c r="BG61" i="38" s="1"/>
  <c r="BC12" i="38"/>
  <c r="BC37" i="38" s="1"/>
  <c r="BC62" i="38" s="1"/>
  <c r="AY13" i="38"/>
  <c r="AY38" i="38" s="1"/>
  <c r="AY63" i="38" s="1"/>
  <c r="BO13" i="38"/>
  <c r="BO38" i="38" s="1"/>
  <c r="BO63" i="38" s="1"/>
  <c r="BK14" i="38"/>
  <c r="BK39" i="38" s="1"/>
  <c r="BK64" i="38" s="1"/>
  <c r="BG15" i="38"/>
  <c r="BG40" i="38" s="1"/>
  <c r="BG65" i="38" s="1"/>
  <c r="BC16" i="38"/>
  <c r="BC41" i="38" s="1"/>
  <c r="BC66" i="38" s="1"/>
  <c r="AY17" i="38"/>
  <c r="AY42" i="38" s="1"/>
  <c r="AY67" i="38" s="1"/>
  <c r="BO17" i="38"/>
  <c r="BO42" i="38" s="1"/>
  <c r="BO67" i="38" s="1"/>
  <c r="BK18" i="38"/>
  <c r="BK43" i="38" s="1"/>
  <c r="BK68" i="38" s="1"/>
  <c r="BG19" i="38"/>
  <c r="BG44" i="38" s="1"/>
  <c r="BG69" i="38" s="1"/>
  <c r="BC20" i="38"/>
  <c r="BC45" i="38" s="1"/>
  <c r="BC70" i="38" s="1"/>
  <c r="AY21" i="38"/>
  <c r="AY46" i="38" s="1"/>
  <c r="AY71" i="38" s="1"/>
  <c r="BO21" i="38"/>
  <c r="BO46" i="38" s="1"/>
  <c r="BO71" i="38" s="1"/>
  <c r="BK22" i="38"/>
  <c r="BK47" i="38" s="1"/>
  <c r="BK72" i="38" s="1"/>
  <c r="BG23" i="38"/>
  <c r="BG48" i="38" s="1"/>
  <c r="BG73" i="38" s="1"/>
  <c r="BC24" i="38"/>
  <c r="BC49" i="38" s="1"/>
  <c r="BC74" i="38" s="1"/>
  <c r="AY25" i="38"/>
  <c r="AY50" i="38" s="1"/>
  <c r="AY75" i="38" s="1"/>
  <c r="BO25" i="38"/>
  <c r="BO50" i="38" s="1"/>
  <c r="BO75" i="38" s="1"/>
  <c r="AW19" i="38"/>
  <c r="AW44" i="38" s="1"/>
  <c r="AW69" i="38" s="1"/>
  <c r="BG21" i="38"/>
  <c r="BG46" i="38" s="1"/>
  <c r="BG71" i="38" s="1"/>
  <c r="BA19" i="38"/>
  <c r="BA44" i="38" s="1"/>
  <c r="BA69" i="38" s="1"/>
  <c r="BN12" i="38"/>
  <c r="BN37" i="38" s="1"/>
  <c r="BN62" i="38" s="1"/>
  <c r="AX24" i="38"/>
  <c r="AX49" i="38" s="1"/>
  <c r="AX74" i="38" s="1"/>
  <c r="BK13" i="38"/>
  <c r="BK38" i="38" s="1"/>
  <c r="BK63" i="38" s="1"/>
  <c r="AY20" i="38"/>
  <c r="AY45" i="38" s="1"/>
  <c r="AY70" i="38" s="1"/>
  <c r="AZ5" i="38"/>
  <c r="AZ30" i="38" s="1"/>
  <c r="AZ55" i="38" s="1"/>
  <c r="BP5" i="38"/>
  <c r="BP30" i="38" s="1"/>
  <c r="BP55" i="38" s="1"/>
  <c r="BL6" i="38"/>
  <c r="BL31" i="38" s="1"/>
  <c r="BL56" i="38" s="1"/>
  <c r="BH7" i="38"/>
  <c r="BH32" i="38" s="1"/>
  <c r="BH57" i="38" s="1"/>
  <c r="BD8" i="38"/>
  <c r="BD33" i="38" s="1"/>
  <c r="BD58" i="38" s="1"/>
  <c r="AZ9" i="38"/>
  <c r="AZ34" i="38" s="1"/>
  <c r="AZ59" i="38" s="1"/>
  <c r="BP9" i="38"/>
  <c r="BP34" i="38" s="1"/>
  <c r="BP59" i="38" s="1"/>
  <c r="BL10" i="38"/>
  <c r="BL35" i="38" s="1"/>
  <c r="BL60" i="38" s="1"/>
  <c r="BH11" i="38"/>
  <c r="BH36" i="38" s="1"/>
  <c r="BH61" i="38" s="1"/>
  <c r="BD12" i="38"/>
  <c r="BD37" i="38" s="1"/>
  <c r="BD62" i="38" s="1"/>
  <c r="AZ13" i="38"/>
  <c r="AZ38" i="38" s="1"/>
  <c r="AZ63" i="38" s="1"/>
  <c r="BP13" i="38"/>
  <c r="BP38" i="38" s="1"/>
  <c r="BP63" i="38" s="1"/>
  <c r="BL14" i="38"/>
  <c r="BL39" i="38" s="1"/>
  <c r="BL64" i="38" s="1"/>
  <c r="BH15" i="38"/>
  <c r="BH40" i="38" s="1"/>
  <c r="BH65" i="38" s="1"/>
  <c r="BD16" i="38"/>
  <c r="BD41" i="38" s="1"/>
  <c r="BD66" i="38" s="1"/>
  <c r="AZ17" i="38"/>
  <c r="AZ42" i="38" s="1"/>
  <c r="AZ67" i="38" s="1"/>
  <c r="BP17" i="38"/>
  <c r="BP42" i="38" s="1"/>
  <c r="BP67" i="38" s="1"/>
  <c r="BL18" i="38"/>
  <c r="BL43" i="38" s="1"/>
  <c r="BL68" i="38" s="1"/>
  <c r="BH19" i="38"/>
  <c r="BH44" i="38" s="1"/>
  <c r="BH69" i="38" s="1"/>
  <c r="BD20" i="38"/>
  <c r="BD45" i="38" s="1"/>
  <c r="BD70" i="38" s="1"/>
  <c r="AZ21" i="38"/>
  <c r="AZ46" i="38" s="1"/>
  <c r="AZ71" i="38" s="1"/>
  <c r="BP21" i="38"/>
  <c r="BP46" i="38" s="1"/>
  <c r="BP71" i="38" s="1"/>
  <c r="BL22" i="38"/>
  <c r="BL47" i="38" s="1"/>
  <c r="BL72" i="38" s="1"/>
  <c r="BH23" i="38"/>
  <c r="BH48" i="38" s="1"/>
  <c r="BH73" i="38" s="1"/>
  <c r="BD24" i="38"/>
  <c r="BD49" i="38" s="1"/>
  <c r="BD74" i="38" s="1"/>
  <c r="AZ25" i="38"/>
  <c r="AZ50" i="38" s="1"/>
  <c r="AZ75" i="38" s="1"/>
  <c r="BP25" i="38"/>
  <c r="BP50" i="38" s="1"/>
  <c r="BP75" i="38" s="1"/>
  <c r="AW20" i="38"/>
  <c r="AW45" i="38" s="1"/>
  <c r="AW70" i="38" s="1"/>
  <c r="BC22" i="38"/>
  <c r="BC47" i="38" s="1"/>
  <c r="BC72" i="38" s="1"/>
  <c r="BE22" i="38"/>
  <c r="BE47" i="38" s="1"/>
  <c r="BE72" i="38" s="1"/>
  <c r="BF10" i="38"/>
  <c r="BF35" i="38" s="1"/>
  <c r="BF60" i="38" s="1"/>
  <c r="BF22" i="38"/>
  <c r="BF47" i="38" s="1"/>
  <c r="BF72" i="38" s="1"/>
  <c r="BC7" i="38"/>
  <c r="BC32" i="38" s="1"/>
  <c r="BC57" i="38" s="1"/>
  <c r="BC19" i="38"/>
  <c r="BC44" i="38" s="1"/>
  <c r="BC69" i="38" s="1"/>
  <c r="BA5" i="38"/>
  <c r="BA30" i="38" s="1"/>
  <c r="BA55" i="38" s="1"/>
  <c r="BQ5" i="38"/>
  <c r="BQ30" i="38" s="1"/>
  <c r="BQ55" i="38" s="1"/>
  <c r="BM6" i="38"/>
  <c r="BM31" i="38" s="1"/>
  <c r="BM56" i="38" s="1"/>
  <c r="BI7" i="38"/>
  <c r="BI32" i="38" s="1"/>
  <c r="BI57" i="38" s="1"/>
  <c r="BE8" i="38"/>
  <c r="BE33" i="38" s="1"/>
  <c r="BE58" i="38" s="1"/>
  <c r="BA9" i="38"/>
  <c r="BA34" i="38" s="1"/>
  <c r="BA59" i="38" s="1"/>
  <c r="BQ9" i="38"/>
  <c r="BQ34" i="38" s="1"/>
  <c r="BQ59" i="38" s="1"/>
  <c r="BM10" i="38"/>
  <c r="BM35" i="38" s="1"/>
  <c r="BM60" i="38" s="1"/>
  <c r="BI11" i="38"/>
  <c r="BI36" i="38" s="1"/>
  <c r="BI61" i="38" s="1"/>
  <c r="BE12" i="38"/>
  <c r="BE37" i="38" s="1"/>
  <c r="BE62" i="38" s="1"/>
  <c r="BA13" i="38"/>
  <c r="BA38" i="38" s="1"/>
  <c r="BA63" i="38" s="1"/>
  <c r="BQ13" i="38"/>
  <c r="BQ38" i="38" s="1"/>
  <c r="BQ63" i="38" s="1"/>
  <c r="BM14" i="38"/>
  <c r="BM39" i="38" s="1"/>
  <c r="BM64" i="38" s="1"/>
  <c r="BI15" i="38"/>
  <c r="BI40" i="38" s="1"/>
  <c r="BI65" i="38" s="1"/>
  <c r="BE16" i="38"/>
  <c r="BE41" i="38" s="1"/>
  <c r="BE66" i="38" s="1"/>
  <c r="BA17" i="38"/>
  <c r="BA42" i="38" s="1"/>
  <c r="BA67" i="38" s="1"/>
  <c r="BQ17" i="38"/>
  <c r="BQ42" i="38" s="1"/>
  <c r="BQ67" i="38" s="1"/>
  <c r="BM18" i="38"/>
  <c r="BM43" i="38" s="1"/>
  <c r="BM68" i="38" s="1"/>
  <c r="BI19" i="38"/>
  <c r="BI44" i="38" s="1"/>
  <c r="BI69" i="38" s="1"/>
  <c r="BE20" i="38"/>
  <c r="BE45" i="38" s="1"/>
  <c r="BE70" i="38" s="1"/>
  <c r="BA21" i="38"/>
  <c r="BA46" i="38" s="1"/>
  <c r="BA71" i="38" s="1"/>
  <c r="BQ21" i="38"/>
  <c r="BQ46" i="38" s="1"/>
  <c r="BQ71" i="38" s="1"/>
  <c r="BM22" i="38"/>
  <c r="BM47" i="38" s="1"/>
  <c r="BM72" i="38" s="1"/>
  <c r="BI23" i="38"/>
  <c r="BI48" i="38" s="1"/>
  <c r="BI73" i="38" s="1"/>
  <c r="BE24" i="38"/>
  <c r="BE49" i="38" s="1"/>
  <c r="BE74" i="38" s="1"/>
  <c r="BA25" i="38"/>
  <c r="BA50" i="38" s="1"/>
  <c r="BA75" i="38" s="1"/>
  <c r="BQ25" i="38"/>
  <c r="BQ50" i="38" s="1"/>
  <c r="BQ75" i="38" s="1"/>
  <c r="AW21" i="38"/>
  <c r="AW46" i="38" s="1"/>
  <c r="AW71" i="38" s="1"/>
  <c r="BF6" i="38"/>
  <c r="BF31" i="38" s="1"/>
  <c r="BF56" i="38" s="1"/>
  <c r="AX20" i="38"/>
  <c r="AX45" i="38" s="1"/>
  <c r="AX70" i="38" s="1"/>
  <c r="BO8" i="38"/>
  <c r="BO33" i="38" s="1"/>
  <c r="BO58" i="38" s="1"/>
  <c r="AY24" i="38"/>
  <c r="AY49" i="38" s="1"/>
  <c r="AY74" i="38" s="1"/>
  <c r="BB5" i="38"/>
  <c r="BB30" i="38" s="1"/>
  <c r="BB55" i="38" s="1"/>
  <c r="AX6" i="38"/>
  <c r="AX31" i="38" s="1"/>
  <c r="AX56" i="38" s="1"/>
  <c r="BN6" i="38"/>
  <c r="BN31" i="38" s="1"/>
  <c r="BN56" i="38" s="1"/>
  <c r="BJ7" i="38"/>
  <c r="BJ32" i="38" s="1"/>
  <c r="BJ57" i="38" s="1"/>
  <c r="BF8" i="38"/>
  <c r="BF33" i="38" s="1"/>
  <c r="BF58" i="38" s="1"/>
  <c r="BB9" i="38"/>
  <c r="BB34" i="38" s="1"/>
  <c r="BB59" i="38" s="1"/>
  <c r="AX10" i="38"/>
  <c r="AX35" i="38" s="1"/>
  <c r="AX60" i="38" s="1"/>
  <c r="BN10" i="38"/>
  <c r="BN35" i="38" s="1"/>
  <c r="BN60" i="38" s="1"/>
  <c r="BJ11" i="38"/>
  <c r="BJ36" i="38" s="1"/>
  <c r="BJ61" i="38" s="1"/>
  <c r="BF12" i="38"/>
  <c r="BF37" i="38" s="1"/>
  <c r="BF62" i="38" s="1"/>
  <c r="BB13" i="38"/>
  <c r="BB38" i="38" s="1"/>
  <c r="BB63" i="38" s="1"/>
  <c r="AX14" i="38"/>
  <c r="AX39" i="38" s="1"/>
  <c r="AX64" i="38" s="1"/>
  <c r="BN14" i="38"/>
  <c r="BN39" i="38" s="1"/>
  <c r="BN64" i="38" s="1"/>
  <c r="BJ15" i="38"/>
  <c r="BJ40" i="38" s="1"/>
  <c r="BJ65" i="38" s="1"/>
  <c r="BF16" i="38"/>
  <c r="BF41" i="38" s="1"/>
  <c r="BF66" i="38" s="1"/>
  <c r="BB17" i="38"/>
  <c r="BB42" i="38" s="1"/>
  <c r="BB67" i="38" s="1"/>
  <c r="AX18" i="38"/>
  <c r="AX43" i="38" s="1"/>
  <c r="AX68" i="38" s="1"/>
  <c r="BN18" i="38"/>
  <c r="BN43" i="38" s="1"/>
  <c r="BN68" i="38" s="1"/>
  <c r="BJ19" i="38"/>
  <c r="BJ44" i="38" s="1"/>
  <c r="BJ69" i="38" s="1"/>
  <c r="BF20" i="38"/>
  <c r="BF45" i="38" s="1"/>
  <c r="BF70" i="38" s="1"/>
  <c r="BB21" i="38"/>
  <c r="BB46" i="38" s="1"/>
  <c r="BB71" i="38" s="1"/>
  <c r="AX22" i="38"/>
  <c r="AX47" i="38" s="1"/>
  <c r="AX72" i="38" s="1"/>
  <c r="BN22" i="38"/>
  <c r="BN47" i="38" s="1"/>
  <c r="BN72" i="38" s="1"/>
  <c r="BJ23" i="38"/>
  <c r="BJ48" i="38" s="1"/>
  <c r="BJ73" i="38" s="1"/>
  <c r="BF24" i="38"/>
  <c r="BF49" i="38" s="1"/>
  <c r="BF74" i="38" s="1"/>
  <c r="BB25" i="38"/>
  <c r="BB50" i="38" s="1"/>
  <c r="BB75" i="38" s="1"/>
  <c r="AW6" i="38"/>
  <c r="AW31" i="38" s="1"/>
  <c r="AW56" i="38" s="1"/>
  <c r="AW22" i="38"/>
  <c r="AW47" i="38" s="1"/>
  <c r="AW72" i="38" s="1"/>
  <c r="BK12" i="38"/>
  <c r="BK37" i="38" s="1"/>
  <c r="BK62" i="38" s="1"/>
  <c r="BI17" i="38"/>
  <c r="BI42" i="38" s="1"/>
  <c r="BI67" i="38" s="1"/>
  <c r="BJ13" i="38"/>
  <c r="BJ38" i="38" s="1"/>
  <c r="BJ63" i="38" s="1"/>
  <c r="BB23" i="38"/>
  <c r="BB48" i="38" s="1"/>
  <c r="BB73" i="38" s="1"/>
  <c r="AY12" i="38"/>
  <c r="AY37" i="38" s="1"/>
  <c r="AY62" i="38" s="1"/>
  <c r="BK25" i="38"/>
  <c r="BK50" i="38" s="1"/>
  <c r="BK75" i="38" s="1"/>
  <c r="AW17" i="38"/>
  <c r="AW42" i="38" s="1"/>
  <c r="AW67" i="38" s="1"/>
  <c r="BC5" i="38"/>
  <c r="BC30" i="38" s="1"/>
  <c r="BC55" i="38" s="1"/>
  <c r="AY6" i="38"/>
  <c r="AY31" i="38" s="1"/>
  <c r="AY56" i="38" s="1"/>
  <c r="BO6" i="38"/>
  <c r="BO31" i="38" s="1"/>
  <c r="BO56" i="38" s="1"/>
  <c r="BK7" i="38"/>
  <c r="BK32" i="38" s="1"/>
  <c r="BK57" i="38" s="1"/>
  <c r="BG8" i="38"/>
  <c r="BG33" i="38" s="1"/>
  <c r="BG58" i="38" s="1"/>
  <c r="BC9" i="38"/>
  <c r="BC34" i="38" s="1"/>
  <c r="BC59" i="38" s="1"/>
  <c r="AY10" i="38"/>
  <c r="AY35" i="38" s="1"/>
  <c r="AY60" i="38" s="1"/>
  <c r="BO10" i="38"/>
  <c r="BO35" i="38" s="1"/>
  <c r="BO60" i="38" s="1"/>
  <c r="BK11" i="38"/>
  <c r="BK36" i="38" s="1"/>
  <c r="BK61" i="38" s="1"/>
  <c r="BG12" i="38"/>
  <c r="BG37" i="38" s="1"/>
  <c r="BG62" i="38" s="1"/>
  <c r="BC13" i="38"/>
  <c r="BC38" i="38" s="1"/>
  <c r="BC63" i="38" s="1"/>
  <c r="AY14" i="38"/>
  <c r="AY39" i="38" s="1"/>
  <c r="AY64" i="38" s="1"/>
  <c r="BO14" i="38"/>
  <c r="BO39" i="38" s="1"/>
  <c r="BO64" i="38" s="1"/>
  <c r="BK15" i="38"/>
  <c r="BK40" i="38" s="1"/>
  <c r="BK65" i="38" s="1"/>
  <c r="BG16" i="38"/>
  <c r="BG41" i="38" s="1"/>
  <c r="BG66" i="38" s="1"/>
  <c r="BC17" i="38"/>
  <c r="BC42" i="38" s="1"/>
  <c r="BC67" i="38" s="1"/>
  <c r="AY18" i="38"/>
  <c r="AY43" i="38" s="1"/>
  <c r="AY68" i="38" s="1"/>
  <c r="BO18" i="38"/>
  <c r="BO43" i="38" s="1"/>
  <c r="BO68" i="38" s="1"/>
  <c r="BK19" i="38"/>
  <c r="BK44" i="38" s="1"/>
  <c r="BK69" i="38" s="1"/>
  <c r="BG20" i="38"/>
  <c r="BG45" i="38" s="1"/>
  <c r="BG70" i="38" s="1"/>
  <c r="BC21" i="38"/>
  <c r="BC46" i="38" s="1"/>
  <c r="BC71" i="38" s="1"/>
  <c r="AY22" i="38"/>
  <c r="AY47" i="38" s="1"/>
  <c r="AY72" i="38" s="1"/>
  <c r="BO22" i="38"/>
  <c r="BO47" i="38" s="1"/>
  <c r="BO72" i="38" s="1"/>
  <c r="BK23" i="38"/>
  <c r="BK48" i="38" s="1"/>
  <c r="BK73" i="38" s="1"/>
  <c r="BG24" i="38"/>
  <c r="BG49" i="38" s="1"/>
  <c r="BG74" i="38" s="1"/>
  <c r="BC25" i="38"/>
  <c r="BC50" i="38" s="1"/>
  <c r="BC75" i="38" s="1"/>
  <c r="AW7" i="38"/>
  <c r="AW32" i="38" s="1"/>
  <c r="AW57" i="38" s="1"/>
  <c r="AW23" i="38"/>
  <c r="AW48" i="38" s="1"/>
  <c r="AW73" i="38" s="1"/>
  <c r="BB15" i="38"/>
  <c r="BB40" i="38" s="1"/>
  <c r="BB65" i="38" s="1"/>
  <c r="BC11" i="38"/>
  <c r="BC36" i="38" s="1"/>
  <c r="BC61" i="38" s="1"/>
  <c r="BO20" i="38"/>
  <c r="BO45" i="38" s="1"/>
  <c r="BO70" i="38" s="1"/>
  <c r="BD5" i="38"/>
  <c r="BD30" i="38" s="1"/>
  <c r="BD55" i="38" s="1"/>
  <c r="AZ6" i="38"/>
  <c r="AZ31" i="38" s="1"/>
  <c r="AZ56" i="38" s="1"/>
  <c r="BP6" i="38"/>
  <c r="BP31" i="38" s="1"/>
  <c r="BP56" i="38" s="1"/>
  <c r="BL7" i="38"/>
  <c r="BL32" i="38" s="1"/>
  <c r="BL57" i="38" s="1"/>
  <c r="BH8" i="38"/>
  <c r="BH33" i="38" s="1"/>
  <c r="BH58" i="38" s="1"/>
  <c r="BD9" i="38"/>
  <c r="BD34" i="38" s="1"/>
  <c r="BD59" i="38" s="1"/>
  <c r="AZ10" i="38"/>
  <c r="AZ35" i="38" s="1"/>
  <c r="AZ60" i="38" s="1"/>
  <c r="BP10" i="38"/>
  <c r="BP35" i="38" s="1"/>
  <c r="BP60" i="38" s="1"/>
  <c r="BL11" i="38"/>
  <c r="BL36" i="38" s="1"/>
  <c r="BL61" i="38" s="1"/>
  <c r="BH12" i="38"/>
  <c r="BH37" i="38" s="1"/>
  <c r="BH62" i="38" s="1"/>
  <c r="BD13" i="38"/>
  <c r="BD38" i="38" s="1"/>
  <c r="BD63" i="38" s="1"/>
  <c r="AZ14" i="38"/>
  <c r="AZ39" i="38" s="1"/>
  <c r="AZ64" i="38" s="1"/>
  <c r="BP14" i="38"/>
  <c r="BP39" i="38" s="1"/>
  <c r="BP64" i="38" s="1"/>
  <c r="BL15" i="38"/>
  <c r="BL40" i="38" s="1"/>
  <c r="BL65" i="38" s="1"/>
  <c r="BH16" i="38"/>
  <c r="BH41" i="38" s="1"/>
  <c r="BH66" i="38" s="1"/>
  <c r="BD17" i="38"/>
  <c r="BD42" i="38" s="1"/>
  <c r="BD67" i="38" s="1"/>
  <c r="AZ18" i="38"/>
  <c r="AZ43" i="38" s="1"/>
  <c r="AZ68" i="38" s="1"/>
  <c r="BP18" i="38"/>
  <c r="BP43" i="38" s="1"/>
  <c r="BP68" i="38" s="1"/>
  <c r="BL19" i="38"/>
  <c r="BL44" i="38" s="1"/>
  <c r="BL69" i="38" s="1"/>
  <c r="BH20" i="38"/>
  <c r="BH45" i="38" s="1"/>
  <c r="BH70" i="38" s="1"/>
  <c r="BD21" i="38"/>
  <c r="BD46" i="38" s="1"/>
  <c r="BD71" i="38" s="1"/>
  <c r="AZ22" i="38"/>
  <c r="AZ47" i="38" s="1"/>
  <c r="AZ72" i="38" s="1"/>
  <c r="BP22" i="38"/>
  <c r="BP47" i="38" s="1"/>
  <c r="BP72" i="38" s="1"/>
  <c r="BL23" i="38"/>
  <c r="BL48" i="38" s="1"/>
  <c r="BL73" i="38" s="1"/>
  <c r="BH24" i="38"/>
  <c r="BH49" i="38" s="1"/>
  <c r="BH74" i="38" s="1"/>
  <c r="BD25" i="38"/>
  <c r="BD50" i="38" s="1"/>
  <c r="BD75" i="38" s="1"/>
  <c r="AW8" i="38"/>
  <c r="AW33" i="38" s="1"/>
  <c r="AW58" i="38" s="1"/>
  <c r="AW24" i="38"/>
  <c r="AW49" i="38" s="1"/>
  <c r="AW74" i="38" s="1"/>
  <c r="BO7" i="38"/>
  <c r="BO32" i="38" s="1"/>
  <c r="BO57" i="38" s="1"/>
  <c r="BK8" i="38"/>
  <c r="BK33" i="38" s="1"/>
  <c r="BK58" i="38" s="1"/>
  <c r="AY11" i="38"/>
  <c r="AY36" i="38" s="1"/>
  <c r="AY61" i="38" s="1"/>
  <c r="BG13" i="38"/>
  <c r="BG38" i="38" s="1"/>
  <c r="BG63" i="38" s="1"/>
  <c r="BO15" i="38"/>
  <c r="BO40" i="38" s="1"/>
  <c r="BO65" i="38" s="1"/>
  <c r="BK20" i="38"/>
  <c r="BK45" i="38" s="1"/>
  <c r="BK70" i="38" s="1"/>
  <c r="BG25" i="38"/>
  <c r="BG50" i="38" s="1"/>
  <c r="BG75" i="38" s="1"/>
  <c r="BQ15" i="38"/>
  <c r="BQ40" i="38" s="1"/>
  <c r="BQ65" i="38" s="1"/>
  <c r="BB7" i="38"/>
  <c r="BB32" i="38" s="1"/>
  <c r="BB57" i="38" s="1"/>
  <c r="BB19" i="38"/>
  <c r="BB44" i="38" s="1"/>
  <c r="BB69" i="38" s="1"/>
  <c r="BO12" i="38"/>
  <c r="BO37" i="38" s="1"/>
  <c r="BO62" i="38" s="1"/>
  <c r="BO16" i="38"/>
  <c r="BO41" i="38" s="1"/>
  <c r="BO66" i="38" s="1"/>
  <c r="BO24" i="38"/>
  <c r="BO49" i="38" s="1"/>
  <c r="BO74" i="38" s="1"/>
  <c r="BE5" i="38"/>
  <c r="BE30" i="38" s="1"/>
  <c r="BE55" i="38" s="1"/>
  <c r="BA6" i="38"/>
  <c r="BA31" i="38" s="1"/>
  <c r="BA56" i="38" s="1"/>
  <c r="BQ6" i="38"/>
  <c r="BQ31" i="38" s="1"/>
  <c r="BQ56" i="38" s="1"/>
  <c r="BM7" i="38"/>
  <c r="BM32" i="38" s="1"/>
  <c r="BM57" i="38" s="1"/>
  <c r="BI8" i="38"/>
  <c r="BI33" i="38" s="1"/>
  <c r="BI58" i="38" s="1"/>
  <c r="BE9" i="38"/>
  <c r="BE34" i="38" s="1"/>
  <c r="BE59" i="38" s="1"/>
  <c r="BA10" i="38"/>
  <c r="BA35" i="38" s="1"/>
  <c r="BA60" i="38" s="1"/>
  <c r="BQ10" i="38"/>
  <c r="BQ35" i="38" s="1"/>
  <c r="BQ60" i="38" s="1"/>
  <c r="BM11" i="38"/>
  <c r="BM36" i="38" s="1"/>
  <c r="BM61" i="38" s="1"/>
  <c r="BI12" i="38"/>
  <c r="BI37" i="38" s="1"/>
  <c r="BI62" i="38" s="1"/>
  <c r="BE13" i="38"/>
  <c r="BE38" i="38" s="1"/>
  <c r="BE63" i="38" s="1"/>
  <c r="BA14" i="38"/>
  <c r="BA39" i="38" s="1"/>
  <c r="BA64" i="38" s="1"/>
  <c r="BQ14" i="38"/>
  <c r="BQ39" i="38" s="1"/>
  <c r="BQ64" i="38" s="1"/>
  <c r="BM15" i="38"/>
  <c r="BM40" i="38" s="1"/>
  <c r="BM65" i="38" s="1"/>
  <c r="BI16" i="38"/>
  <c r="BI41" i="38" s="1"/>
  <c r="BI66" i="38" s="1"/>
  <c r="BE17" i="38"/>
  <c r="BE42" i="38" s="1"/>
  <c r="BE67" i="38" s="1"/>
  <c r="BA18" i="38"/>
  <c r="BA43" i="38" s="1"/>
  <c r="BA68" i="38" s="1"/>
  <c r="BQ18" i="38"/>
  <c r="BQ43" i="38" s="1"/>
  <c r="BQ68" i="38" s="1"/>
  <c r="BM19" i="38"/>
  <c r="BM44" i="38" s="1"/>
  <c r="BM69" i="38" s="1"/>
  <c r="BI20" i="38"/>
  <c r="BI45" i="38" s="1"/>
  <c r="BI70" i="38" s="1"/>
  <c r="BE21" i="38"/>
  <c r="BE46" i="38" s="1"/>
  <c r="BE71" i="38" s="1"/>
  <c r="BA22" i="38"/>
  <c r="BA47" i="38" s="1"/>
  <c r="BA72" i="38" s="1"/>
  <c r="BQ22" i="38"/>
  <c r="BQ47" i="38" s="1"/>
  <c r="BQ72" i="38" s="1"/>
  <c r="BM23" i="38"/>
  <c r="BM48" i="38" s="1"/>
  <c r="BM73" i="38" s="1"/>
  <c r="BI24" i="38"/>
  <c r="BI49" i="38" s="1"/>
  <c r="BI74" i="38" s="1"/>
  <c r="BE25" i="38"/>
  <c r="BE50" i="38" s="1"/>
  <c r="BE75" i="38" s="1"/>
  <c r="AW9" i="38"/>
  <c r="AW34" i="38" s="1"/>
  <c r="AW59" i="38" s="1"/>
  <c r="AW25" i="38"/>
  <c r="AW50" i="38" s="1"/>
  <c r="AW75" i="38" s="1"/>
  <c r="AY7" i="38"/>
  <c r="AY32" i="38" s="1"/>
  <c r="AY57" i="38" s="1"/>
  <c r="BC10" i="38"/>
  <c r="BC35" i="38" s="1"/>
  <c r="BC60" i="38" s="1"/>
  <c r="AY15" i="38"/>
  <c r="AY40" i="38" s="1"/>
  <c r="AY65" i="38" s="1"/>
  <c r="BC18" i="38"/>
  <c r="BC43" i="38" s="1"/>
  <c r="BC68" i="38" s="1"/>
  <c r="AY23" i="38"/>
  <c r="AY48" i="38" s="1"/>
  <c r="AY73" i="38" s="1"/>
  <c r="BM16" i="38"/>
  <c r="BM41" i="38" s="1"/>
  <c r="BM66" i="38" s="1"/>
  <c r="BB11" i="38"/>
  <c r="BB36" i="38" s="1"/>
  <c r="BB61" i="38" s="1"/>
  <c r="BN20" i="38"/>
  <c r="BN45" i="38" s="1"/>
  <c r="BN70" i="38" s="1"/>
  <c r="BG14" i="38"/>
  <c r="BG39" i="38" s="1"/>
  <c r="BG64" i="38" s="1"/>
  <c r="BC23" i="38"/>
  <c r="BC48" i="38" s="1"/>
  <c r="BC73" i="38" s="1"/>
  <c r="BF5" i="38"/>
  <c r="BF30" i="38" s="1"/>
  <c r="BF55" i="38" s="1"/>
  <c r="BB6" i="38"/>
  <c r="BB31" i="38" s="1"/>
  <c r="BB56" i="38" s="1"/>
  <c r="AX7" i="38"/>
  <c r="AX32" i="38" s="1"/>
  <c r="AX57" i="38" s="1"/>
  <c r="BN7" i="38"/>
  <c r="BN32" i="38" s="1"/>
  <c r="BN57" i="38" s="1"/>
  <c r="BJ8" i="38"/>
  <c r="BJ33" i="38" s="1"/>
  <c r="BJ58" i="38" s="1"/>
  <c r="BF9" i="38"/>
  <c r="BF34" i="38" s="1"/>
  <c r="BF59" i="38" s="1"/>
  <c r="BB10" i="38"/>
  <c r="BB35" i="38" s="1"/>
  <c r="BB60" i="38" s="1"/>
  <c r="AX11" i="38"/>
  <c r="AX36" i="38" s="1"/>
  <c r="AX61" i="38" s="1"/>
  <c r="BN11" i="38"/>
  <c r="BN36" i="38" s="1"/>
  <c r="BN61" i="38" s="1"/>
  <c r="BJ12" i="38"/>
  <c r="BJ37" i="38" s="1"/>
  <c r="BJ62" i="38" s="1"/>
  <c r="BF13" i="38"/>
  <c r="BF38" i="38" s="1"/>
  <c r="BF63" i="38" s="1"/>
  <c r="BB14" i="38"/>
  <c r="BB39" i="38" s="1"/>
  <c r="BB64" i="38" s="1"/>
  <c r="AX15" i="38"/>
  <c r="AX40" i="38" s="1"/>
  <c r="AX65" i="38" s="1"/>
  <c r="BN15" i="38"/>
  <c r="BN40" i="38" s="1"/>
  <c r="BN65" i="38" s="1"/>
  <c r="BJ16" i="38"/>
  <c r="BJ41" i="38" s="1"/>
  <c r="BJ66" i="38" s="1"/>
  <c r="BF17" i="38"/>
  <c r="BF42" i="38" s="1"/>
  <c r="BF67" i="38" s="1"/>
  <c r="BB18" i="38"/>
  <c r="BB43" i="38" s="1"/>
  <c r="BB68" i="38" s="1"/>
  <c r="AX19" i="38"/>
  <c r="AX44" i="38" s="1"/>
  <c r="AX69" i="38" s="1"/>
  <c r="BN19" i="38"/>
  <c r="BN44" i="38" s="1"/>
  <c r="BN69" i="38" s="1"/>
  <c r="BJ20" i="38"/>
  <c r="BJ45" i="38" s="1"/>
  <c r="BJ70" i="38" s="1"/>
  <c r="BF21" i="38"/>
  <c r="BF46" i="38" s="1"/>
  <c r="BF71" i="38" s="1"/>
  <c r="BB22" i="38"/>
  <c r="BB47" i="38" s="1"/>
  <c r="BB72" i="38" s="1"/>
  <c r="AX23" i="38"/>
  <c r="AX48" i="38" s="1"/>
  <c r="AX73" i="38" s="1"/>
  <c r="BN23" i="38"/>
  <c r="BN48" i="38" s="1"/>
  <c r="BN73" i="38" s="1"/>
  <c r="BJ24" i="38"/>
  <c r="BJ49" i="38" s="1"/>
  <c r="BJ74" i="38" s="1"/>
  <c r="BF25" i="38"/>
  <c r="BF50" i="38" s="1"/>
  <c r="BF75" i="38" s="1"/>
  <c r="AW10" i="38"/>
  <c r="AW35" i="38" s="1"/>
  <c r="AW60" i="38" s="1"/>
  <c r="AW5" i="38"/>
  <c r="AW30" i="38" s="1"/>
  <c r="AW55" i="38" s="1"/>
  <c r="BC6" i="38"/>
  <c r="BC31" i="38" s="1"/>
  <c r="BC56" i="38" s="1"/>
  <c r="BG9" i="38"/>
  <c r="BG34" i="38" s="1"/>
  <c r="BG59" i="38" s="1"/>
  <c r="BC14" i="38"/>
  <c r="BC39" i="38" s="1"/>
  <c r="BC64" i="38" s="1"/>
  <c r="BG17" i="38"/>
  <c r="BG42" i="38" s="1"/>
  <c r="BG67" i="38" s="1"/>
  <c r="AY19" i="38"/>
  <c r="AY44" i="38" s="1"/>
  <c r="AY69" i="38" s="1"/>
  <c r="BK24" i="38"/>
  <c r="BK49" i="38" s="1"/>
  <c r="BK74" i="38" s="1"/>
  <c r="BQ19" i="38"/>
  <c r="BQ44" i="38" s="1"/>
  <c r="BQ69" i="38" s="1"/>
  <c r="AX12" i="38"/>
  <c r="AX37" i="38" s="1"/>
  <c r="AX62" i="38" s="1"/>
  <c r="BN24" i="38"/>
  <c r="BN49" i="38" s="1"/>
  <c r="BN74" i="38" s="1"/>
  <c r="BK9" i="38"/>
  <c r="BK34" i="38" s="1"/>
  <c r="BK59" i="38" s="1"/>
  <c r="BG22" i="38"/>
  <c r="BG47" i="38" s="1"/>
  <c r="BG72" i="38" s="1"/>
  <c r="BG5" i="38"/>
  <c r="BG30" i="38" s="1"/>
  <c r="BG55" i="38" s="1"/>
  <c r="BO11" i="38"/>
  <c r="BO36" i="38" s="1"/>
  <c r="BO61" i="38" s="1"/>
  <c r="BK16" i="38"/>
  <c r="BK41" i="38" s="1"/>
  <c r="BK66" i="38" s="1"/>
  <c r="BO19" i="38"/>
  <c r="BO44" i="38" s="1"/>
  <c r="BO69" i="38" s="1"/>
  <c r="AW11" i="38"/>
  <c r="AW36" i="38" s="1"/>
  <c r="AW61" i="38" s="1"/>
  <c r="BM20" i="38"/>
  <c r="BM45" i="38" s="1"/>
  <c r="BM70" i="38" s="1"/>
  <c r="AX8" i="38"/>
  <c r="AX33" i="38" s="1"/>
  <c r="AX58" i="38" s="1"/>
  <c r="BF18" i="38"/>
  <c r="BF43" i="38" s="1"/>
  <c r="BF68" i="38" s="1"/>
  <c r="BG10" i="38"/>
  <c r="BG35" i="38" s="1"/>
  <c r="BG60" i="38" s="1"/>
  <c r="AY16" i="38"/>
  <c r="AY41" i="38" s="1"/>
  <c r="AY66" i="38" s="1"/>
  <c r="AW15" i="38"/>
  <c r="AW40" i="38" s="1"/>
  <c r="AW65" i="38" s="1"/>
  <c r="BM25" i="38"/>
  <c r="BM50" i="38" s="1"/>
  <c r="BM75" i="38" s="1"/>
  <c r="BH5" i="38"/>
  <c r="BH30" i="38" s="1"/>
  <c r="BH55" i="38" s="1"/>
  <c r="BD6" i="38"/>
  <c r="BD31" i="38" s="1"/>
  <c r="BD56" i="38" s="1"/>
  <c r="AZ7" i="38"/>
  <c r="AZ32" i="38" s="1"/>
  <c r="AZ57" i="38" s="1"/>
  <c r="BP7" i="38"/>
  <c r="BP32" i="38" s="1"/>
  <c r="BP57" i="38" s="1"/>
  <c r="BL8" i="38"/>
  <c r="BL33" i="38" s="1"/>
  <c r="BL58" i="38" s="1"/>
  <c r="BH9" i="38"/>
  <c r="BH34" i="38" s="1"/>
  <c r="BH59" i="38" s="1"/>
  <c r="BD10" i="38"/>
  <c r="BD35" i="38" s="1"/>
  <c r="BD60" i="38" s="1"/>
  <c r="AZ11" i="38"/>
  <c r="AZ36" i="38" s="1"/>
  <c r="AZ61" i="38" s="1"/>
  <c r="BP11" i="38"/>
  <c r="BP36" i="38" s="1"/>
  <c r="BP61" i="38" s="1"/>
  <c r="BL12" i="38"/>
  <c r="BL37" i="38" s="1"/>
  <c r="BL62" i="38" s="1"/>
  <c r="BH13" i="38"/>
  <c r="BH38" i="38" s="1"/>
  <c r="BH63" i="38" s="1"/>
  <c r="BD14" i="38"/>
  <c r="BD39" i="38" s="1"/>
  <c r="BD64" i="38" s="1"/>
  <c r="AZ15" i="38"/>
  <c r="AZ40" i="38" s="1"/>
  <c r="AZ65" i="38" s="1"/>
  <c r="BP15" i="38"/>
  <c r="BP40" i="38" s="1"/>
  <c r="BP65" i="38" s="1"/>
  <c r="BL16" i="38"/>
  <c r="BL41" i="38" s="1"/>
  <c r="BL66" i="38" s="1"/>
  <c r="BH17" i="38"/>
  <c r="BH42" i="38" s="1"/>
  <c r="BH67" i="38" s="1"/>
  <c r="BD18" i="38"/>
  <c r="BD43" i="38" s="1"/>
  <c r="BD68" i="38" s="1"/>
  <c r="AZ19" i="38"/>
  <c r="AZ44" i="38" s="1"/>
  <c r="AZ69" i="38" s="1"/>
  <c r="BP19" i="38"/>
  <c r="BP44" i="38" s="1"/>
  <c r="BP69" i="38" s="1"/>
  <c r="BL20" i="38"/>
  <c r="BL45" i="38" s="1"/>
  <c r="BL70" i="38" s="1"/>
  <c r="BH21" i="38"/>
  <c r="BH46" i="38" s="1"/>
  <c r="BH71" i="38" s="1"/>
  <c r="BD22" i="38"/>
  <c r="BD47" i="38" s="1"/>
  <c r="BD72" i="38" s="1"/>
  <c r="AZ23" i="38"/>
  <c r="AZ48" i="38" s="1"/>
  <c r="AZ73" i="38" s="1"/>
  <c r="BP23" i="38"/>
  <c r="BP48" i="38" s="1"/>
  <c r="BP73" i="38" s="1"/>
  <c r="BL24" i="38"/>
  <c r="BL49" i="38" s="1"/>
  <c r="BL74" i="38" s="1"/>
  <c r="BH25" i="38"/>
  <c r="BH50" i="38" s="1"/>
  <c r="BH75" i="38" s="1"/>
  <c r="AW12" i="38"/>
  <c r="AW37" i="38" s="1"/>
  <c r="AW62" i="38" s="1"/>
  <c r="BE6" i="38"/>
  <c r="BE31" i="38" s="1"/>
  <c r="BE56" i="38" s="1"/>
  <c r="BA7" i="38"/>
  <c r="BA32" i="38" s="1"/>
  <c r="BA57" i="38" s="1"/>
  <c r="BQ7" i="38"/>
  <c r="BQ32" i="38" s="1"/>
  <c r="BQ57" i="38" s="1"/>
  <c r="BM8" i="38"/>
  <c r="BM33" i="38" s="1"/>
  <c r="BM58" i="38" s="1"/>
  <c r="BI9" i="38"/>
  <c r="BI34" i="38" s="1"/>
  <c r="BI59" i="38" s="1"/>
  <c r="BE10" i="38"/>
  <c r="BE35" i="38" s="1"/>
  <c r="BE60" i="38" s="1"/>
  <c r="BA11" i="38"/>
  <c r="BA36" i="38" s="1"/>
  <c r="BA61" i="38" s="1"/>
  <c r="BQ11" i="38"/>
  <c r="BQ36" i="38" s="1"/>
  <c r="BQ61" i="38" s="1"/>
  <c r="BM12" i="38"/>
  <c r="BM37" i="38" s="1"/>
  <c r="BM62" i="38" s="1"/>
  <c r="BI13" i="38"/>
  <c r="BI38" i="38" s="1"/>
  <c r="BI63" i="38" s="1"/>
  <c r="BE14" i="38"/>
  <c r="BE39" i="38" s="1"/>
  <c r="BE64" i="38" s="1"/>
  <c r="BA15" i="38"/>
  <c r="BA40" i="38" s="1"/>
  <c r="BA65" i="38" s="1"/>
  <c r="BE18" i="38"/>
  <c r="BE43" i="38" s="1"/>
  <c r="BE68" i="38" s="1"/>
  <c r="BA23" i="38"/>
  <c r="BA48" i="38" s="1"/>
  <c r="BA73" i="38" s="1"/>
  <c r="BQ23" i="38"/>
  <c r="BQ48" i="38" s="1"/>
  <c r="BQ73" i="38" s="1"/>
  <c r="BM24" i="38"/>
  <c r="BM49" i="38" s="1"/>
  <c r="BM74" i="38" s="1"/>
  <c r="BI25" i="38"/>
  <c r="BI50" i="38" s="1"/>
  <c r="BI75" i="38" s="1"/>
  <c r="AW13" i="38"/>
  <c r="AW38" i="38" s="1"/>
  <c r="AW63" i="38" s="1"/>
  <c r="BJ9" i="38"/>
  <c r="BJ34" i="38" s="1"/>
  <c r="BJ59" i="38" s="1"/>
  <c r="BN16" i="38"/>
  <c r="BN41" i="38" s="1"/>
  <c r="BN66" i="38" s="1"/>
  <c r="BJ25" i="38"/>
  <c r="BJ50" i="38" s="1"/>
  <c r="BJ75" i="38" s="1"/>
  <c r="AY8" i="38"/>
  <c r="AY33" i="38" s="1"/>
  <c r="AY58" i="38" s="1"/>
  <c r="BK17" i="38"/>
  <c r="BK42" i="38" s="1"/>
  <c r="BK67" i="38" s="1"/>
  <c r="BI5" i="38"/>
  <c r="BI30" i="38" s="1"/>
  <c r="BI55" i="38" s="1"/>
  <c r="BJ5" i="38"/>
  <c r="BJ30" i="38" s="1"/>
  <c r="BJ55" i="38" s="1"/>
  <c r="BF14" i="38"/>
  <c r="BF39" i="38" s="1"/>
  <c r="BF64" i="38" s="1"/>
  <c r="AX16" i="38"/>
  <c r="AX41" i="38" s="1"/>
  <c r="AX66" i="38" s="1"/>
  <c r="BJ21" i="38"/>
  <c r="BJ46" i="38" s="1"/>
  <c r="BJ71" i="38" s="1"/>
  <c r="AW14" i="38"/>
  <c r="AW39" i="38" s="1"/>
  <c r="AW64" i="38" s="1"/>
  <c r="BG6" i="38"/>
  <c r="BG31" i="38" s="1"/>
  <c r="BG56" i="38" s="1"/>
  <c r="BG18" i="38"/>
  <c r="BG43" i="38" s="1"/>
  <c r="BG68" i="38" s="1"/>
  <c r="BK5" i="38"/>
  <c r="BK30" i="38" s="1"/>
  <c r="BK55" i="38" s="1"/>
  <c r="BL5" i="38"/>
  <c r="BL30" i="38" s="1"/>
  <c r="BL55" i="38" s="1"/>
  <c r="BH6" i="38"/>
  <c r="BH31" i="38" s="1"/>
  <c r="BH56" i="38" s="1"/>
  <c r="BD7" i="38"/>
  <c r="BD32" i="38" s="1"/>
  <c r="BD57" i="38" s="1"/>
  <c r="AZ8" i="38"/>
  <c r="AZ33" i="38" s="1"/>
  <c r="AZ58" i="38" s="1"/>
  <c r="BP8" i="38"/>
  <c r="BP33" i="38" s="1"/>
  <c r="BP58" i="38" s="1"/>
  <c r="BL9" i="38"/>
  <c r="BL34" i="38" s="1"/>
  <c r="BL59" i="38" s="1"/>
  <c r="BH10" i="38"/>
  <c r="BH35" i="38" s="1"/>
  <c r="BH60" i="38" s="1"/>
  <c r="BD11" i="38"/>
  <c r="BD36" i="38" s="1"/>
  <c r="BD61" i="38" s="1"/>
  <c r="AZ12" i="38"/>
  <c r="AZ37" i="38" s="1"/>
  <c r="AZ62" i="38" s="1"/>
  <c r="BP12" i="38"/>
  <c r="BP37" i="38" s="1"/>
  <c r="BP62" i="38" s="1"/>
  <c r="BL13" i="38"/>
  <c r="BL38" i="38" s="1"/>
  <c r="BL63" i="38" s="1"/>
  <c r="BH14" i="38"/>
  <c r="BH39" i="38" s="1"/>
  <c r="BH64" i="38" s="1"/>
  <c r="BD15" i="38"/>
  <c r="BD40" i="38" s="1"/>
  <c r="BD65" i="38" s="1"/>
  <c r="AZ16" i="38"/>
  <c r="AZ41" i="38" s="1"/>
  <c r="AZ66" i="38" s="1"/>
  <c r="BP16" i="38"/>
  <c r="BP41" i="38" s="1"/>
  <c r="BP66" i="38" s="1"/>
  <c r="BL17" i="38"/>
  <c r="BL42" i="38" s="1"/>
  <c r="BL67" i="38" s="1"/>
  <c r="BH18" i="38"/>
  <c r="BH43" i="38" s="1"/>
  <c r="BH68" i="38" s="1"/>
  <c r="BD19" i="38"/>
  <c r="BD44" i="38" s="1"/>
  <c r="BD69" i="38" s="1"/>
  <c r="AZ20" i="38"/>
  <c r="AZ45" i="38" s="1"/>
  <c r="AZ70" i="38" s="1"/>
  <c r="BP20" i="38"/>
  <c r="BP45" i="38" s="1"/>
  <c r="BP70" i="38" s="1"/>
  <c r="BL21" i="38"/>
  <c r="BL46" i="38" s="1"/>
  <c r="BL71" i="38" s="1"/>
  <c r="BH22" i="38"/>
  <c r="BH47" i="38" s="1"/>
  <c r="BH72" i="38" s="1"/>
  <c r="BD23" i="38"/>
  <c r="BD48" i="38" s="1"/>
  <c r="BD73" i="38" s="1"/>
  <c r="AZ24" i="38"/>
  <c r="AZ49" i="38" s="1"/>
  <c r="AZ74" i="38" s="1"/>
  <c r="BP24" i="38"/>
  <c r="BP49" i="38" s="1"/>
  <c r="BP74" i="38" s="1"/>
  <c r="BL25" i="38"/>
  <c r="BL50" i="38" s="1"/>
  <c r="BL75" i="38" s="1"/>
  <c r="AW16" i="38"/>
  <c r="AW41" i="38" s="1"/>
  <c r="AW66" i="38" s="1"/>
  <c r="BM21" i="38"/>
  <c r="BM46" i="38" s="1"/>
  <c r="BM71" i="38" s="1"/>
  <c r="BI22" i="38"/>
  <c r="BI47" i="38" s="1"/>
  <c r="BI72" i="38" s="1"/>
  <c r="BE23" i="38"/>
  <c r="BE48" i="38" s="1"/>
  <c r="BE73" i="38" s="1"/>
  <c r="BA24" i="38"/>
  <c r="BA49" i="38" s="1"/>
  <c r="BA74" i="38" s="1"/>
  <c r="BQ24" i="38"/>
  <c r="BQ49" i="38" s="1"/>
  <c r="BQ74" i="38" s="1"/>
  <c r="BM5" i="38"/>
  <c r="BM30" i="38" s="1"/>
  <c r="BM55" i="38" s="1"/>
  <c r="BI6" i="38"/>
  <c r="BI31" i="38" s="1"/>
  <c r="BI56" i="38" s="1"/>
  <c r="BE7" i="38"/>
  <c r="BE32" i="38" s="1"/>
  <c r="BE57" i="38" s="1"/>
  <c r="BA8" i="38"/>
  <c r="BA33" i="38" s="1"/>
  <c r="BA58" i="38" s="1"/>
  <c r="BQ8" i="38"/>
  <c r="BQ33" i="38" s="1"/>
  <c r="BQ58" i="38" s="1"/>
  <c r="BM9" i="38"/>
  <c r="BM34" i="38" s="1"/>
  <c r="BM59" i="38" s="1"/>
  <c r="BI10" i="38"/>
  <c r="BI35" i="38" s="1"/>
  <c r="BI60" i="38" s="1"/>
  <c r="BE11" i="38"/>
  <c r="BE36" i="38" s="1"/>
  <c r="BE61" i="38" s="1"/>
  <c r="BA12" i="38"/>
  <c r="BA37" i="38" s="1"/>
  <c r="BA62" i="38" s="1"/>
  <c r="BQ12" i="38"/>
  <c r="BQ37" i="38" s="1"/>
  <c r="BQ62" i="38" s="1"/>
  <c r="BM13" i="38"/>
  <c r="BM38" i="38" s="1"/>
  <c r="BM63" i="38" s="1"/>
  <c r="BI14" i="38"/>
  <c r="BI39" i="38" s="1"/>
  <c r="BI64" i="38" s="1"/>
  <c r="BE15" i="38"/>
  <c r="BE40" i="38" s="1"/>
  <c r="BE65" i="38" s="1"/>
  <c r="BA16" i="38"/>
  <c r="BA41" i="38" s="1"/>
  <c r="BA66" i="38" s="1"/>
  <c r="BQ16" i="38"/>
  <c r="BQ41" i="38" s="1"/>
  <c r="BQ66" i="38" s="1"/>
  <c r="BM17" i="38"/>
  <c r="BM42" i="38" s="1"/>
  <c r="BM67" i="38" s="1"/>
  <c r="BI18" i="38"/>
  <c r="BI43" i="38" s="1"/>
  <c r="BI68" i="38" s="1"/>
  <c r="BE19" i="38"/>
  <c r="BE44" i="38" s="1"/>
  <c r="BE69" i="38" s="1"/>
  <c r="BA20" i="38"/>
  <c r="BA45" i="38" s="1"/>
  <c r="BA70" i="38" s="1"/>
  <c r="BQ20" i="38"/>
  <c r="BQ45" i="38" s="1"/>
  <c r="BQ70" i="38" s="1"/>
  <c r="J54" i="38"/>
  <c r="F72" i="37"/>
  <c r="F73" i="37" s="1"/>
  <c r="F77" i="37" s="1"/>
  <c r="F82" i="37" s="1"/>
  <c r="D72" i="37"/>
  <c r="D73" i="37" s="1"/>
  <c r="F103" i="37"/>
  <c r="F102" i="37"/>
  <c r="D102" i="37"/>
  <c r="D103" i="37"/>
  <c r="D89" i="37"/>
  <c r="D88" i="37"/>
  <c r="F43" i="38"/>
  <c r="E73" i="37"/>
  <c r="E76" i="37" s="1"/>
  <c r="E100" i="37"/>
  <c r="E101" i="37" s="1"/>
  <c r="E104" i="37" s="1"/>
  <c r="E106" i="37" s="1"/>
  <c r="K22" i="38"/>
  <c r="E86" i="37"/>
  <c r="E87" i="37" s="1"/>
  <c r="E91" i="37" s="1"/>
  <c r="E93" i="37" s="1"/>
  <c r="K28" i="38"/>
  <c r="K45" i="38"/>
  <c r="F53" i="38"/>
  <c r="F8" i="38"/>
  <c r="F37" i="38"/>
  <c r="K39" i="38"/>
  <c r="K10" i="38"/>
  <c r="K20" i="38"/>
  <c r="K30" i="38"/>
  <c r="F10" i="38"/>
  <c r="F21" i="38"/>
  <c r="F26" i="38"/>
  <c r="K44" i="38"/>
  <c r="F25" i="38"/>
  <c r="K13" i="38"/>
  <c r="Q6" i="38"/>
  <c r="X6" i="38" s="1"/>
  <c r="AE6" i="38" s="1"/>
  <c r="J19" i="38"/>
  <c r="J34" i="38"/>
  <c r="J49" i="38"/>
  <c r="J33" i="38"/>
  <c r="J55" i="38"/>
  <c r="J43" i="38"/>
  <c r="R6" i="38"/>
  <c r="Y6" i="38" s="1"/>
  <c r="AF6" i="38" s="1"/>
  <c r="T6" i="38"/>
  <c r="AA6" i="38" s="1"/>
  <c r="AP6" i="38" s="1"/>
  <c r="J17" i="38"/>
  <c r="J18" i="38"/>
  <c r="J42" i="38"/>
  <c r="R8" i="38"/>
  <c r="Y8" i="38" s="1"/>
  <c r="AF8" i="38" s="1"/>
  <c r="Q8" i="38"/>
  <c r="X8" i="38" s="1"/>
  <c r="AE8" i="38" s="1"/>
  <c r="S6" i="38"/>
  <c r="Z6" i="38" s="1"/>
  <c r="AG6" i="38" s="1"/>
  <c r="U6" i="38"/>
  <c r="AB6" i="38" s="1"/>
  <c r="AQ6" i="38" s="1"/>
  <c r="O7" i="38"/>
  <c r="V7" i="38" s="1"/>
  <c r="AK7" i="38" s="1"/>
  <c r="R7" i="38"/>
  <c r="Y7" i="38" s="1"/>
  <c r="AF7" i="38" s="1"/>
  <c r="S8" i="38"/>
  <c r="Z8" i="38" s="1"/>
  <c r="AO8" i="38" s="1"/>
  <c r="P8" i="38"/>
  <c r="W8" i="38" s="1"/>
  <c r="AL8" i="38" s="1"/>
  <c r="T8" i="38"/>
  <c r="AA8" i="38" s="1"/>
  <c r="AH8" i="38" s="1"/>
  <c r="U8" i="38"/>
  <c r="AB8" i="38" s="1"/>
  <c r="AQ8" i="38" s="1"/>
  <c r="K43" i="38"/>
  <c r="P7" i="38"/>
  <c r="W7" i="38" s="1"/>
  <c r="AL7" i="38" s="1"/>
  <c r="U7" i="38"/>
  <c r="AB7" i="38" s="1"/>
  <c r="AQ7" i="38" s="1"/>
  <c r="T7" i="38"/>
  <c r="AA7" i="38" s="1"/>
  <c r="AH7" i="38" s="1"/>
  <c r="S7" i="38"/>
  <c r="Z7" i="38" s="1"/>
  <c r="AG7" i="38" s="1"/>
  <c r="O6" i="38"/>
  <c r="V6" i="38" s="1"/>
  <c r="AK6" i="38" s="1"/>
  <c r="P6" i="38"/>
  <c r="W6" i="38" s="1"/>
  <c r="AD6" i="38" s="1"/>
  <c r="D109" i="37"/>
  <c r="D110" i="37" s="1"/>
  <c r="F109" i="37"/>
  <c r="F110" i="37" s="1"/>
  <c r="F94" i="37"/>
  <c r="F95" i="37"/>
  <c r="F96" i="37" s="1"/>
  <c r="AM7" i="38"/>
  <c r="K38" i="38"/>
  <c r="K33" i="38"/>
  <c r="K35" i="38"/>
  <c r="K34" i="38"/>
  <c r="K17" i="38"/>
  <c r="D86" i="37"/>
  <c r="D87" i="37" s="1"/>
  <c r="K42" i="38"/>
  <c r="E37" i="38"/>
  <c r="G9" i="38"/>
  <c r="E8" i="38"/>
  <c r="G40" i="38"/>
  <c r="G41" i="38"/>
  <c r="K54" i="38"/>
  <c r="E21" i="38"/>
  <c r="K49" i="38"/>
  <c r="K50" i="38"/>
  <c r="E40" i="38"/>
  <c r="K18" i="38"/>
  <c r="G21" i="38"/>
  <c r="G8" i="38"/>
  <c r="G37" i="38"/>
  <c r="J22" i="38"/>
  <c r="K52" i="38"/>
  <c r="G42" i="38"/>
  <c r="G23" i="38"/>
  <c r="G11" i="38"/>
  <c r="G6" i="38"/>
  <c r="G24" i="38"/>
  <c r="E25" i="38"/>
  <c r="G25" i="38"/>
  <c r="G56" i="38"/>
  <c r="F40" i="38"/>
  <c r="F91" i="37"/>
  <c r="D93" i="37" s="1"/>
  <c r="G27" i="38"/>
  <c r="K51" i="38"/>
  <c r="K27" i="38"/>
  <c r="N10" i="38"/>
  <c r="N11" i="38" s="1"/>
  <c r="P9" i="38"/>
  <c r="W9" i="38" s="1"/>
  <c r="U9" i="38"/>
  <c r="AB9" i="38" s="1"/>
  <c r="T9" i="38"/>
  <c r="AA9" i="38" s="1"/>
  <c r="R9" i="38"/>
  <c r="Y9" i="38" s="1"/>
  <c r="Q9" i="38"/>
  <c r="X9" i="38" s="1"/>
  <c r="S9" i="38"/>
  <c r="Z9" i="38" s="1"/>
  <c r="O9" i="38"/>
  <c r="V9" i="38" s="1"/>
  <c r="E56" i="38"/>
  <c r="K19" i="38"/>
  <c r="K46" i="38"/>
  <c r="J28" i="38"/>
  <c r="K21" i="38"/>
  <c r="F56" i="38"/>
  <c r="G26" i="38"/>
  <c r="AK8" i="38"/>
  <c r="AC8" i="38"/>
  <c r="F9" i="38"/>
  <c r="K32" i="38"/>
  <c r="K53" i="38"/>
  <c r="K16" i="38"/>
  <c r="K14" i="38"/>
  <c r="E26" i="38"/>
  <c r="J45" i="38"/>
  <c r="F27" i="38"/>
  <c r="J20" i="38"/>
  <c r="E41" i="38"/>
  <c r="F41" i="38"/>
  <c r="E27" i="38"/>
  <c r="E53" i="38"/>
  <c r="K29" i="38"/>
  <c r="J44" i="38"/>
  <c r="E24" i="38"/>
  <c r="J10" i="38"/>
  <c r="K37" i="38"/>
  <c r="E23" i="38"/>
  <c r="K15" i="38"/>
  <c r="F24" i="38"/>
  <c r="G10" i="38"/>
  <c r="K36" i="38"/>
  <c r="J30" i="38"/>
  <c r="E6" i="38"/>
  <c r="E11" i="38"/>
  <c r="F11" i="38"/>
  <c r="F6" i="38"/>
  <c r="E43" i="38"/>
  <c r="F23" i="38"/>
  <c r="G53" i="38"/>
  <c r="G43" i="38"/>
  <c r="K12" i="38"/>
  <c r="J6" i="38"/>
  <c r="K6" i="38"/>
  <c r="J11" i="38"/>
  <c r="K11" i="38"/>
  <c r="J13" i="38"/>
  <c r="E42" i="38"/>
  <c r="F42" i="38"/>
  <c r="K55" i="38"/>
  <c r="K26" i="38"/>
  <c r="K47" i="38"/>
  <c r="J39" i="38"/>
  <c r="K31" i="38"/>
  <c r="K48" i="38"/>
  <c r="E10" i="38"/>
  <c r="G7" i="38"/>
  <c r="F7" i="38"/>
  <c r="E7" i="38"/>
  <c r="E15" i="38"/>
  <c r="G15" i="38"/>
  <c r="F15" i="38"/>
  <c r="E17" i="38"/>
  <c r="F17" i="38"/>
  <c r="G17" i="38"/>
  <c r="J25" i="38"/>
  <c r="K25" i="38"/>
  <c r="G31" i="38"/>
  <c r="E31" i="38"/>
  <c r="F31" i="38"/>
  <c r="E33" i="38"/>
  <c r="G33" i="38"/>
  <c r="F33" i="38"/>
  <c r="J41" i="38"/>
  <c r="K41" i="38"/>
  <c r="E47" i="38"/>
  <c r="G47" i="38"/>
  <c r="F47" i="38"/>
  <c r="E49" i="38"/>
  <c r="G49" i="38"/>
  <c r="F49" i="38"/>
  <c r="J7" i="38"/>
  <c r="K7" i="38"/>
  <c r="G22" i="38"/>
  <c r="F22" i="38"/>
  <c r="E22" i="38"/>
  <c r="G12" i="38"/>
  <c r="F12" i="38"/>
  <c r="E12" i="38"/>
  <c r="J23" i="38"/>
  <c r="K23" i="38"/>
  <c r="G38" i="38"/>
  <c r="F38" i="38"/>
  <c r="E38" i="38"/>
  <c r="G28" i="38"/>
  <c r="F28" i="38"/>
  <c r="E28" i="38"/>
  <c r="F20" i="38"/>
  <c r="E20" i="38"/>
  <c r="G20" i="38"/>
  <c r="G54" i="38"/>
  <c r="F54" i="38"/>
  <c r="E54" i="38"/>
  <c r="G44" i="38"/>
  <c r="F44" i="38"/>
  <c r="E44" i="38"/>
  <c r="F36" i="38"/>
  <c r="E36" i="38"/>
  <c r="G36" i="38"/>
  <c r="G39" i="38"/>
  <c r="F39" i="38"/>
  <c r="E39" i="38"/>
  <c r="J9" i="38"/>
  <c r="K9" i="38"/>
  <c r="E16" i="38"/>
  <c r="G16" i="38"/>
  <c r="F16" i="38"/>
  <c r="E18" i="38"/>
  <c r="G18" i="38"/>
  <c r="F18" i="38"/>
  <c r="F52" i="38"/>
  <c r="E52" i="38"/>
  <c r="G52" i="38"/>
  <c r="G55" i="38"/>
  <c r="F55" i="38"/>
  <c r="E55" i="38"/>
  <c r="E32" i="38"/>
  <c r="G32" i="38"/>
  <c r="F32" i="38"/>
  <c r="E34" i="38"/>
  <c r="G34" i="38"/>
  <c r="F34" i="38"/>
  <c r="E14" i="38"/>
  <c r="G14" i="38"/>
  <c r="F14" i="38"/>
  <c r="E48" i="38"/>
  <c r="G48" i="38"/>
  <c r="F48" i="38"/>
  <c r="F50" i="38"/>
  <c r="E50" i="38"/>
  <c r="G50" i="38"/>
  <c r="G13" i="38"/>
  <c r="F13" i="38"/>
  <c r="E13" i="38"/>
  <c r="E30" i="38"/>
  <c r="G30" i="38"/>
  <c r="F30" i="38"/>
  <c r="G29" i="38"/>
  <c r="F29" i="38"/>
  <c r="E29" i="38"/>
  <c r="E46" i="38"/>
  <c r="G46" i="38"/>
  <c r="F46" i="38"/>
  <c r="J8" i="38"/>
  <c r="K8" i="38"/>
  <c r="G45" i="38"/>
  <c r="F45" i="38"/>
  <c r="E45" i="38"/>
  <c r="F19" i="38"/>
  <c r="E19" i="38"/>
  <c r="G19" i="38"/>
  <c r="J24" i="38"/>
  <c r="K24" i="38"/>
  <c r="F35" i="38"/>
  <c r="E35" i="38"/>
  <c r="G35" i="38"/>
  <c r="K40" i="38"/>
  <c r="J40" i="38"/>
  <c r="F51" i="38"/>
  <c r="E51" i="38"/>
  <c r="G51" i="38"/>
  <c r="J56" i="38"/>
  <c r="K56" i="38"/>
  <c r="D105" i="37"/>
  <c r="F107" i="37" s="1"/>
  <c r="D104" i="37"/>
  <c r="F106" i="37" s="1"/>
  <c r="D108" i="37"/>
  <c r="F90" i="37"/>
  <c r="D92" i="37" s="1"/>
  <c r="F104" i="37"/>
  <c r="D106" i="37" s="1"/>
  <c r="F108" i="37"/>
  <c r="F105" i="37"/>
  <c r="D107" i="37" s="1"/>
  <c r="F76" i="37" l="1"/>
  <c r="AV37" i="38"/>
  <c r="F75" i="37"/>
  <c r="D81" i="37" s="1"/>
  <c r="F74" i="37"/>
  <c r="D80" i="37" s="1"/>
  <c r="D79" i="37"/>
  <c r="D78" i="37"/>
  <c r="E75" i="37"/>
  <c r="E81" i="37" s="1"/>
  <c r="E74" i="37"/>
  <c r="E80" i="37" s="1"/>
  <c r="E77" i="37"/>
  <c r="E82" i="37" s="1"/>
  <c r="E108" i="37"/>
  <c r="E105" i="37"/>
  <c r="E107" i="37" s="1"/>
  <c r="E90" i="37"/>
  <c r="E92" i="37" s="1"/>
  <c r="F78" i="37"/>
  <c r="F79" i="37"/>
  <c r="D91" i="37"/>
  <c r="F93" i="37" s="1"/>
  <c r="F89" i="37"/>
  <c r="F88" i="37"/>
  <c r="E95" i="37"/>
  <c r="E96" i="37" s="1"/>
  <c r="E89" i="37"/>
  <c r="E88" i="37"/>
  <c r="E103" i="37"/>
  <c r="E102" i="37"/>
  <c r="E79" i="37"/>
  <c r="E78" i="37"/>
  <c r="E94" i="37"/>
  <c r="E109" i="37"/>
  <c r="E110" i="37" s="1"/>
  <c r="AH6" i="38"/>
  <c r="AD7" i="38"/>
  <c r="AN6" i="38"/>
  <c r="AM6" i="38"/>
  <c r="AC7" i="38"/>
  <c r="AM8" i="38"/>
  <c r="AI6" i="38"/>
  <c r="AN8" i="38"/>
  <c r="AG8" i="38"/>
  <c r="AO6" i="38"/>
  <c r="AN7" i="38"/>
  <c r="AP8" i="38"/>
  <c r="AD8" i="38"/>
  <c r="AI8" i="38"/>
  <c r="AC6" i="38"/>
  <c r="AP7" i="38"/>
  <c r="AO7" i="38"/>
  <c r="AI7" i="38"/>
  <c r="D90" i="37"/>
  <c r="F92" i="37" s="1"/>
  <c r="AL6" i="38"/>
  <c r="D76" i="37"/>
  <c r="D77" i="37"/>
  <c r="D82" i="37" s="1"/>
  <c r="D95" i="37"/>
  <c r="D96" i="37" s="1"/>
  <c r="D94" i="37"/>
  <c r="D74" i="37"/>
  <c r="F80" i="37" s="1"/>
  <c r="D75" i="37"/>
  <c r="F81" i="37" s="1"/>
  <c r="D112" i="37"/>
  <c r="E113" i="37" s="1"/>
  <c r="P11" i="38"/>
  <c r="W11" i="38" s="1"/>
  <c r="O11" i="38"/>
  <c r="V11" i="38" s="1"/>
  <c r="Q11" i="38"/>
  <c r="X11" i="38" s="1"/>
  <c r="R11" i="38"/>
  <c r="Y11" i="38" s="1"/>
  <c r="S11" i="38"/>
  <c r="Z11" i="38" s="1"/>
  <c r="T11" i="38"/>
  <c r="AA11" i="38" s="1"/>
  <c r="U11" i="38"/>
  <c r="AB11" i="38" s="1"/>
  <c r="AG9" i="38"/>
  <c r="AO9" i="38"/>
  <c r="AE9" i="38"/>
  <c r="AM9" i="38"/>
  <c r="AF9" i="38"/>
  <c r="AN9" i="38"/>
  <c r="AP9" i="38"/>
  <c r="AH9" i="38"/>
  <c r="AQ9" i="38"/>
  <c r="AI9" i="38"/>
  <c r="AL9" i="38"/>
  <c r="AD9" i="38"/>
  <c r="Q10" i="38"/>
  <c r="X10" i="38" s="1"/>
  <c r="U10" i="38"/>
  <c r="AB10" i="38" s="1"/>
  <c r="T10" i="38"/>
  <c r="AA10" i="38" s="1"/>
  <c r="P10" i="38"/>
  <c r="W10" i="38" s="1"/>
  <c r="R10" i="38"/>
  <c r="Y10" i="38" s="1"/>
  <c r="O10" i="38"/>
  <c r="V10" i="38" s="1"/>
  <c r="S10" i="38"/>
  <c r="Z10" i="38" s="1"/>
  <c r="AK9" i="38"/>
  <c r="AC9" i="38"/>
  <c r="AV38" i="38" l="1"/>
  <c r="F113" i="37"/>
  <c r="F114" i="37" s="1"/>
  <c r="D113" i="37"/>
  <c r="D114" i="37" s="1"/>
  <c r="F117" i="37" s="1"/>
  <c r="E114" i="37"/>
  <c r="E117" i="37" s="1"/>
  <c r="F115" i="37"/>
  <c r="F116" i="37"/>
  <c r="AI11" i="38"/>
  <c r="AQ11" i="38"/>
  <c r="AH11" i="38"/>
  <c r="AP11" i="38"/>
  <c r="AG11" i="38"/>
  <c r="AO11" i="38"/>
  <c r="AF11" i="38"/>
  <c r="AN11" i="38"/>
  <c r="AE11" i="38"/>
  <c r="AM11" i="38"/>
  <c r="AK11" i="38"/>
  <c r="AC11" i="38"/>
  <c r="AD11" i="38"/>
  <c r="AL11" i="38"/>
  <c r="AM10" i="38"/>
  <c r="AE10" i="38"/>
  <c r="AH10" i="38"/>
  <c r="AP10" i="38"/>
  <c r="N12" i="38"/>
  <c r="AG10" i="38"/>
  <c r="AO10" i="38"/>
  <c r="AC10" i="38"/>
  <c r="AK10" i="38"/>
  <c r="AF10" i="38"/>
  <c r="AN10" i="38"/>
  <c r="AQ10" i="38"/>
  <c r="AI10" i="38"/>
  <c r="AL10" i="38"/>
  <c r="AD10" i="38"/>
  <c r="AV39" i="38" l="1"/>
  <c r="E116" i="37"/>
  <c r="E115" i="37"/>
  <c r="D117" i="37"/>
  <c r="D115" i="37"/>
  <c r="D116" i="37"/>
  <c r="N13" i="38"/>
  <c r="Q12" i="38"/>
  <c r="X12" i="38" s="1"/>
  <c r="P12" i="38"/>
  <c r="W12" i="38" s="1"/>
  <c r="U12" i="38"/>
  <c r="AB12" i="38" s="1"/>
  <c r="S12" i="38"/>
  <c r="Z12" i="38" s="1"/>
  <c r="O12" i="38"/>
  <c r="V12" i="38" s="1"/>
  <c r="T12" i="38"/>
  <c r="AA12" i="38" s="1"/>
  <c r="R12" i="38"/>
  <c r="Y12" i="38" s="1"/>
  <c r="AV40" i="38" l="1"/>
  <c r="AM12" i="38"/>
  <c r="AE12" i="38"/>
  <c r="AF12" i="38"/>
  <c r="AN12" i="38"/>
  <c r="AC12" i="38"/>
  <c r="AK12" i="38"/>
  <c r="AG12" i="38"/>
  <c r="AO12" i="38"/>
  <c r="AQ12" i="38"/>
  <c r="AI12" i="38"/>
  <c r="N14" i="38"/>
  <c r="R13" i="38"/>
  <c r="Y13" i="38" s="1"/>
  <c r="U13" i="38"/>
  <c r="AB13" i="38" s="1"/>
  <c r="T13" i="38"/>
  <c r="AA13" i="38" s="1"/>
  <c r="O13" i="38"/>
  <c r="V13" i="38" s="1"/>
  <c r="P13" i="38"/>
  <c r="W13" i="38" s="1"/>
  <c r="S13" i="38"/>
  <c r="Z13" i="38" s="1"/>
  <c r="Q13" i="38"/>
  <c r="X13" i="38" s="1"/>
  <c r="AH12" i="38"/>
  <c r="AP12" i="38"/>
  <c r="AL12" i="38"/>
  <c r="AD12" i="38"/>
  <c r="AV41" i="38" l="1"/>
  <c r="AC13" i="38"/>
  <c r="AK13" i="38"/>
  <c r="AN13" i="38"/>
  <c r="AF13" i="38"/>
  <c r="AH13" i="38"/>
  <c r="AP13" i="38"/>
  <c r="N15" i="38"/>
  <c r="Q14" i="38"/>
  <c r="X14" i="38" s="1"/>
  <c r="P14" i="38"/>
  <c r="W14" i="38" s="1"/>
  <c r="O14" i="38"/>
  <c r="V14" i="38" s="1"/>
  <c r="T14" i="38"/>
  <c r="AA14" i="38" s="1"/>
  <c r="U14" i="38"/>
  <c r="AB14" i="38" s="1"/>
  <c r="S14" i="38"/>
  <c r="Z14" i="38" s="1"/>
  <c r="R14" i="38"/>
  <c r="Y14" i="38" s="1"/>
  <c r="AL13" i="38"/>
  <c r="AD13" i="38"/>
  <c r="AM13" i="38"/>
  <c r="AE13" i="38"/>
  <c r="AI13" i="38"/>
  <c r="AQ13" i="38"/>
  <c r="AG13" i="38"/>
  <c r="AO13" i="38"/>
  <c r="AV42" i="38" l="1"/>
  <c r="AI14" i="38"/>
  <c r="AQ14" i="38"/>
  <c r="AG14" i="38"/>
  <c r="AO14" i="38"/>
  <c r="N16" i="38"/>
  <c r="R15" i="38"/>
  <c r="Y15" i="38" s="1"/>
  <c r="Q15" i="38"/>
  <c r="X15" i="38" s="1"/>
  <c r="T15" i="38"/>
  <c r="AA15" i="38" s="1"/>
  <c r="S15" i="38"/>
  <c r="Z15" i="38" s="1"/>
  <c r="P15" i="38"/>
  <c r="W15" i="38" s="1"/>
  <c r="O15" i="38"/>
  <c r="V15" i="38" s="1"/>
  <c r="U15" i="38"/>
  <c r="AB15" i="38" s="1"/>
  <c r="AN14" i="38"/>
  <c r="AF14" i="38"/>
  <c r="AH14" i="38"/>
  <c r="AP14" i="38"/>
  <c r="AM14" i="38"/>
  <c r="AE14" i="38"/>
  <c r="AC14" i="38"/>
  <c r="AK14" i="38"/>
  <c r="AD14" i="38"/>
  <c r="AL14" i="38"/>
  <c r="AV43" i="38" l="1"/>
  <c r="AI15" i="38"/>
  <c r="AQ15" i="38"/>
  <c r="AC15" i="38"/>
  <c r="AK15" i="38"/>
  <c r="AD15" i="38"/>
  <c r="AL15" i="38"/>
  <c r="AG15" i="38"/>
  <c r="AO15" i="38"/>
  <c r="AH15" i="38"/>
  <c r="AP15" i="38"/>
  <c r="AM15" i="38"/>
  <c r="AE15" i="38"/>
  <c r="AN15" i="38"/>
  <c r="AF15" i="38"/>
  <c r="N17" i="38"/>
  <c r="S16" i="38"/>
  <c r="Z16" i="38" s="1"/>
  <c r="U16" i="38"/>
  <c r="AB16" i="38" s="1"/>
  <c r="T16" i="38"/>
  <c r="AA16" i="38" s="1"/>
  <c r="P16" i="38"/>
  <c r="W16" i="38" s="1"/>
  <c r="O16" i="38"/>
  <c r="V16" i="38" s="1"/>
  <c r="Q16" i="38"/>
  <c r="X16" i="38" s="1"/>
  <c r="R16" i="38"/>
  <c r="Y16" i="38" s="1"/>
  <c r="AV44" i="38" l="1"/>
  <c r="AO16" i="38"/>
  <c r="AG16" i="38"/>
  <c r="N18" i="38"/>
  <c r="R17" i="38"/>
  <c r="Y17" i="38" s="1"/>
  <c r="Q17" i="38"/>
  <c r="X17" i="38" s="1"/>
  <c r="U17" i="38"/>
  <c r="AB17" i="38" s="1"/>
  <c r="S17" i="38"/>
  <c r="Z17" i="38" s="1"/>
  <c r="T17" i="38"/>
  <c r="AA17" i="38" s="1"/>
  <c r="P17" i="38"/>
  <c r="W17" i="38" s="1"/>
  <c r="O17" i="38"/>
  <c r="V17" i="38" s="1"/>
  <c r="AK16" i="38"/>
  <c r="AC16" i="38"/>
  <c r="AD16" i="38"/>
  <c r="AL16" i="38"/>
  <c r="AN16" i="38"/>
  <c r="AF16" i="38"/>
  <c r="AH16" i="38"/>
  <c r="AP16" i="38"/>
  <c r="AM16" i="38"/>
  <c r="AE16" i="38"/>
  <c r="AI16" i="38"/>
  <c r="AQ16" i="38"/>
  <c r="AV45" i="38" l="1"/>
  <c r="AO17" i="38"/>
  <c r="AG17" i="38"/>
  <c r="AD17" i="38"/>
  <c r="AL17" i="38"/>
  <c r="AK17" i="38"/>
  <c r="AC17" i="38"/>
  <c r="AE17" i="38"/>
  <c r="AM17" i="38"/>
  <c r="AH17" i="38"/>
  <c r="AP17" i="38"/>
  <c r="AN17" i="38"/>
  <c r="AF17" i="38"/>
  <c r="AI17" i="38"/>
  <c r="AQ17" i="38"/>
  <c r="N19" i="38"/>
  <c r="S18" i="38"/>
  <c r="Z18" i="38" s="1"/>
  <c r="R18" i="38"/>
  <c r="Y18" i="38" s="1"/>
  <c r="U18" i="38"/>
  <c r="AB18" i="38" s="1"/>
  <c r="Q18" i="38"/>
  <c r="X18" i="38" s="1"/>
  <c r="P18" i="38"/>
  <c r="W18" i="38" s="1"/>
  <c r="O18" i="38"/>
  <c r="V18" i="38" s="1"/>
  <c r="T18" i="38"/>
  <c r="AA18" i="38" s="1"/>
  <c r="AV46" i="38" l="1"/>
  <c r="N20" i="38"/>
  <c r="T19" i="38"/>
  <c r="AA19" i="38" s="1"/>
  <c r="U19" i="38"/>
  <c r="AB19" i="38" s="1"/>
  <c r="S19" i="38"/>
  <c r="Z19" i="38" s="1"/>
  <c r="Q19" i="38"/>
  <c r="X19" i="38" s="1"/>
  <c r="R19" i="38"/>
  <c r="Y19" i="38" s="1"/>
  <c r="O19" i="38"/>
  <c r="V19" i="38" s="1"/>
  <c r="P19" i="38"/>
  <c r="W19" i="38" s="1"/>
  <c r="AO18" i="38"/>
  <c r="AG18" i="38"/>
  <c r="AP18" i="38"/>
  <c r="AH18" i="38"/>
  <c r="AD18" i="38"/>
  <c r="AL18" i="38"/>
  <c r="AC18" i="38"/>
  <c r="AK18" i="38"/>
  <c r="AI18" i="38"/>
  <c r="AQ18" i="38"/>
  <c r="AE18" i="38"/>
  <c r="AM18" i="38"/>
  <c r="AN18" i="38"/>
  <c r="AF18" i="38"/>
  <c r="AV47" i="38" l="1"/>
  <c r="AC19" i="38"/>
  <c r="AK19" i="38"/>
  <c r="AN19" i="38"/>
  <c r="AF19" i="38"/>
  <c r="AE19" i="38"/>
  <c r="AM19" i="38"/>
  <c r="AD19" i="38"/>
  <c r="AL19" i="38"/>
  <c r="AO19" i="38"/>
  <c r="AG19" i="38"/>
  <c r="AI19" i="38"/>
  <c r="AQ19" i="38"/>
  <c r="AP19" i="38"/>
  <c r="AH19" i="38"/>
  <c r="N21" i="38"/>
  <c r="T20" i="38"/>
  <c r="AA20" i="38" s="1"/>
  <c r="S20" i="38"/>
  <c r="Z20" i="38" s="1"/>
  <c r="R20" i="38"/>
  <c r="Y20" i="38" s="1"/>
  <c r="U20" i="38"/>
  <c r="AB20" i="38" s="1"/>
  <c r="Q20" i="38"/>
  <c r="X20" i="38" s="1"/>
  <c r="O20" i="38"/>
  <c r="V20" i="38" s="1"/>
  <c r="P20" i="38"/>
  <c r="W20" i="38" s="1"/>
  <c r="AV48" i="38" l="1"/>
  <c r="AD20" i="38"/>
  <c r="AL20" i="38"/>
  <c r="N22" i="38"/>
  <c r="T21" i="38"/>
  <c r="AA21" i="38" s="1"/>
  <c r="S21" i="38"/>
  <c r="Z21" i="38" s="1"/>
  <c r="R21" i="38"/>
  <c r="Y21" i="38" s="1"/>
  <c r="Q21" i="38"/>
  <c r="X21" i="38" s="1"/>
  <c r="P21" i="38"/>
  <c r="W21" i="38" s="1"/>
  <c r="O21" i="38"/>
  <c r="V21" i="38" s="1"/>
  <c r="U21" i="38"/>
  <c r="AB21" i="38" s="1"/>
  <c r="AE20" i="38"/>
  <c r="AM20" i="38"/>
  <c r="AI20" i="38"/>
  <c r="AQ20" i="38"/>
  <c r="AF20" i="38"/>
  <c r="AN20" i="38"/>
  <c r="AP20" i="38"/>
  <c r="AH20" i="38"/>
  <c r="AK20" i="38"/>
  <c r="AC20" i="38"/>
  <c r="AO20" i="38"/>
  <c r="AG20" i="38"/>
  <c r="AV49" i="38" l="1"/>
  <c r="AQ21" i="38"/>
  <c r="AI21" i="38"/>
  <c r="AF21" i="38"/>
  <c r="AN21" i="38"/>
  <c r="AO21" i="38"/>
  <c r="AG21" i="38"/>
  <c r="AP21" i="38"/>
  <c r="AH21" i="38"/>
  <c r="AE21" i="38"/>
  <c r="AM21" i="38"/>
  <c r="AK21" i="38"/>
  <c r="AC21" i="38"/>
  <c r="AD21" i="38"/>
  <c r="AL21" i="38"/>
  <c r="N23" i="38"/>
  <c r="U22" i="38"/>
  <c r="AB22" i="38" s="1"/>
  <c r="S22" i="38"/>
  <c r="Z22" i="38" s="1"/>
  <c r="R22" i="38"/>
  <c r="Y22" i="38" s="1"/>
  <c r="O22" i="38"/>
  <c r="V22" i="38" s="1"/>
  <c r="Q22" i="38"/>
  <c r="X22" i="38" s="1"/>
  <c r="P22" i="38"/>
  <c r="W22" i="38" s="1"/>
  <c r="T22" i="38"/>
  <c r="AA22" i="38" s="1"/>
  <c r="AV50" i="38" l="1"/>
  <c r="AQ22" i="38"/>
  <c r="AI22" i="38"/>
  <c r="N24" i="38"/>
  <c r="U23" i="38"/>
  <c r="AB23" i="38" s="1"/>
  <c r="T23" i="38"/>
  <c r="AA23" i="38" s="1"/>
  <c r="S23" i="38"/>
  <c r="Z23" i="38" s="1"/>
  <c r="R23" i="38"/>
  <c r="Y23" i="38" s="1"/>
  <c r="P23" i="38"/>
  <c r="W23" i="38" s="1"/>
  <c r="Q23" i="38"/>
  <c r="X23" i="38" s="1"/>
  <c r="O23" i="38"/>
  <c r="V23" i="38" s="1"/>
  <c r="AL22" i="38"/>
  <c r="AD22" i="38"/>
  <c r="AP22" i="38"/>
  <c r="AH22" i="38"/>
  <c r="AK22" i="38"/>
  <c r="AC22" i="38"/>
  <c r="AE22" i="38"/>
  <c r="AM22" i="38"/>
  <c r="AF22" i="38"/>
  <c r="AN22" i="38"/>
  <c r="AO22" i="38"/>
  <c r="AG22" i="38"/>
  <c r="AK23" i="38" l="1"/>
  <c r="AC23" i="38"/>
  <c r="AG23" i="38"/>
  <c r="AO23" i="38"/>
  <c r="AE23" i="38"/>
  <c r="AM23" i="38"/>
  <c r="AL23" i="38"/>
  <c r="AD23" i="38"/>
  <c r="AP23" i="38"/>
  <c r="AH23" i="38"/>
  <c r="AF23" i="38"/>
  <c r="AN23" i="38"/>
  <c r="AQ23" i="38"/>
  <c r="AI23" i="38"/>
  <c r="N25" i="38"/>
  <c r="U24" i="38"/>
  <c r="AB24" i="38" s="1"/>
  <c r="T24" i="38"/>
  <c r="AA24" i="38" s="1"/>
  <c r="S24" i="38"/>
  <c r="Z24" i="38" s="1"/>
  <c r="R24" i="38"/>
  <c r="Y24" i="38" s="1"/>
  <c r="Q24" i="38"/>
  <c r="X24" i="38" s="1"/>
  <c r="P24" i="38"/>
  <c r="W24" i="38" s="1"/>
  <c r="O24" i="38"/>
  <c r="V24" i="38" s="1"/>
  <c r="AL24" i="38" l="1"/>
  <c r="AD24" i="38"/>
  <c r="AK24" i="38"/>
  <c r="AC24" i="38"/>
  <c r="AF24" i="38"/>
  <c r="AN24" i="38"/>
  <c r="AQ24" i="38"/>
  <c r="AI24" i="38"/>
  <c r="AG24" i="38"/>
  <c r="AO24" i="38"/>
  <c r="N26" i="38"/>
  <c r="P25" i="38"/>
  <c r="W25" i="38" s="1"/>
  <c r="T25" i="38"/>
  <c r="AA25" i="38" s="1"/>
  <c r="R25" i="38"/>
  <c r="Y25" i="38" s="1"/>
  <c r="S25" i="38"/>
  <c r="Z25" i="38" s="1"/>
  <c r="Q25" i="38"/>
  <c r="X25" i="38" s="1"/>
  <c r="U25" i="38"/>
  <c r="AB25" i="38" s="1"/>
  <c r="O25" i="38"/>
  <c r="V25" i="38" s="1"/>
  <c r="AE24" i="38"/>
  <c r="AM24" i="38"/>
  <c r="AP24" i="38"/>
  <c r="AH24" i="38"/>
  <c r="AG25" i="38" l="1"/>
  <c r="AO25" i="38"/>
  <c r="AL25" i="38"/>
  <c r="AD25" i="38"/>
  <c r="AF25" i="38"/>
  <c r="AN25" i="38"/>
  <c r="AE25" i="38"/>
  <c r="AM25" i="38"/>
  <c r="AP25" i="38"/>
  <c r="AH25" i="38"/>
  <c r="N27" i="38"/>
  <c r="Q26" i="38"/>
  <c r="X26" i="38" s="1"/>
  <c r="U26" i="38"/>
  <c r="AB26" i="38" s="1"/>
  <c r="T26" i="38"/>
  <c r="AA26" i="38" s="1"/>
  <c r="S26" i="38"/>
  <c r="Z26" i="38" s="1"/>
  <c r="R26" i="38"/>
  <c r="Y26" i="38" s="1"/>
  <c r="P26" i="38"/>
  <c r="W26" i="38" s="1"/>
  <c r="O26" i="38"/>
  <c r="V26" i="38" s="1"/>
  <c r="AK25" i="38"/>
  <c r="AC25" i="38"/>
  <c r="AQ25" i="38"/>
  <c r="AI25" i="38"/>
  <c r="AF26" i="38" l="1"/>
  <c r="AN26" i="38"/>
  <c r="AH26" i="38"/>
  <c r="AP26" i="38"/>
  <c r="N28" i="38"/>
  <c r="P27" i="38"/>
  <c r="W27" i="38" s="1"/>
  <c r="U27" i="38"/>
  <c r="AB27" i="38" s="1"/>
  <c r="Q27" i="38"/>
  <c r="X27" i="38" s="1"/>
  <c r="O27" i="38"/>
  <c r="V27" i="38" s="1"/>
  <c r="S27" i="38"/>
  <c r="Z27" i="38" s="1"/>
  <c r="R27" i="38"/>
  <c r="Y27" i="38" s="1"/>
  <c r="T27" i="38"/>
  <c r="AA27" i="38" s="1"/>
  <c r="AQ26" i="38"/>
  <c r="AI26" i="38"/>
  <c r="AM26" i="38"/>
  <c r="AE26" i="38"/>
  <c r="AC26" i="38"/>
  <c r="AK26" i="38"/>
  <c r="AG26" i="38"/>
  <c r="AO26" i="38"/>
  <c r="AL26" i="38"/>
  <c r="AD26" i="38"/>
  <c r="AF27" i="38" l="1"/>
  <c r="AN27" i="38"/>
  <c r="AQ27" i="38"/>
  <c r="AI27" i="38"/>
  <c r="N29" i="38"/>
  <c r="Q28" i="38"/>
  <c r="X28" i="38" s="1"/>
  <c r="U28" i="38"/>
  <c r="AB28" i="38" s="1"/>
  <c r="S28" i="38"/>
  <c r="Z28" i="38" s="1"/>
  <c r="O28" i="38"/>
  <c r="V28" i="38" s="1"/>
  <c r="R28" i="38"/>
  <c r="Y28" i="38" s="1"/>
  <c r="T28" i="38"/>
  <c r="AA28" i="38" s="1"/>
  <c r="P28" i="38"/>
  <c r="W28" i="38" s="1"/>
  <c r="AC27" i="38"/>
  <c r="AK27" i="38"/>
  <c r="AG27" i="38"/>
  <c r="AO27" i="38"/>
  <c r="AM27" i="38"/>
  <c r="AE27" i="38"/>
  <c r="AH27" i="38"/>
  <c r="AP27" i="38"/>
  <c r="AL27" i="38"/>
  <c r="AD27" i="38"/>
  <c r="AL28" i="38" l="1"/>
  <c r="AD28" i="38"/>
  <c r="AH28" i="38"/>
  <c r="AP28" i="38"/>
  <c r="AC28" i="38"/>
  <c r="AK28" i="38"/>
  <c r="AG28" i="38"/>
  <c r="AO28" i="38"/>
  <c r="AQ28" i="38"/>
  <c r="AI28" i="38"/>
  <c r="AN28" i="38"/>
  <c r="AF28" i="38"/>
  <c r="AM28" i="38"/>
  <c r="AE28" i="38"/>
  <c r="N30" i="38"/>
  <c r="R29" i="38"/>
  <c r="Y29" i="38" s="1"/>
  <c r="U29" i="38"/>
  <c r="AB29" i="38" s="1"/>
  <c r="O29" i="38"/>
  <c r="V29" i="38" s="1"/>
  <c r="Q29" i="38"/>
  <c r="X29" i="38" s="1"/>
  <c r="P29" i="38"/>
  <c r="W29" i="38" s="1"/>
  <c r="S29" i="38"/>
  <c r="Z29" i="38" s="1"/>
  <c r="T29" i="38"/>
  <c r="AA29" i="38" s="1"/>
  <c r="AN29" i="38" l="1"/>
  <c r="AF29" i="38"/>
  <c r="AL29" i="38"/>
  <c r="AD29" i="38"/>
  <c r="AH29" i="38"/>
  <c r="AP29" i="38"/>
  <c r="AM29" i="38"/>
  <c r="AE29" i="38"/>
  <c r="AC29" i="38"/>
  <c r="AK29" i="38"/>
  <c r="N31" i="38"/>
  <c r="Q30" i="38"/>
  <c r="X30" i="38" s="1"/>
  <c r="P30" i="38"/>
  <c r="W30" i="38" s="1"/>
  <c r="O30" i="38"/>
  <c r="V30" i="38" s="1"/>
  <c r="U30" i="38"/>
  <c r="AB30" i="38" s="1"/>
  <c r="S30" i="38"/>
  <c r="Z30" i="38" s="1"/>
  <c r="R30" i="38"/>
  <c r="Y30" i="38" s="1"/>
  <c r="T30" i="38"/>
  <c r="AA30" i="38" s="1"/>
  <c r="AG29" i="38"/>
  <c r="AO29" i="38"/>
  <c r="AI29" i="38"/>
  <c r="AQ29" i="38"/>
  <c r="AI30" i="38" l="1"/>
  <c r="AQ30" i="38"/>
  <c r="AG30" i="38"/>
  <c r="AO30" i="38"/>
  <c r="AM30" i="38"/>
  <c r="AE30" i="38"/>
  <c r="AD30" i="38"/>
  <c r="AL30" i="38"/>
  <c r="N32" i="38"/>
  <c r="R31" i="38"/>
  <c r="Y31" i="38" s="1"/>
  <c r="Q31" i="38"/>
  <c r="X31" i="38" s="1"/>
  <c r="T31" i="38"/>
  <c r="AA31" i="38" s="1"/>
  <c r="U31" i="38"/>
  <c r="AB31" i="38" s="1"/>
  <c r="P31" i="38"/>
  <c r="W31" i="38" s="1"/>
  <c r="O31" i="38"/>
  <c r="V31" i="38" s="1"/>
  <c r="S31" i="38"/>
  <c r="Z31" i="38" s="1"/>
  <c r="AC30" i="38"/>
  <c r="AK30" i="38"/>
  <c r="AH30" i="38"/>
  <c r="AP30" i="38"/>
  <c r="AN30" i="38"/>
  <c r="AF30" i="38"/>
  <c r="AG31" i="38" l="1"/>
  <c r="AO31" i="38"/>
  <c r="AC31" i="38"/>
  <c r="AK31" i="38"/>
  <c r="AH31" i="38"/>
  <c r="AP31" i="38"/>
  <c r="AD31" i="38"/>
  <c r="AL31" i="38"/>
  <c r="N33" i="38"/>
  <c r="S32" i="38"/>
  <c r="Z32" i="38" s="1"/>
  <c r="U32" i="38"/>
  <c r="AB32" i="38" s="1"/>
  <c r="P32" i="38"/>
  <c r="W32" i="38" s="1"/>
  <c r="T32" i="38"/>
  <c r="AA32" i="38" s="1"/>
  <c r="R32" i="38"/>
  <c r="Y32" i="38" s="1"/>
  <c r="O32" i="38"/>
  <c r="V32" i="38" s="1"/>
  <c r="Q32" i="38"/>
  <c r="X32" i="38" s="1"/>
  <c r="AM31" i="38"/>
  <c r="AE31" i="38"/>
  <c r="AI31" i="38"/>
  <c r="AQ31" i="38"/>
  <c r="AN31" i="38"/>
  <c r="AF31" i="38"/>
  <c r="AM32" i="38" l="1"/>
  <c r="AE32" i="38"/>
  <c r="AK32" i="38"/>
  <c r="AC32" i="38"/>
  <c r="AO32" i="38"/>
  <c r="AG32" i="38"/>
  <c r="AN32" i="38"/>
  <c r="AF32" i="38"/>
  <c r="N34" i="38"/>
  <c r="R33" i="38"/>
  <c r="Y33" i="38" s="1"/>
  <c r="Q33" i="38"/>
  <c r="X33" i="38" s="1"/>
  <c r="U33" i="38"/>
  <c r="AB33" i="38" s="1"/>
  <c r="P33" i="38"/>
  <c r="W33" i="38" s="1"/>
  <c r="O33" i="38"/>
  <c r="V33" i="38" s="1"/>
  <c r="T33" i="38"/>
  <c r="AA33" i="38" s="1"/>
  <c r="S33" i="38"/>
  <c r="Z33" i="38" s="1"/>
  <c r="AH32" i="38"/>
  <c r="AP32" i="38"/>
  <c r="AI32" i="38"/>
  <c r="AQ32" i="38"/>
  <c r="AD32" i="38"/>
  <c r="AL32" i="38"/>
  <c r="AO33" i="38" l="1"/>
  <c r="AG33" i="38"/>
  <c r="AH33" i="38"/>
  <c r="AP33" i="38"/>
  <c r="AI33" i="38"/>
  <c r="AQ33" i="38"/>
  <c r="AN33" i="38"/>
  <c r="AF33" i="38"/>
  <c r="AD33" i="38"/>
  <c r="AL33" i="38"/>
  <c r="AK33" i="38"/>
  <c r="AC33" i="38"/>
  <c r="N35" i="38"/>
  <c r="S34" i="38"/>
  <c r="Z34" i="38" s="1"/>
  <c r="R34" i="38"/>
  <c r="Y34" i="38" s="1"/>
  <c r="U34" i="38"/>
  <c r="AB34" i="38" s="1"/>
  <c r="P34" i="38"/>
  <c r="W34" i="38" s="1"/>
  <c r="Q34" i="38"/>
  <c r="X34" i="38" s="1"/>
  <c r="O34" i="38"/>
  <c r="V34" i="38" s="1"/>
  <c r="T34" i="38"/>
  <c r="AA34" i="38" s="1"/>
  <c r="AE33" i="38"/>
  <c r="AM33" i="38"/>
  <c r="AN34" i="38" l="1"/>
  <c r="AF34" i="38"/>
  <c r="AO34" i="38"/>
  <c r="AG34" i="38"/>
  <c r="N36" i="38"/>
  <c r="T35" i="38"/>
  <c r="AA35" i="38" s="1"/>
  <c r="U35" i="38"/>
  <c r="AB35" i="38" s="1"/>
  <c r="P35" i="38"/>
  <c r="W35" i="38" s="1"/>
  <c r="R35" i="38"/>
  <c r="Y35" i="38" s="1"/>
  <c r="O35" i="38"/>
  <c r="V35" i="38" s="1"/>
  <c r="S35" i="38"/>
  <c r="Z35" i="38" s="1"/>
  <c r="Q35" i="38"/>
  <c r="X35" i="38" s="1"/>
  <c r="AC34" i="38"/>
  <c r="AK34" i="38"/>
  <c r="AE34" i="38"/>
  <c r="AM34" i="38"/>
  <c r="AI34" i="38"/>
  <c r="AQ34" i="38"/>
  <c r="AH34" i="38"/>
  <c r="AP34" i="38"/>
  <c r="AD34" i="38"/>
  <c r="AL34" i="38"/>
  <c r="AE35" i="38" l="1"/>
  <c r="AM35" i="38"/>
  <c r="AC35" i="38"/>
  <c r="AK35" i="38"/>
  <c r="AP35" i="38"/>
  <c r="AH35" i="38"/>
  <c r="AD35" i="38"/>
  <c r="AL35" i="38"/>
  <c r="N37" i="38"/>
  <c r="T36" i="38"/>
  <c r="AA36" i="38" s="1"/>
  <c r="S36" i="38"/>
  <c r="Z36" i="38" s="1"/>
  <c r="R36" i="38"/>
  <c r="Y36" i="38" s="1"/>
  <c r="U36" i="38"/>
  <c r="AB36" i="38" s="1"/>
  <c r="O36" i="38"/>
  <c r="V36" i="38" s="1"/>
  <c r="P36" i="38"/>
  <c r="W36" i="38" s="1"/>
  <c r="Q36" i="38"/>
  <c r="X36" i="38" s="1"/>
  <c r="AI35" i="38"/>
  <c r="AQ35" i="38"/>
  <c r="AN35" i="38"/>
  <c r="AF35" i="38"/>
  <c r="AO35" i="38"/>
  <c r="AG35" i="38"/>
  <c r="AE36" i="38" l="1"/>
  <c r="AM36" i="38"/>
  <c r="AD36" i="38"/>
  <c r="AL36" i="38"/>
  <c r="AF36" i="38"/>
  <c r="AN36" i="38"/>
  <c r="AO36" i="38"/>
  <c r="AG36" i="38"/>
  <c r="N38" i="38"/>
  <c r="T37" i="38"/>
  <c r="AA37" i="38" s="1"/>
  <c r="S37" i="38"/>
  <c r="Z37" i="38" s="1"/>
  <c r="O37" i="38"/>
  <c r="V37" i="38" s="1"/>
  <c r="Q37" i="38"/>
  <c r="X37" i="38" s="1"/>
  <c r="U37" i="38"/>
  <c r="AB37" i="38" s="1"/>
  <c r="P37" i="38"/>
  <c r="W37" i="38" s="1"/>
  <c r="R37" i="38"/>
  <c r="Y37" i="38" s="1"/>
  <c r="AK36" i="38"/>
  <c r="AC36" i="38"/>
  <c r="AI36" i="38"/>
  <c r="AQ36" i="38"/>
  <c r="AP36" i="38"/>
  <c r="AH36" i="38"/>
  <c r="AI37" i="38" l="1"/>
  <c r="AQ37" i="38"/>
  <c r="AF37" i="38"/>
  <c r="AN37" i="38"/>
  <c r="AO37" i="38"/>
  <c r="AG37" i="38"/>
  <c r="AK37" i="38"/>
  <c r="AC37" i="38"/>
  <c r="AE37" i="38"/>
  <c r="AM37" i="38"/>
  <c r="AD37" i="38"/>
  <c r="AL37" i="38"/>
  <c r="AP37" i="38"/>
  <c r="AH37" i="38"/>
  <c r="N39" i="38"/>
  <c r="U38" i="38"/>
  <c r="AB38" i="38" s="1"/>
  <c r="P38" i="38"/>
  <c r="W38" i="38" s="1"/>
  <c r="O38" i="38"/>
  <c r="V38" i="38" s="1"/>
  <c r="R38" i="38"/>
  <c r="Y38" i="38" s="1"/>
  <c r="S38" i="38"/>
  <c r="Z38" i="38" s="1"/>
  <c r="Q38" i="38"/>
  <c r="X38" i="38" s="1"/>
  <c r="T38" i="38"/>
  <c r="AA38" i="38" s="1"/>
  <c r="AQ38" i="38" l="1"/>
  <c r="AI38" i="38"/>
  <c r="AP38" i="38"/>
  <c r="AH38" i="38"/>
  <c r="N40" i="38"/>
  <c r="U39" i="38"/>
  <c r="AB39" i="38" s="1"/>
  <c r="T39" i="38"/>
  <c r="AA39" i="38" s="1"/>
  <c r="S39" i="38"/>
  <c r="Z39" i="38" s="1"/>
  <c r="Q39" i="38"/>
  <c r="X39" i="38" s="1"/>
  <c r="P39" i="38"/>
  <c r="W39" i="38" s="1"/>
  <c r="O39" i="38"/>
  <c r="V39" i="38" s="1"/>
  <c r="R39" i="38"/>
  <c r="Y39" i="38" s="1"/>
  <c r="AE38" i="38"/>
  <c r="AM38" i="38"/>
  <c r="AF38" i="38"/>
  <c r="AN38" i="38"/>
  <c r="AK38" i="38"/>
  <c r="AC38" i="38"/>
  <c r="AO38" i="38"/>
  <c r="AG38" i="38"/>
  <c r="AD38" i="38"/>
  <c r="AL38" i="38"/>
  <c r="AF39" i="38" l="1"/>
  <c r="AN39" i="38"/>
  <c r="AK39" i="38"/>
  <c r="AC39" i="38"/>
  <c r="AE39" i="38"/>
  <c r="AM39" i="38"/>
  <c r="N41" i="38"/>
  <c r="U40" i="38"/>
  <c r="AB40" i="38" s="1"/>
  <c r="T40" i="38"/>
  <c r="AA40" i="38" s="1"/>
  <c r="Q40" i="38"/>
  <c r="X40" i="38" s="1"/>
  <c r="O40" i="38"/>
  <c r="V40" i="38" s="1"/>
  <c r="P40" i="38"/>
  <c r="W40" i="38" s="1"/>
  <c r="S40" i="38"/>
  <c r="Z40" i="38" s="1"/>
  <c r="R40" i="38"/>
  <c r="Y40" i="38" s="1"/>
  <c r="AG39" i="38"/>
  <c r="AO39" i="38"/>
  <c r="AL39" i="38"/>
  <c r="AD39" i="38"/>
  <c r="AQ39" i="38"/>
  <c r="AI39" i="38"/>
  <c r="AP39" i="38"/>
  <c r="AH39" i="38"/>
  <c r="AG40" i="38" l="1"/>
  <c r="AO40" i="38"/>
  <c r="AF40" i="38"/>
  <c r="AN40" i="38"/>
  <c r="AE40" i="38"/>
  <c r="AM40" i="38"/>
  <c r="AP40" i="38"/>
  <c r="AH40" i="38"/>
  <c r="AK40" i="38"/>
  <c r="AC40" i="38"/>
  <c r="N42" i="38"/>
  <c r="T41" i="38"/>
  <c r="AA41" i="38" s="1"/>
  <c r="Q41" i="38"/>
  <c r="X41" i="38" s="1"/>
  <c r="P41" i="38"/>
  <c r="W41" i="38" s="1"/>
  <c r="U41" i="38"/>
  <c r="AB41" i="38" s="1"/>
  <c r="R41" i="38"/>
  <c r="Y41" i="38" s="1"/>
  <c r="S41" i="38"/>
  <c r="Z41" i="38" s="1"/>
  <c r="O41" i="38"/>
  <c r="V41" i="38" s="1"/>
  <c r="AL40" i="38"/>
  <c r="AD40" i="38"/>
  <c r="AQ40" i="38"/>
  <c r="AI40" i="38"/>
  <c r="AQ41" i="38" l="1"/>
  <c r="AI41" i="38"/>
  <c r="AP41" i="38"/>
  <c r="AH41" i="38"/>
  <c r="N43" i="38"/>
  <c r="U42" i="38"/>
  <c r="AB42" i="38" s="1"/>
  <c r="T42" i="38"/>
  <c r="AA42" i="38" s="1"/>
  <c r="O42" i="38"/>
  <c r="V42" i="38" s="1"/>
  <c r="Q42" i="38"/>
  <c r="X42" i="38" s="1"/>
  <c r="P42" i="38"/>
  <c r="W42" i="38" s="1"/>
  <c r="S42" i="38"/>
  <c r="Z42" i="38" s="1"/>
  <c r="R42" i="38"/>
  <c r="Y42" i="38" s="1"/>
  <c r="AL41" i="38"/>
  <c r="AD41" i="38"/>
  <c r="AF41" i="38"/>
  <c r="AN41" i="38"/>
  <c r="AK41" i="38"/>
  <c r="AC41" i="38"/>
  <c r="AM41" i="38"/>
  <c r="AE41" i="38"/>
  <c r="AG41" i="38"/>
  <c r="AO41" i="38"/>
  <c r="AF42" i="38" l="1"/>
  <c r="AN42" i="38"/>
  <c r="AG42" i="38"/>
  <c r="AO42" i="38"/>
  <c r="AC42" i="38"/>
  <c r="AK42" i="38"/>
  <c r="AL42" i="38"/>
  <c r="AD42" i="38"/>
  <c r="AM42" i="38"/>
  <c r="AE42" i="38"/>
  <c r="AQ42" i="38"/>
  <c r="AI42" i="38"/>
  <c r="AH42" i="38"/>
  <c r="AP42" i="38"/>
  <c r="N44" i="38"/>
  <c r="U43" i="38"/>
  <c r="AB43" i="38" s="1"/>
  <c r="R43" i="38"/>
  <c r="Y43" i="38" s="1"/>
  <c r="P43" i="38"/>
  <c r="W43" i="38" s="1"/>
  <c r="Q43" i="38"/>
  <c r="X43" i="38" s="1"/>
  <c r="T43" i="38"/>
  <c r="AA43" i="38" s="1"/>
  <c r="S43" i="38"/>
  <c r="Z43" i="38" s="1"/>
  <c r="O43" i="38"/>
  <c r="V43" i="38" s="1"/>
  <c r="N45" i="38" l="1"/>
  <c r="Q44" i="38"/>
  <c r="X44" i="38" s="1"/>
  <c r="U44" i="38"/>
  <c r="AB44" i="38" s="1"/>
  <c r="S44" i="38"/>
  <c r="Z44" i="38" s="1"/>
  <c r="O44" i="38"/>
  <c r="V44" i="38" s="1"/>
  <c r="R44" i="38"/>
  <c r="Y44" i="38" s="1"/>
  <c r="T44" i="38"/>
  <c r="AA44" i="38" s="1"/>
  <c r="P44" i="38"/>
  <c r="W44" i="38" s="1"/>
  <c r="AC43" i="38"/>
  <c r="AK43" i="38"/>
  <c r="AG43" i="38"/>
  <c r="AO43" i="38"/>
  <c r="AM43" i="38"/>
  <c r="AE43" i="38"/>
  <c r="AQ43" i="38"/>
  <c r="AI43" i="38"/>
  <c r="AL43" i="38"/>
  <c r="AD43" i="38"/>
  <c r="AH43" i="38"/>
  <c r="AP43" i="38"/>
  <c r="AF43" i="38"/>
  <c r="AN43" i="38"/>
  <c r="AL44" i="38" l="1"/>
  <c r="AD44" i="38"/>
  <c r="AH44" i="38"/>
  <c r="AP44" i="38"/>
  <c r="AF44" i="38"/>
  <c r="AN44" i="38"/>
  <c r="AC44" i="38"/>
  <c r="AK44" i="38"/>
  <c r="AG44" i="38"/>
  <c r="AO44" i="38"/>
  <c r="AQ44" i="38"/>
  <c r="AI44" i="38"/>
  <c r="AM44" i="38"/>
  <c r="AE44" i="38"/>
  <c r="N46" i="38"/>
  <c r="R45" i="38"/>
  <c r="Y45" i="38" s="1"/>
  <c r="U45" i="38"/>
  <c r="AB45" i="38" s="1"/>
  <c r="T45" i="38"/>
  <c r="AA45" i="38" s="1"/>
  <c r="S45" i="38"/>
  <c r="Z45" i="38" s="1"/>
  <c r="O45" i="38"/>
  <c r="V45" i="38" s="1"/>
  <c r="P45" i="38"/>
  <c r="W45" i="38" s="1"/>
  <c r="Q45" i="38"/>
  <c r="X45" i="38" s="1"/>
  <c r="AN45" i="38" l="1"/>
  <c r="AF45" i="38"/>
  <c r="AM45" i="38"/>
  <c r="AE45" i="38"/>
  <c r="N47" i="38"/>
  <c r="Q46" i="38"/>
  <c r="X46" i="38" s="1"/>
  <c r="R46" i="38"/>
  <c r="Y46" i="38" s="1"/>
  <c r="T46" i="38"/>
  <c r="AA46" i="38" s="1"/>
  <c r="S46" i="38"/>
  <c r="Z46" i="38" s="1"/>
  <c r="O46" i="38"/>
  <c r="V46" i="38" s="1"/>
  <c r="U46" i="38"/>
  <c r="AB46" i="38" s="1"/>
  <c r="P46" i="38"/>
  <c r="W46" i="38" s="1"/>
  <c r="AL45" i="38"/>
  <c r="AD45" i="38"/>
  <c r="AG45" i="38"/>
  <c r="AO45" i="38"/>
  <c r="AH45" i="38"/>
  <c r="AP45" i="38"/>
  <c r="AC45" i="38"/>
  <c r="AK45" i="38"/>
  <c r="AI45" i="38"/>
  <c r="AQ45" i="38"/>
  <c r="AD46" i="38" l="1"/>
  <c r="AL46" i="38"/>
  <c r="AI46" i="38"/>
  <c r="AQ46" i="38"/>
  <c r="AH46" i="38"/>
  <c r="AP46" i="38"/>
  <c r="N48" i="38"/>
  <c r="R47" i="38"/>
  <c r="Y47" i="38" s="1"/>
  <c r="Q47" i="38"/>
  <c r="X47" i="38" s="1"/>
  <c r="T47" i="38"/>
  <c r="AA47" i="38" s="1"/>
  <c r="P47" i="38"/>
  <c r="W47" i="38" s="1"/>
  <c r="S47" i="38"/>
  <c r="Z47" i="38" s="1"/>
  <c r="O47" i="38"/>
  <c r="V47" i="38" s="1"/>
  <c r="U47" i="38"/>
  <c r="AB47" i="38" s="1"/>
  <c r="AC46" i="38"/>
  <c r="AK46" i="38"/>
  <c r="AM46" i="38"/>
  <c r="AE46" i="38"/>
  <c r="AG46" i="38"/>
  <c r="AO46" i="38"/>
  <c r="AN46" i="38"/>
  <c r="AF46" i="38"/>
  <c r="AI47" i="38" l="1"/>
  <c r="AQ47" i="38"/>
  <c r="AC47" i="38"/>
  <c r="AK47" i="38"/>
  <c r="AD47" i="38"/>
  <c r="AL47" i="38"/>
  <c r="AM47" i="38"/>
  <c r="AE47" i="38"/>
  <c r="AH47" i="38"/>
  <c r="AP47" i="38"/>
  <c r="N49" i="38"/>
  <c r="S48" i="38"/>
  <c r="Z48" i="38" s="1"/>
  <c r="P48" i="38"/>
  <c r="W48" i="38" s="1"/>
  <c r="T48" i="38"/>
  <c r="AA48" i="38" s="1"/>
  <c r="R48" i="38"/>
  <c r="Y48" i="38" s="1"/>
  <c r="O48" i="38"/>
  <c r="V48" i="38" s="1"/>
  <c r="Q48" i="38"/>
  <c r="X48" i="38" s="1"/>
  <c r="U48" i="38"/>
  <c r="AB48" i="38" s="1"/>
  <c r="AG47" i="38"/>
  <c r="AO47" i="38"/>
  <c r="AN47" i="38"/>
  <c r="AF47" i="38"/>
  <c r="AK48" i="38" l="1"/>
  <c r="AC48" i="38"/>
  <c r="AD48" i="38"/>
  <c r="AL48" i="38"/>
  <c r="AN48" i="38"/>
  <c r="AF48" i="38"/>
  <c r="AH48" i="38"/>
  <c r="AP48" i="38"/>
  <c r="AI48" i="38"/>
  <c r="AQ48" i="38"/>
  <c r="AO48" i="38"/>
  <c r="AG48" i="38"/>
  <c r="N50" i="38"/>
  <c r="R49" i="38"/>
  <c r="Y49" i="38" s="1"/>
  <c r="Q49" i="38"/>
  <c r="X49" i="38" s="1"/>
  <c r="P49" i="38"/>
  <c r="W49" i="38" s="1"/>
  <c r="T49" i="38"/>
  <c r="AA49" i="38" s="1"/>
  <c r="S49" i="38"/>
  <c r="Z49" i="38" s="1"/>
  <c r="O49" i="38"/>
  <c r="V49" i="38" s="1"/>
  <c r="U49" i="38"/>
  <c r="AB49" i="38" s="1"/>
  <c r="AM48" i="38"/>
  <c r="AE48" i="38"/>
  <c r="AD49" i="38" l="1"/>
  <c r="AL49" i="38"/>
  <c r="AN49" i="38"/>
  <c r="AF49" i="38"/>
  <c r="N51" i="38"/>
  <c r="S50" i="38"/>
  <c r="Z50" i="38" s="1"/>
  <c r="R50" i="38"/>
  <c r="Y50" i="38" s="1"/>
  <c r="U50" i="38"/>
  <c r="AB50" i="38" s="1"/>
  <c r="P50" i="38"/>
  <c r="W50" i="38" s="1"/>
  <c r="T50" i="38"/>
  <c r="AA50" i="38" s="1"/>
  <c r="O50" i="38"/>
  <c r="V50" i="38" s="1"/>
  <c r="Q50" i="38"/>
  <c r="X50" i="38" s="1"/>
  <c r="AK49" i="38"/>
  <c r="AC49" i="38"/>
  <c r="AE49" i="38"/>
  <c r="AM49" i="38"/>
  <c r="AO49" i="38"/>
  <c r="AG49" i="38"/>
  <c r="AI49" i="38"/>
  <c r="AQ49" i="38"/>
  <c r="AH49" i="38"/>
  <c r="AP49" i="38"/>
  <c r="AP50" i="38" l="1"/>
  <c r="AH50" i="38"/>
  <c r="AD50" i="38"/>
  <c r="AL50" i="38"/>
  <c r="AC50" i="38"/>
  <c r="AK50" i="38"/>
  <c r="AI50" i="38"/>
  <c r="AQ50" i="38"/>
  <c r="AN50" i="38"/>
  <c r="AF50" i="38"/>
  <c r="AE50" i="38"/>
  <c r="AM50" i="38"/>
  <c r="AO50" i="38"/>
  <c r="AG50" i="38"/>
  <c r="N52" i="38"/>
  <c r="T51" i="38"/>
  <c r="AA51" i="38" s="1"/>
  <c r="O51" i="38"/>
  <c r="V51" i="38" s="1"/>
  <c r="Q51" i="38"/>
  <c r="X51" i="38" s="1"/>
  <c r="S51" i="38"/>
  <c r="Z51" i="38" s="1"/>
  <c r="R51" i="38"/>
  <c r="Y51" i="38" s="1"/>
  <c r="P51" i="38"/>
  <c r="W51" i="38" s="1"/>
  <c r="U51" i="38"/>
  <c r="AB51" i="38" s="1"/>
  <c r="AP51" i="38" l="1"/>
  <c r="AH51" i="38"/>
  <c r="AI51" i="38"/>
  <c r="AQ51" i="38"/>
  <c r="N53" i="38"/>
  <c r="S52" i="38"/>
  <c r="Z52" i="38" s="1"/>
  <c r="R52" i="38"/>
  <c r="Y52" i="38" s="1"/>
  <c r="U52" i="38"/>
  <c r="AB52" i="38" s="1"/>
  <c r="P52" i="38"/>
  <c r="W52" i="38" s="1"/>
  <c r="T52" i="38"/>
  <c r="AA52" i="38" s="1"/>
  <c r="O52" i="38"/>
  <c r="V52" i="38" s="1"/>
  <c r="Q52" i="38"/>
  <c r="X52" i="38" s="1"/>
  <c r="AD51" i="38"/>
  <c r="AL51" i="38"/>
  <c r="AO51" i="38"/>
  <c r="AG51" i="38"/>
  <c r="AE51" i="38"/>
  <c r="AM51" i="38"/>
  <c r="AN51" i="38"/>
  <c r="AF51" i="38"/>
  <c r="AC51" i="38"/>
  <c r="AK51" i="38"/>
  <c r="AE52" i="38" l="1"/>
  <c r="AM52" i="38"/>
  <c r="AP52" i="38"/>
  <c r="AH52" i="38"/>
  <c r="AF52" i="38"/>
  <c r="AN52" i="38"/>
  <c r="AI52" i="38"/>
  <c r="AQ52" i="38"/>
  <c r="AO52" i="38"/>
  <c r="AG52" i="38"/>
  <c r="AK52" i="38"/>
  <c r="AC52" i="38"/>
  <c r="AD52" i="38"/>
  <c r="AL52" i="38"/>
  <c r="N54" i="38"/>
  <c r="T53" i="38"/>
  <c r="AA53" i="38" s="1"/>
  <c r="S53" i="38"/>
  <c r="Z53" i="38" s="1"/>
  <c r="U53" i="38"/>
  <c r="AB53" i="38" s="1"/>
  <c r="P53" i="38"/>
  <c r="W53" i="38" s="1"/>
  <c r="O53" i="38"/>
  <c r="V53" i="38" s="1"/>
  <c r="R53" i="38"/>
  <c r="Y53" i="38" s="1"/>
  <c r="Q53" i="38"/>
  <c r="X53" i="38" s="1"/>
  <c r="AE53" i="38" l="1"/>
  <c r="AM53" i="38"/>
  <c r="N55" i="38"/>
  <c r="U54" i="38"/>
  <c r="AB54" i="38" s="1"/>
  <c r="Q54" i="38"/>
  <c r="X54" i="38" s="1"/>
  <c r="P54" i="38"/>
  <c r="W54" i="38" s="1"/>
  <c r="T54" i="38"/>
  <c r="AA54" i="38" s="1"/>
  <c r="S54" i="38"/>
  <c r="Z54" i="38" s="1"/>
  <c r="R54" i="38"/>
  <c r="Y54" i="38" s="1"/>
  <c r="O54" i="38"/>
  <c r="V54" i="38" s="1"/>
  <c r="AK53" i="38"/>
  <c r="AC53" i="38"/>
  <c r="AP53" i="38"/>
  <c r="AH53" i="38"/>
  <c r="AD53" i="38"/>
  <c r="AL53" i="38"/>
  <c r="AI53" i="38"/>
  <c r="AQ53" i="38"/>
  <c r="AF53" i="38"/>
  <c r="AN53" i="38"/>
  <c r="AO53" i="38"/>
  <c r="AG53" i="38"/>
  <c r="AK54" i="38" l="1"/>
  <c r="AC54" i="38"/>
  <c r="AP54" i="38"/>
  <c r="AH54" i="38"/>
  <c r="AQ54" i="38"/>
  <c r="AI54" i="38"/>
  <c r="AF54" i="38"/>
  <c r="AN54" i="38"/>
  <c r="AE54" i="38"/>
  <c r="AM54" i="38"/>
  <c r="N56" i="38"/>
  <c r="U55" i="38"/>
  <c r="AB55" i="38" s="1"/>
  <c r="T55" i="38"/>
  <c r="AA55" i="38" s="1"/>
  <c r="S55" i="38"/>
  <c r="Z55" i="38" s="1"/>
  <c r="Q55" i="38"/>
  <c r="X55" i="38" s="1"/>
  <c r="P55" i="38"/>
  <c r="W55" i="38" s="1"/>
  <c r="R55" i="38"/>
  <c r="Y55" i="38" s="1"/>
  <c r="O55" i="38"/>
  <c r="V55" i="38" s="1"/>
  <c r="AO54" i="38"/>
  <c r="AG54" i="38"/>
  <c r="AD54" i="38"/>
  <c r="AL54" i="38"/>
  <c r="AL55" i="38" l="1"/>
  <c r="AD55" i="38"/>
  <c r="AP55" i="38"/>
  <c r="AH55" i="38"/>
  <c r="AQ55" i="38"/>
  <c r="AI55" i="38"/>
  <c r="AE55" i="38"/>
  <c r="AM55" i="38"/>
  <c r="AK55" i="38"/>
  <c r="AC55" i="38"/>
  <c r="AG55" i="38"/>
  <c r="AO55" i="38"/>
  <c r="U56" i="38"/>
  <c r="AB56" i="38" s="1"/>
  <c r="T56" i="38"/>
  <c r="AA56" i="38" s="1"/>
  <c r="S56" i="38"/>
  <c r="Z56" i="38" s="1"/>
  <c r="R56" i="38"/>
  <c r="Y56" i="38" s="1"/>
  <c r="P56" i="38"/>
  <c r="W56" i="38" s="1"/>
  <c r="O56" i="38"/>
  <c r="V56" i="38" s="1"/>
  <c r="Q56" i="38"/>
  <c r="X56" i="38" s="1"/>
  <c r="AF55" i="38"/>
  <c r="AN55" i="38"/>
  <c r="AG56" i="38" l="1"/>
  <c r="AO56" i="38"/>
  <c r="AF56" i="38"/>
  <c r="AN56" i="38"/>
  <c r="AQ56" i="38"/>
  <c r="AI56" i="38"/>
  <c r="AP56" i="38"/>
  <c r="AH56" i="38"/>
  <c r="AE56" i="38"/>
  <c r="AM56" i="38"/>
  <c r="AK56" i="38"/>
  <c r="AC56" i="38"/>
  <c r="AL56" i="38"/>
  <c r="AD56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4434DE-A6B6-4D05-9C74-0D5272635B45}" keepAlive="1" name="クエリ - テーブル1" description="ブック内の 'テーブル1' クエリへの接続です。" type="5" refreshedVersion="6" background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<sst xmlns="http://schemas.openxmlformats.org/spreadsheetml/2006/main" count="827" uniqueCount="241">
  <si>
    <t>ポアソン比</t>
    <rPh sb="4" eb="5">
      <t>ヒ</t>
    </rPh>
    <phoneticPr fontId="1"/>
  </si>
  <si>
    <t>線膨張係数</t>
    <rPh sb="0" eb="5">
      <t>センボウチョウケイスウ</t>
    </rPh>
    <phoneticPr fontId="1"/>
  </si>
  <si>
    <t>ヤング率</t>
    <rPh sb="3" eb="4">
      <t>リツ</t>
    </rPh>
    <phoneticPr fontId="1"/>
  </si>
  <si>
    <t>はめあい径</t>
    <rPh sb="4" eb="5">
      <t>ケイ</t>
    </rPh>
    <phoneticPr fontId="1"/>
  </si>
  <si>
    <t>Assy</t>
    <phoneticPr fontId="1"/>
  </si>
  <si>
    <t>nor</t>
    <phoneticPr fontId="1"/>
  </si>
  <si>
    <t>min</t>
    <phoneticPr fontId="1"/>
  </si>
  <si>
    <t>max</t>
    <phoneticPr fontId="1"/>
  </si>
  <si>
    <t>材料</t>
    <rPh sb="0" eb="2">
      <t>ザイリョウ</t>
    </rPh>
    <phoneticPr fontId="1"/>
  </si>
  <si>
    <t>ポアソン比[-]</t>
  </si>
  <si>
    <t>線膨張係数[10^-6/K]</t>
  </si>
  <si>
    <t>ADC12</t>
    <phoneticPr fontId="1"/>
  </si>
  <si>
    <t>降伏点(耐力)[MPa]</t>
    <phoneticPr fontId="1"/>
  </si>
  <si>
    <t>外形[mm]</t>
    <rPh sb="0" eb="2">
      <t>ガイケイ</t>
    </rPh>
    <phoneticPr fontId="1"/>
  </si>
  <si>
    <t>Material Name</t>
    <phoneticPr fontId="1"/>
  </si>
  <si>
    <t>Poisson's Ratio[-]</t>
    <phoneticPr fontId="1"/>
  </si>
  <si>
    <t>Linear Expansion Coefficient[10^-6/K]</t>
    <phoneticPr fontId="1"/>
  </si>
  <si>
    <t>材料名</t>
    <rPh sb="0" eb="2">
      <t>ザイリョウ</t>
    </rPh>
    <rPh sb="2" eb="3">
      <t>メイ</t>
    </rPh>
    <phoneticPr fontId="1"/>
  </si>
  <si>
    <t>Yield Point[MPa]</t>
    <phoneticPr fontId="1"/>
  </si>
  <si>
    <t>内径[mm]</t>
    <phoneticPr fontId="1"/>
  </si>
  <si>
    <t>S45C</t>
    <phoneticPr fontId="1"/>
  </si>
  <si>
    <t>Young's Modulus[MPa]</t>
    <phoneticPr fontId="1"/>
  </si>
  <si>
    <t>圧入力[kN]</t>
    <rPh sb="0" eb="1">
      <t>アツ</t>
    </rPh>
    <rPh sb="1" eb="3">
      <t>ニュウリョク</t>
    </rPh>
    <phoneticPr fontId="1"/>
  </si>
  <si>
    <t>内径[mm]</t>
    <rPh sb="0" eb="2">
      <t>ナイケイ</t>
    </rPh>
    <phoneticPr fontId="1"/>
  </si>
  <si>
    <t>Outer Part</t>
    <phoneticPr fontId="1"/>
  </si>
  <si>
    <t>Inner Part</t>
    <phoneticPr fontId="1"/>
  </si>
  <si>
    <t>SCM435</t>
    <phoneticPr fontId="1"/>
  </si>
  <si>
    <t>ADC12</t>
  </si>
  <si>
    <t>押切荷重[kN]</t>
    <rPh sb="0" eb="2">
      <t>オシキリ</t>
    </rPh>
    <rPh sb="2" eb="4">
      <t>カジュウ</t>
    </rPh>
    <phoneticPr fontId="1"/>
  </si>
  <si>
    <t>押切荷重面圧安全率[-]</t>
    <rPh sb="0" eb="2">
      <t>オシキリ</t>
    </rPh>
    <rPh sb="2" eb="4">
      <t>カジュウ</t>
    </rPh>
    <rPh sb="4" eb="5">
      <t>メン</t>
    </rPh>
    <rPh sb="5" eb="6">
      <t>アツ</t>
    </rPh>
    <rPh sb="6" eb="9">
      <t>アンゼンリツ</t>
    </rPh>
    <phoneticPr fontId="1"/>
  </si>
  <si>
    <t>押し当て部面圧[MPa]</t>
    <rPh sb="0" eb="1">
      <t>オ</t>
    </rPh>
    <rPh sb="2" eb="3">
      <t>ア</t>
    </rPh>
    <rPh sb="4" eb="5">
      <t>ブ</t>
    </rPh>
    <rPh sb="5" eb="6">
      <t>メン</t>
    </rPh>
    <rPh sb="6" eb="7">
      <t>アツ</t>
    </rPh>
    <phoneticPr fontId="1"/>
  </si>
  <si>
    <t>縦弾性係数[MPa]</t>
    <phoneticPr fontId="1"/>
  </si>
  <si>
    <t>input</t>
    <phoneticPr fontId="1"/>
  </si>
  <si>
    <t>auto</t>
    <phoneticPr fontId="1"/>
  </si>
  <si>
    <t>result</t>
    <phoneticPr fontId="1"/>
  </si>
  <si>
    <t>C1100</t>
    <phoneticPr fontId="1"/>
  </si>
  <si>
    <t>S45C</t>
  </si>
  <si>
    <t>締め代(常温)[mm]</t>
    <rPh sb="0" eb="1">
      <t>シ</t>
    </rPh>
    <rPh sb="2" eb="3">
      <t>シロ</t>
    </rPh>
    <phoneticPr fontId="1"/>
  </si>
  <si>
    <t>温度[℃]</t>
    <rPh sb="0" eb="2">
      <t>オンド</t>
    </rPh>
    <phoneticPr fontId="1"/>
  </si>
  <si>
    <t>rin</t>
    <phoneticPr fontId="1"/>
  </si>
  <si>
    <t>rout</t>
    <phoneticPr fontId="1"/>
  </si>
  <si>
    <t>P</t>
    <phoneticPr fontId="1"/>
  </si>
  <si>
    <t>r</t>
    <phoneticPr fontId="1"/>
  </si>
  <si>
    <t>σθ</t>
    <phoneticPr fontId="1"/>
  </si>
  <si>
    <t>http://todoroki.arrow.jp/cylinder.pdf</t>
  </si>
  <si>
    <t>https://seihin-sekkei.com/calculation-tool/internal_pressure_thick_cylinder/</t>
  </si>
  <si>
    <t>円周方向応力(内径部)[MPa]</t>
    <rPh sb="0" eb="4">
      <t>エンシュウホウコウ</t>
    </rPh>
    <rPh sb="4" eb="6">
      <t>オウリョク</t>
    </rPh>
    <rPh sb="7" eb="10">
      <t>ナイケイブ</t>
    </rPh>
    <phoneticPr fontId="1"/>
  </si>
  <si>
    <t>外圧p2</t>
    <rPh sb="0" eb="2">
      <t>ガイアツ</t>
    </rPh>
    <phoneticPr fontId="1"/>
  </si>
  <si>
    <t>内圧p1</t>
    <rPh sb="0" eb="2">
      <t>ナイアツ</t>
    </rPh>
    <phoneticPr fontId="1"/>
  </si>
  <si>
    <t>https://em.ten-navi.com/dictionary/6/</t>
  </si>
  <si>
    <t>https://www.nsk.com/jp/common/data/ctrgPdf/split/728/nsk_cat_728h_62-85.pdf</t>
  </si>
  <si>
    <t>半径方向応力[MPa]</t>
    <phoneticPr fontId="1"/>
  </si>
  <si>
    <t>角加速度[rad/s2]</t>
    <rPh sb="0" eb="4">
      <t>カクカソクド</t>
    </rPh>
    <phoneticPr fontId="1"/>
  </si>
  <si>
    <t>外力合力[N]</t>
    <rPh sb="0" eb="2">
      <t>ガイリョク</t>
    </rPh>
    <rPh sb="2" eb="4">
      <t>ゴウリョク</t>
    </rPh>
    <phoneticPr fontId="1"/>
  </si>
  <si>
    <t>軸方向加速度[G]</t>
    <rPh sb="0" eb="3">
      <t>ジクホウコウ</t>
    </rPh>
    <rPh sb="3" eb="6">
      <t>カソクド</t>
    </rPh>
    <phoneticPr fontId="1"/>
  </si>
  <si>
    <t>その他軸方向外力[N]</t>
    <rPh sb="2" eb="3">
      <t>タ</t>
    </rPh>
    <rPh sb="3" eb="6">
      <t>ジクホウコウ</t>
    </rPh>
    <rPh sb="6" eb="8">
      <t>ガイリョク</t>
    </rPh>
    <phoneticPr fontId="1"/>
  </si>
  <si>
    <t>その他円周方向外力[N]</t>
    <rPh sb="2" eb="3">
      <t>タ</t>
    </rPh>
    <rPh sb="3" eb="7">
      <t>エンシュウホウコウ</t>
    </rPh>
    <rPh sb="7" eb="9">
      <t>ガイリョク</t>
    </rPh>
    <phoneticPr fontId="1"/>
  </si>
  <si>
    <t>step</t>
    <phoneticPr fontId="1"/>
  </si>
  <si>
    <t>締め代[mm]</t>
    <phoneticPr fontId="1"/>
  </si>
  <si>
    <t>半径方向応力[MPa]</t>
    <rPh sb="0" eb="4">
      <t>ハンケイホウコウ</t>
    </rPh>
    <rPh sb="4" eb="6">
      <t>オウリョク</t>
    </rPh>
    <phoneticPr fontId="1"/>
  </si>
  <si>
    <t>圧入力[kN]</t>
    <rPh sb="0" eb="3">
      <t>アツニュウリョク</t>
    </rPh>
    <phoneticPr fontId="1"/>
  </si>
  <si>
    <t>降伏点</t>
    <phoneticPr fontId="1"/>
  </si>
  <si>
    <t>円周方向応力[MPa]</t>
    <phoneticPr fontId="1"/>
  </si>
  <si>
    <t>締め代</t>
    <rPh sb="0" eb="1">
      <t>シ</t>
    </rPh>
    <rPh sb="2" eb="3">
      <t>シロ</t>
    </rPh>
    <phoneticPr fontId="1"/>
  </si>
  <si>
    <t>半径方向応力min</t>
    <rPh sb="0" eb="2">
      <t>ハンケイ</t>
    </rPh>
    <rPh sb="2" eb="4">
      <t>ホウコウ</t>
    </rPh>
    <rPh sb="4" eb="6">
      <t>オウリョク</t>
    </rPh>
    <phoneticPr fontId="1"/>
  </si>
  <si>
    <t>半径方向応力nor</t>
    <rPh sb="0" eb="2">
      <t>ハンケイホウコウ2</t>
    </rPh>
    <phoneticPr fontId="1"/>
  </si>
  <si>
    <t>半径方向応力max</t>
    <rPh sb="0" eb="2">
      <t>ハンケイホウコウ22</t>
    </rPh>
    <phoneticPr fontId="1"/>
  </si>
  <si>
    <t>圧入力min</t>
    <rPh sb="0" eb="3">
      <t>アツニュウリョク</t>
    </rPh>
    <phoneticPr fontId="1"/>
  </si>
  <si>
    <t>圧入力nor</t>
    <rPh sb="0" eb="3">
      <t>アツニュウリョク2</t>
    </rPh>
    <phoneticPr fontId="1"/>
  </si>
  <si>
    <t>圧入力max</t>
    <rPh sb="0" eb="3">
      <t>アツニュウリョク3</t>
    </rPh>
    <phoneticPr fontId="1"/>
  </si>
  <si>
    <t>降伏点inner</t>
    <rPh sb="0" eb="3">
      <t>コウフクテン</t>
    </rPh>
    <phoneticPr fontId="1"/>
  </si>
  <si>
    <t>降伏点outer</t>
    <rPh sb="0" eb="3">
      <t>コウフクテン</t>
    </rPh>
    <phoneticPr fontId="1"/>
  </si>
  <si>
    <t>円周方向応力inner</t>
    <phoneticPr fontId="1"/>
  </si>
  <si>
    <t>円周方向応力outer</t>
    <phoneticPr fontId="1"/>
  </si>
  <si>
    <t>inner応力[MPa]</t>
    <rPh sb="5" eb="7">
      <t>オウリョク</t>
    </rPh>
    <phoneticPr fontId="1"/>
  </si>
  <si>
    <t>締め代：Δ-30℃</t>
    <phoneticPr fontId="1"/>
  </si>
  <si>
    <t>締め代：Δ-20℃</t>
    <rPh sb="0" eb="1">
      <t>シ</t>
    </rPh>
    <rPh sb="2" eb="3">
      <t>シロ</t>
    </rPh>
    <phoneticPr fontId="1"/>
  </si>
  <si>
    <t>締め代：Δ-10℃</t>
    <rPh sb="0" eb="1">
      <t>シ</t>
    </rPh>
    <rPh sb="2" eb="3">
      <t>シロ</t>
    </rPh>
    <phoneticPr fontId="1"/>
  </si>
  <si>
    <t>締め代：Δ0℃</t>
    <rPh sb="0" eb="1">
      <t>シ</t>
    </rPh>
    <rPh sb="2" eb="3">
      <t>シロ</t>
    </rPh>
    <phoneticPr fontId="1"/>
  </si>
  <si>
    <t>締め代：Δ+10℃</t>
    <rPh sb="0" eb="1">
      <t>シ</t>
    </rPh>
    <rPh sb="2" eb="3">
      <t>シロ</t>
    </rPh>
    <phoneticPr fontId="1"/>
  </si>
  <si>
    <t>締め代：Δ+20℃</t>
    <rPh sb="0" eb="1">
      <t>シ</t>
    </rPh>
    <rPh sb="2" eb="3">
      <t>シロ</t>
    </rPh>
    <phoneticPr fontId="1"/>
  </si>
  <si>
    <t>締め代：Δ+30℃</t>
    <rPh sb="0" eb="1">
      <t>シ</t>
    </rPh>
    <rPh sb="2" eb="3">
      <t>シロ</t>
    </rPh>
    <phoneticPr fontId="1"/>
  </si>
  <si>
    <t>半径方向応力:Δ-30℃</t>
    <phoneticPr fontId="1"/>
  </si>
  <si>
    <t>inner応力:Δ-30℃</t>
    <rPh sb="5" eb="7">
      <t>オウリョク</t>
    </rPh>
    <phoneticPr fontId="1"/>
  </si>
  <si>
    <t>半径方向応力:Δ-20℃</t>
    <rPh sb="0" eb="2">
      <t>ハンケイ</t>
    </rPh>
    <rPh sb="2" eb="4">
      <t>ホウコウ</t>
    </rPh>
    <rPh sb="4" eb="6">
      <t>オウリョク</t>
    </rPh>
    <phoneticPr fontId="1"/>
  </si>
  <si>
    <t>半径方向応力:Δ-10℃</t>
    <rPh sb="0" eb="2">
      <t>ハンケイ</t>
    </rPh>
    <rPh sb="2" eb="4">
      <t>ホウコウ</t>
    </rPh>
    <rPh sb="4" eb="6">
      <t>オウリョク</t>
    </rPh>
    <phoneticPr fontId="1"/>
  </si>
  <si>
    <t>半径方向応力:Δ0℃</t>
    <rPh sb="0" eb="2">
      <t>ハンケイ</t>
    </rPh>
    <rPh sb="2" eb="4">
      <t>ホウコウ</t>
    </rPh>
    <rPh sb="4" eb="6">
      <t>オウリョク</t>
    </rPh>
    <phoneticPr fontId="1"/>
  </si>
  <si>
    <t>半径方向応力:Δ+10℃</t>
    <rPh sb="0" eb="2">
      <t>ハンケイ</t>
    </rPh>
    <rPh sb="2" eb="4">
      <t>ホウコウ</t>
    </rPh>
    <rPh sb="4" eb="6">
      <t>オウリョク</t>
    </rPh>
    <phoneticPr fontId="1"/>
  </si>
  <si>
    <t>半径方向応力:Δ+20℃</t>
    <rPh sb="0" eb="2">
      <t>ハンケイ</t>
    </rPh>
    <rPh sb="2" eb="4">
      <t>ホウコウ</t>
    </rPh>
    <rPh sb="4" eb="6">
      <t>オウリョク</t>
    </rPh>
    <phoneticPr fontId="1"/>
  </si>
  <si>
    <t>半径方向応力:Δ+30℃</t>
    <rPh sb="0" eb="2">
      <t>ハンケイ</t>
    </rPh>
    <rPh sb="2" eb="4">
      <t>ホウコウ</t>
    </rPh>
    <rPh sb="4" eb="6">
      <t>オウリョク</t>
    </rPh>
    <phoneticPr fontId="1"/>
  </si>
  <si>
    <t>inner温度[℃]</t>
    <rPh sb="5" eb="7">
      <t>オンド</t>
    </rPh>
    <phoneticPr fontId="1"/>
  </si>
  <si>
    <t>outer応力[MPa]</t>
    <rPh sb="5" eb="7">
      <t>オウリョク</t>
    </rPh>
    <phoneticPr fontId="1"/>
  </si>
  <si>
    <t>inner応力:Δ-20℃</t>
    <phoneticPr fontId="1"/>
  </si>
  <si>
    <t>inner応力:Δ-10℃</t>
    <rPh sb="5" eb="7">
      <t>オウリョク</t>
    </rPh>
    <phoneticPr fontId="1"/>
  </si>
  <si>
    <t>inner応力:Δ0℃</t>
    <rPh sb="5" eb="7">
      <t>オウリョク</t>
    </rPh>
    <phoneticPr fontId="1"/>
  </si>
  <si>
    <t>inner応力:Δ+10℃</t>
    <rPh sb="5" eb="7">
      <t>オウリョク</t>
    </rPh>
    <phoneticPr fontId="1"/>
  </si>
  <si>
    <t>inner応力:Δ+20℃</t>
    <rPh sb="5" eb="7">
      <t>オウリョク</t>
    </rPh>
    <phoneticPr fontId="1"/>
  </si>
  <si>
    <t>inner応力:Δ+30℃</t>
    <rPh sb="5" eb="7">
      <t>オウリョク</t>
    </rPh>
    <phoneticPr fontId="1"/>
  </si>
  <si>
    <t>outer応力:Δ-30℃</t>
    <rPh sb="5" eb="7">
      <t>オウリョク</t>
    </rPh>
    <phoneticPr fontId="1"/>
  </si>
  <si>
    <t>outer応力:Δ-20℃</t>
    <rPh sb="5" eb="7">
      <t>オウリョク</t>
    </rPh>
    <phoneticPr fontId="1"/>
  </si>
  <si>
    <t>outer応力:Δ-10℃</t>
    <rPh sb="5" eb="7">
      <t>オウリョク</t>
    </rPh>
    <phoneticPr fontId="1"/>
  </si>
  <si>
    <t>outer応力:Δ0℃</t>
    <rPh sb="5" eb="7">
      <t>オウリョク</t>
    </rPh>
    <phoneticPr fontId="1"/>
  </si>
  <si>
    <t>outer応力:Δ+10℃</t>
    <rPh sb="5" eb="7">
      <t>オウリョク</t>
    </rPh>
    <phoneticPr fontId="1"/>
  </si>
  <si>
    <t>outer応力:Δ+20℃</t>
    <rPh sb="5" eb="7">
      <t>オウリョク</t>
    </rPh>
    <phoneticPr fontId="1"/>
  </si>
  <si>
    <t>outer応力:Δ+30℃</t>
    <rPh sb="5" eb="7">
      <t>オウリョク</t>
    </rPh>
    <phoneticPr fontId="1"/>
  </si>
  <si>
    <t>inner降伏点</t>
    <rPh sb="5" eb="8">
      <t>コウフクテン</t>
    </rPh>
    <phoneticPr fontId="1"/>
  </si>
  <si>
    <t>outer降伏点</t>
    <rPh sb="5" eb="8">
      <t>コウフクテン</t>
    </rPh>
    <phoneticPr fontId="1"/>
  </si>
  <si>
    <t>慣性によるトルク[Nm]</t>
    <rPh sb="0" eb="2">
      <t>カンセイ</t>
    </rPh>
    <phoneticPr fontId="1"/>
  </si>
  <si>
    <t>慣性による円周方向外力[N]</t>
    <rPh sb="5" eb="9">
      <t>エンシュウホウコウ</t>
    </rPh>
    <rPh sb="9" eb="11">
      <t>ガイリョク</t>
    </rPh>
    <phoneticPr fontId="1"/>
  </si>
  <si>
    <t>慣性による軸方向外力[N]</t>
    <rPh sb="0" eb="2">
      <t>カンセイ</t>
    </rPh>
    <rPh sb="5" eb="8">
      <t>ジクホウコウ</t>
    </rPh>
    <rPh sb="8" eb="10">
      <t>ガイリョク</t>
    </rPh>
    <phoneticPr fontId="1"/>
  </si>
  <si>
    <t>実質はめあい径[mm]</t>
    <rPh sb="0" eb="2">
      <t>ジッシツ</t>
    </rPh>
    <rPh sb="6" eb="7">
      <t>ケイ</t>
    </rPh>
    <phoneticPr fontId="1"/>
  </si>
  <si>
    <t>圧入時押し当て面積[mm2]</t>
    <rPh sb="0" eb="3">
      <t>アツニュウジ</t>
    </rPh>
    <rPh sb="3" eb="4">
      <t>オ</t>
    </rPh>
    <rPh sb="5" eb="6">
      <t>ア</t>
    </rPh>
    <rPh sb="7" eb="9">
      <t>メンセキ</t>
    </rPh>
    <phoneticPr fontId="1"/>
  </si>
  <si>
    <t>締め代部面積[mm2]</t>
    <rPh sb="0" eb="1">
      <t>シ</t>
    </rPh>
    <rPh sb="2" eb="4">
      <t>シロブ</t>
    </rPh>
    <rPh sb="4" eb="6">
      <t>メンセキ</t>
    </rPh>
    <phoneticPr fontId="1"/>
  </si>
  <si>
    <t>軸方向の締め代部長さ[mm]</t>
    <rPh sb="0" eb="3">
      <t>ジクホウコウ</t>
    </rPh>
    <rPh sb="4" eb="5">
      <t>シ</t>
    </rPh>
    <rPh sb="6" eb="8">
      <t>シロブ</t>
    </rPh>
    <rPh sb="8" eb="9">
      <t>ナガ</t>
    </rPh>
    <phoneticPr fontId="1"/>
  </si>
  <si>
    <t>Assy Basic Parameter</t>
    <phoneticPr fontId="1"/>
  </si>
  <si>
    <t>Inner Part Basic Parameter</t>
    <phoneticPr fontId="1"/>
  </si>
  <si>
    <t>Assembly Dimmensions</t>
    <phoneticPr fontId="1"/>
  </si>
  <si>
    <t>必要押切荷重[kN]</t>
    <rPh sb="0" eb="2">
      <t>ヒツヨウ</t>
    </rPh>
    <rPh sb="2" eb="4">
      <t>オシキリ</t>
    </rPh>
    <rPh sb="4" eb="6">
      <t>カジュウ</t>
    </rPh>
    <phoneticPr fontId="1"/>
  </si>
  <si>
    <t>Outer Part Basic Parameter</t>
    <phoneticPr fontId="1"/>
  </si>
  <si>
    <t>Be Pushed Part Parameter</t>
    <phoneticPr fontId="1"/>
  </si>
  <si>
    <t>Be Pushed Part</t>
    <phoneticPr fontId="1"/>
  </si>
  <si>
    <t>円周方向応力安全率(内径部)[Pa/Pa]</t>
    <rPh sb="0" eb="4">
      <t>エンシュウホウコウ</t>
    </rPh>
    <rPh sb="4" eb="6">
      <t>オウリョク</t>
    </rPh>
    <rPh sb="6" eb="9">
      <t>アンゼンリツ</t>
    </rPh>
    <rPh sb="10" eb="13">
      <t>ナイケイブ</t>
    </rPh>
    <phoneticPr fontId="1"/>
  </si>
  <si>
    <t>半径方向応力安全率[Pa/Pa]</t>
    <rPh sb="6" eb="8">
      <t>アンゼン</t>
    </rPh>
    <rPh sb="8" eb="9">
      <t>リツ</t>
    </rPh>
    <phoneticPr fontId="1"/>
  </si>
  <si>
    <t>回転速度[rpm]</t>
    <rPh sb="0" eb="4">
      <t>カイテンソクド</t>
    </rPh>
    <phoneticPr fontId="1"/>
  </si>
  <si>
    <t>密度[kg/m3]</t>
    <rPh sb="0" eb="2">
      <t>ミツド</t>
    </rPh>
    <phoneticPr fontId="1"/>
  </si>
  <si>
    <t>Density[kg/m3]</t>
    <phoneticPr fontId="1"/>
  </si>
  <si>
    <t>Inner Partのはめあい径変位[mm]</t>
    <rPh sb="15" eb="16">
      <t>ケイ</t>
    </rPh>
    <rPh sb="16" eb="18">
      <t>ヘンイ</t>
    </rPh>
    <phoneticPr fontId="1"/>
  </si>
  <si>
    <t>Outer Partのはめあい径変位[mm]</t>
    <rPh sb="15" eb="16">
      <t>ケイ</t>
    </rPh>
    <rPh sb="16" eb="18">
      <t>ヘンイ</t>
    </rPh>
    <phoneticPr fontId="1"/>
  </si>
  <si>
    <t>減少はめあい径[mm]</t>
    <rPh sb="0" eb="2">
      <t>ゲンショウ</t>
    </rPh>
    <rPh sb="6" eb="7">
      <t>ケイ</t>
    </rPh>
    <phoneticPr fontId="1"/>
  </si>
  <si>
    <t>f6</t>
  </si>
  <si>
    <t>F8</t>
  </si>
  <si>
    <t>すきま公差(max/min)</t>
    <rPh sb="3" eb="5">
      <t>コウサ</t>
    </rPh>
    <phoneticPr fontId="1"/>
  </si>
  <si>
    <t>穴の公差域クラス[μm]</t>
    <phoneticPr fontId="1"/>
  </si>
  <si>
    <t>上公差</t>
    <rPh sb="0" eb="1">
      <t>カミ</t>
    </rPh>
    <rPh sb="1" eb="3">
      <t>コウサ</t>
    </rPh>
    <phoneticPr fontId="1"/>
  </si>
  <si>
    <t>軸の公差域クラス[μm]</t>
    <phoneticPr fontId="1"/>
  </si>
  <si>
    <t>B10</t>
    <phoneticPr fontId="1"/>
  </si>
  <si>
    <t>C9</t>
    <phoneticPr fontId="1"/>
  </si>
  <si>
    <t>C10</t>
    <phoneticPr fontId="1"/>
  </si>
  <si>
    <t>D8</t>
    <phoneticPr fontId="1"/>
  </si>
  <si>
    <t>D9</t>
    <phoneticPr fontId="1"/>
  </si>
  <si>
    <t>D10</t>
    <phoneticPr fontId="1"/>
  </si>
  <si>
    <t>E7</t>
    <phoneticPr fontId="1"/>
  </si>
  <si>
    <t>E8</t>
    <phoneticPr fontId="1"/>
  </si>
  <si>
    <t>E9</t>
  </si>
  <si>
    <t>F6</t>
  </si>
  <si>
    <t>F7</t>
  </si>
  <si>
    <t>G6</t>
  </si>
  <si>
    <t>G7</t>
  </si>
  <si>
    <t>H6</t>
  </si>
  <si>
    <t>H7</t>
  </si>
  <si>
    <t>H8</t>
  </si>
  <si>
    <t>H9</t>
  </si>
  <si>
    <t>H10</t>
  </si>
  <si>
    <t>JS6</t>
  </si>
  <si>
    <t>JS7</t>
  </si>
  <si>
    <t>K6</t>
  </si>
  <si>
    <t>K7</t>
  </si>
  <si>
    <t>M6</t>
  </si>
  <si>
    <t>M7</t>
  </si>
  <si>
    <t>N6</t>
  </si>
  <si>
    <t>N7</t>
  </si>
  <si>
    <t>P6</t>
  </si>
  <si>
    <t>P7</t>
    <phoneticPr fontId="1"/>
  </si>
  <si>
    <t>R7</t>
    <phoneticPr fontId="1"/>
  </si>
  <si>
    <t>S7</t>
    <phoneticPr fontId="1"/>
  </si>
  <si>
    <t>T7</t>
    <phoneticPr fontId="1"/>
  </si>
  <si>
    <t>U7</t>
    <phoneticPr fontId="1"/>
  </si>
  <si>
    <t>X7</t>
    <phoneticPr fontId="1"/>
  </si>
  <si>
    <t>を超え</t>
  </si>
  <si>
    <t>以下</t>
  </si>
  <si>
    <t>b9</t>
    <phoneticPr fontId="1"/>
  </si>
  <si>
    <t>c9</t>
    <phoneticPr fontId="1"/>
  </si>
  <si>
    <t>d8</t>
    <phoneticPr fontId="1"/>
  </si>
  <si>
    <t>d9</t>
    <phoneticPr fontId="1"/>
  </si>
  <si>
    <t>e7</t>
    <phoneticPr fontId="1"/>
  </si>
  <si>
    <t>e8</t>
    <phoneticPr fontId="1"/>
  </si>
  <si>
    <t>e9</t>
  </si>
  <si>
    <t>f7</t>
  </si>
  <si>
    <t>f8</t>
  </si>
  <si>
    <t>g5</t>
  </si>
  <si>
    <t>g6</t>
  </si>
  <si>
    <t>h5</t>
  </si>
  <si>
    <t>h6</t>
  </si>
  <si>
    <t>h7</t>
  </si>
  <si>
    <t>h8</t>
  </si>
  <si>
    <t>h9</t>
  </si>
  <si>
    <t>js5</t>
  </si>
  <si>
    <t>js6</t>
  </si>
  <si>
    <t>js7</t>
  </si>
  <si>
    <t>k5</t>
  </si>
  <si>
    <t>k6</t>
  </si>
  <si>
    <t>m5</t>
  </si>
  <si>
    <t>m6</t>
  </si>
  <si>
    <t>n6</t>
  </si>
  <si>
    <t>p6</t>
  </si>
  <si>
    <t>r6</t>
    <phoneticPr fontId="1"/>
  </si>
  <si>
    <t>s6</t>
  </si>
  <si>
    <t>t6</t>
    <phoneticPr fontId="1"/>
  </si>
  <si>
    <t>u6</t>
    <phoneticPr fontId="1"/>
  </si>
  <si>
    <t>x6</t>
    <phoneticPr fontId="1"/>
  </si>
  <si>
    <t>-</t>
    <phoneticPr fontId="1"/>
  </si>
  <si>
    <t>-</t>
  </si>
  <si>
    <t>下公差</t>
    <rPh sb="0" eb="1">
      <t>シタ</t>
    </rPh>
    <rPh sb="1" eb="3">
      <t>コウサ</t>
    </rPh>
    <phoneticPr fontId="1"/>
  </si>
  <si>
    <t>はめあい公差の場合の公差[mm]</t>
    <rPh sb="4" eb="6">
      <t>コウサ</t>
    </rPh>
    <rPh sb="7" eb="9">
      <t>バアイ</t>
    </rPh>
    <rPh sb="10" eb="12">
      <t>コウサ</t>
    </rPh>
    <phoneticPr fontId="1"/>
  </si>
  <si>
    <t>外形公差クラス(ext.h8...)
*使用しない場合は無記入</t>
    <rPh sb="0" eb="2">
      <t>ガイケイ</t>
    </rPh>
    <rPh sb="2" eb="4">
      <t>コウサ</t>
    </rPh>
    <rPh sb="20" eb="22">
      <t>シヨウ</t>
    </rPh>
    <rPh sb="25" eb="27">
      <t>バアイ</t>
    </rPh>
    <rPh sb="28" eb="31">
      <t>ムキニュウ</t>
    </rPh>
    <phoneticPr fontId="1"/>
  </si>
  <si>
    <t>外径公差(入力)[mm]</t>
    <rPh sb="0" eb="4">
      <t>ガイケイコウサ</t>
    </rPh>
    <rPh sb="5" eb="7">
      <t>ニュウリョク</t>
    </rPh>
    <phoneticPr fontId="1"/>
  </si>
  <si>
    <t>外形公差(出力)[mm]</t>
    <rPh sb="5" eb="7">
      <t>シュツリョク</t>
    </rPh>
    <phoneticPr fontId="1"/>
  </si>
  <si>
    <t>外形公差クラス(ext.H8...)
*使用しない場合は無記入</t>
    <rPh sb="0" eb="2">
      <t>ガイケイ</t>
    </rPh>
    <rPh sb="2" eb="4">
      <t>コウサ</t>
    </rPh>
    <rPh sb="20" eb="22">
      <t>シヨウ</t>
    </rPh>
    <rPh sb="25" eb="27">
      <t>バアイ</t>
    </rPh>
    <rPh sb="28" eb="31">
      <t>ムキニュウ</t>
    </rPh>
    <phoneticPr fontId="1"/>
  </si>
  <si>
    <t>内径公差(入力)[mm]</t>
    <rPh sb="0" eb="2">
      <t>ナイケイ</t>
    </rPh>
    <rPh sb="2" eb="4">
      <t>コウサ</t>
    </rPh>
    <rPh sb="5" eb="7">
      <t>ニュウリョク</t>
    </rPh>
    <phoneticPr fontId="1"/>
  </si>
  <si>
    <t>内径公差(出力)[mm]</t>
    <rPh sb="0" eb="2">
      <t>ナイケイ</t>
    </rPh>
    <rPh sb="2" eb="4">
      <t>コウサ</t>
    </rPh>
    <rPh sb="5" eb="7">
      <t>シュツリョク</t>
    </rPh>
    <phoneticPr fontId="1"/>
  </si>
  <si>
    <t>A5052</t>
    <phoneticPr fontId="1"/>
  </si>
  <si>
    <t>A6062</t>
    <phoneticPr fontId="1"/>
  </si>
  <si>
    <t>SS400</t>
    <phoneticPr fontId="1"/>
  </si>
  <si>
    <t>材料分類</t>
    <rPh sb="0" eb="2">
      <t>ザイリョウ</t>
    </rPh>
    <rPh sb="2" eb="4">
      <t>ブンルイ</t>
    </rPh>
    <phoneticPr fontId="1"/>
  </si>
  <si>
    <t>Iron</t>
    <phoneticPr fontId="1"/>
  </si>
  <si>
    <t>Aluminum</t>
    <phoneticPr fontId="1"/>
  </si>
  <si>
    <t>Copper</t>
    <phoneticPr fontId="1"/>
  </si>
  <si>
    <t>http://engineering-web.com/plate_ja/CircularPlateRotDisk/</t>
    <phoneticPr fontId="1"/>
  </si>
  <si>
    <t>遠心力のやつ</t>
    <rPh sb="0" eb="3">
      <t>エンシンリョク</t>
    </rPh>
    <phoneticPr fontId="1"/>
  </si>
  <si>
    <t>保持物重量[kg]</t>
    <rPh sb="0" eb="2">
      <t>ホジ</t>
    </rPh>
    <rPh sb="2" eb="3">
      <t>ブツ</t>
    </rPh>
    <rPh sb="3" eb="5">
      <t>ジュウリョウ</t>
    </rPh>
    <phoneticPr fontId="1"/>
  </si>
  <si>
    <t>円周の締め代部長さ割合[-]</t>
    <rPh sb="0" eb="2">
      <t>エンシュウ</t>
    </rPh>
    <rPh sb="3" eb="4">
      <t>シ</t>
    </rPh>
    <rPh sb="5" eb="7">
      <t>シロブ</t>
    </rPh>
    <rPh sb="7" eb="8">
      <t>ナガ</t>
    </rPh>
    <rPh sb="9" eb="11">
      <t>ワリアイ</t>
    </rPh>
    <phoneticPr fontId="1"/>
  </si>
  <si>
    <t>慣性モーメント[kg m2]</t>
    <rPh sb="0" eb="2">
      <t>カンセイ</t>
    </rPh>
    <phoneticPr fontId="1"/>
  </si>
  <si>
    <t>被動部品</t>
    <rPh sb="0" eb="2">
      <t>ヒドウ</t>
    </rPh>
    <rPh sb="2" eb="4">
      <t>ブヒン</t>
    </rPh>
    <phoneticPr fontId="1"/>
  </si>
  <si>
    <t>Inner Part</t>
  </si>
  <si>
    <t>周方向の外力</t>
    <rPh sb="0" eb="1">
      <t>シュウ</t>
    </rPh>
    <rPh sb="1" eb="3">
      <t>ホウコウ</t>
    </rPh>
    <rPh sb="4" eb="6">
      <t>ガイリョク</t>
    </rPh>
    <phoneticPr fontId="1"/>
  </si>
  <si>
    <t>軸方向の外力</t>
    <rPh sb="0" eb="1">
      <t>ジク</t>
    </rPh>
    <rPh sb="1" eb="3">
      <t>ホウコウ</t>
    </rPh>
    <rPh sb="4" eb="6">
      <t>ガイリョク</t>
    </rPh>
    <phoneticPr fontId="1"/>
  </si>
  <si>
    <t>径方向の外力</t>
    <rPh sb="0" eb="1">
      <t>ケイ</t>
    </rPh>
    <rPh sb="1" eb="3">
      <t>ホウコウ</t>
    </rPh>
    <rPh sb="4" eb="6">
      <t>ガイリョク</t>
    </rPh>
    <phoneticPr fontId="1"/>
  </si>
  <si>
    <t>温度</t>
    <rPh sb="0" eb="2">
      <t>オンド</t>
    </rPh>
    <phoneticPr fontId="1"/>
  </si>
  <si>
    <t>径方向応力(常温)[MPa]</t>
    <phoneticPr fontId="1"/>
  </si>
  <si>
    <t>径方向応力安全率(常温)[Pa/Pa]</t>
    <rPh sb="0" eb="1">
      <t>ケイ</t>
    </rPh>
    <rPh sb="1" eb="3">
      <t>ホウコウ</t>
    </rPh>
    <rPh sb="3" eb="5">
      <t>オウリョク</t>
    </rPh>
    <rPh sb="5" eb="7">
      <t>アンゼン</t>
    </rPh>
    <rPh sb="7" eb="8">
      <t>リツ</t>
    </rPh>
    <rPh sb="9" eb="11">
      <t>ジョウオン</t>
    </rPh>
    <phoneticPr fontId="1"/>
  </si>
  <si>
    <t>抜去力[kN]</t>
    <rPh sb="0" eb="2">
      <t>バッキョ</t>
    </rPh>
    <rPh sb="2" eb="3">
      <t>リョク</t>
    </rPh>
    <phoneticPr fontId="1"/>
  </si>
  <si>
    <t>はめあい面摩擦係数（圧入時）</t>
    <rPh sb="4" eb="5">
      <t>メン</t>
    </rPh>
    <rPh sb="5" eb="7">
      <t>マサツ</t>
    </rPh>
    <rPh sb="7" eb="9">
      <t>ケイスウ</t>
    </rPh>
    <rPh sb="10" eb="13">
      <t>アツニュウジ</t>
    </rPh>
    <phoneticPr fontId="1"/>
  </si>
  <si>
    <t>はめあい面摩擦係数（抜去時）</t>
    <rPh sb="4" eb="5">
      <t>メン</t>
    </rPh>
    <rPh sb="5" eb="9">
      <t>マサツケイスウ</t>
    </rPh>
    <rPh sb="10" eb="13">
      <t>バッキョジ</t>
    </rPh>
    <phoneticPr fontId="1"/>
  </si>
  <si>
    <t>抜去力(滑り)安全率[N/N]</t>
    <rPh sb="0" eb="2">
      <t>バッキョ</t>
    </rPh>
    <rPh sb="2" eb="3">
      <t>リョク</t>
    </rPh>
    <rPh sb="4" eb="5">
      <t>スベ</t>
    </rPh>
    <rPh sb="7" eb="10">
      <t>アンゼンリツ</t>
    </rPh>
    <phoneticPr fontId="1"/>
  </si>
  <si>
    <t>Inner part temp.</t>
    <phoneticPr fontId="1"/>
  </si>
  <si>
    <t>Outer part temp.</t>
    <phoneticPr fontId="1"/>
  </si>
  <si>
    <t>締め代[um]</t>
    <rPh sb="0" eb="1">
      <t>シ</t>
    </rPh>
    <rPh sb="2" eb="3">
      <t>シロ</t>
    </rPh>
    <phoneticPr fontId="1"/>
  </si>
  <si>
    <t>径方向応力[MPa]</t>
    <rPh sb="0" eb="1">
      <t>ケイ</t>
    </rPh>
    <rPh sb="1" eb="3">
      <t>ホウコウ</t>
    </rPh>
    <rPh sb="3" eb="5">
      <t>オウリョク</t>
    </rPh>
    <phoneticPr fontId="1"/>
  </si>
  <si>
    <t>Result</t>
    <phoneticPr fontId="1"/>
  </si>
  <si>
    <t>Requirement</t>
    <phoneticPr fontId="1"/>
  </si>
  <si>
    <t>滑り方向外力の合力</t>
    <rPh sb="0" eb="1">
      <t>スベ</t>
    </rPh>
    <rPh sb="2" eb="4">
      <t>ホウコウ</t>
    </rPh>
    <rPh sb="4" eb="6">
      <t>ガイリョク</t>
    </rPh>
    <rPh sb="7" eb="9">
      <t>ゴウリョク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</si>
</sst>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_ "/>
    <numFmt numFmtId="178" formatCode="0.0"/>
    <numFmt numFmtId="179" formatCode="0.0000"/>
  </numFmts>
  <fonts count="1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5"/>
      <color rgb="FF333333"/>
      <name val="メイリオ"/>
      <family val="3"/>
      <charset val="128"/>
    </font>
    <font>
      <sz val="1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176" fontId="0" fillId="2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6" fontId="0" fillId="0" borderId="0" xfId="0" applyNumberFormat="1"/>
    <xf numFmtId="176" fontId="0" fillId="0" borderId="1" xfId="0" applyNumberFormat="1" applyBorder="1"/>
    <xf numFmtId="176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 wrapText="1"/>
    </xf>
    <xf numFmtId="0" fontId="0" fillId="0" borderId="1" xfId="0" applyBorder="1" applyAlignment="1">
      <alignment horizontal="centerContinuous"/>
    </xf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/>
    <xf numFmtId="0" fontId="4" fillId="6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Continuous" vertical="center"/>
    </xf>
    <xf numFmtId="0" fontId="0" fillId="6" borderId="1" xfId="0" applyFill="1" applyBorder="1" applyAlignment="1">
      <alignment horizontal="centerContinuous"/>
    </xf>
    <xf numFmtId="0" fontId="0" fillId="6" borderId="3" xfId="0" applyFill="1" applyBorder="1" applyAlignment="1">
      <alignment horizontal="centerContinuous" vertical="distributed"/>
    </xf>
    <xf numFmtId="0" fontId="0" fillId="6" borderId="4" xfId="0" applyFill="1" applyBorder="1" applyAlignment="1">
      <alignment horizontal="centerContinuous" vertical="distributed"/>
    </xf>
    <xf numFmtId="0" fontId="6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7" fillId="0" borderId="1" xfId="0" applyFont="1" applyBorder="1" applyAlignment="1">
      <alignment horizontal="right" vertical="center" wrapText="1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right" vertical="center" wrapText="1"/>
    </xf>
    <xf numFmtId="0" fontId="8" fillId="9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centerContinuous" vertical="distributed"/>
    </xf>
    <xf numFmtId="0" fontId="0" fillId="6" borderId="3" xfId="0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2" xfId="0" applyFill="1" applyBorder="1" applyAlignment="1">
      <alignment horizontal="centerContinuous"/>
    </xf>
    <xf numFmtId="0" fontId="7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horizontal="right" vertical="center" wrapText="1"/>
    </xf>
    <xf numFmtId="0" fontId="0" fillId="6" borderId="9" xfId="0" applyFill="1" applyBorder="1" applyAlignment="1">
      <alignment horizontal="right" vertical="center" wrapText="1"/>
    </xf>
    <xf numFmtId="0" fontId="0" fillId="0" borderId="3" xfId="0" applyBorder="1"/>
    <xf numFmtId="0" fontId="6" fillId="6" borderId="1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0" fillId="6" borderId="8" xfId="0" applyFill="1" applyBorder="1"/>
    <xf numFmtId="0" fontId="4" fillId="6" borderId="11" xfId="0" applyFont="1" applyFill="1" applyBorder="1" applyAlignment="1">
      <alignment horizontal="left" vertical="center" wrapText="1"/>
    </xf>
    <xf numFmtId="0" fontId="9" fillId="6" borderId="8" xfId="0" applyFont="1" applyFill="1" applyBorder="1"/>
    <xf numFmtId="0" fontId="6" fillId="6" borderId="10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right" vertical="center" wrapText="1"/>
    </xf>
    <xf numFmtId="0" fontId="0" fillId="6" borderId="6" xfId="0" applyFill="1" applyBorder="1" applyAlignment="1">
      <alignment horizontal="right" vertical="center" wrapText="1"/>
    </xf>
    <xf numFmtId="0" fontId="0" fillId="0" borderId="6" xfId="0" applyBorder="1"/>
    <xf numFmtId="0" fontId="7" fillId="0" borderId="6" xfId="0" applyFont="1" applyBorder="1" applyAlignment="1">
      <alignment horizontal="right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right" vertical="center" wrapText="1"/>
    </xf>
    <xf numFmtId="0" fontId="3" fillId="0" borderId="0" xfId="1"/>
    <xf numFmtId="2" fontId="0" fillId="0" borderId="0" xfId="0" applyNumberFormat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 shrinkToFit="1"/>
    </xf>
    <xf numFmtId="178" fontId="0" fillId="0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9" fontId="0" fillId="2" borderId="1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79" fontId="0" fillId="2" borderId="2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10" borderId="6" xfId="0" applyFill="1" applyBorder="1" applyAlignment="1"/>
    <xf numFmtId="0" fontId="0" fillId="10" borderId="1" xfId="0" applyFill="1" applyBorder="1"/>
    <xf numFmtId="0" fontId="0" fillId="10" borderId="7" xfId="0" applyFill="1" applyBorder="1" applyAlignment="1"/>
    <xf numFmtId="0" fontId="0" fillId="10" borderId="8" xfId="0" applyFill="1" applyBorder="1" applyAlignment="1"/>
    <xf numFmtId="0" fontId="0" fillId="10" borderId="1" xfId="0" applyFill="1" applyBorder="1" applyAlignment="1">
      <alignment horizontal="centerContinuous"/>
    </xf>
    <xf numFmtId="0" fontId="0" fillId="10" borderId="12" xfId="0" applyFill="1" applyBorder="1" applyAlignment="1"/>
    <xf numFmtId="0" fontId="0" fillId="10" borderId="13" xfId="0" applyFill="1" applyBorder="1" applyAlignment="1"/>
    <xf numFmtId="0" fontId="0" fillId="10" borderId="11" xfId="0" applyFill="1" applyBorder="1" applyAlignment="1"/>
    <xf numFmtId="0" fontId="0" fillId="10" borderId="10" xfId="0" applyFill="1" applyBorder="1" applyAlignment="1"/>
    <xf numFmtId="178" fontId="0" fillId="0" borderId="1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14" xfId="0" applyNumberFormat="1" applyBorder="1"/>
  </cellXfs>
  <cellStyles count="2">
    <cellStyle name="ハイパーリンク" xfId="1" builtinId="8"/>
    <cellStyle name="標準" xfId="0" builtinId="0"/>
  </cellStyles>
  <dxfs count="287"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color rgb="FFFF0000"/>
      </font>
    </dxf>
    <dxf>
      <font>
        <strike/>
        <color auto="1"/>
      </font>
      <fill>
        <patternFill patternType="darkDown">
          <fgColor auto="1"/>
          <bgColor auto="1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strike/>
        <color auto="1"/>
      </font>
      <fill>
        <patternFill patternType="darkDown">
          <fgColor auto="1"/>
          <bgColor auto="1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  <fill>
        <patternFill patternType="darkGrid">
          <fgColor rgb="FFFF0000"/>
        </patternFill>
      </fill>
    </dxf>
    <dxf>
      <font>
        <color rgb="FFFF0000"/>
      </font>
    </dxf>
    <dxf>
      <font>
        <color rgb="FFFF0000"/>
      </font>
      <fill>
        <patternFill patternType="gray0625">
          <fgColor rgb="FFFF0000"/>
        </patternFill>
      </fill>
    </dxf>
    <dxf>
      <font>
        <color rgb="FFFF0000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6" formatCode="0.0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締め代</a:t>
            </a:r>
            <a:r>
              <a:rPr lang="en-US" altLang="ja-JP"/>
              <a:t>vs</a:t>
            </a:r>
            <a:r>
              <a:rPr lang="ja-JP" altLang="en-US"/>
              <a:t>圧入力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グラフ!$E$5</c:f>
              <c:strCache>
                <c:ptCount val="1"/>
                <c:pt idx="0">
                  <c:v>圧入力min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グラフ!$E$6:$E$56</c:f>
              <c:numCache>
                <c:formatCode>0.0</c:formatCode>
                <c:ptCount val="51"/>
                <c:pt idx="0">
                  <c:v>0</c:v>
                </c:pt>
                <c:pt idx="1">
                  <c:v>1.1466011166185903</c:v>
                </c:pt>
                <c:pt idx="2">
                  <c:v>2.2932022332371806</c:v>
                </c:pt>
                <c:pt idx="3">
                  <c:v>3.4398033498557705</c:v>
                </c:pt>
                <c:pt idx="4">
                  <c:v>4.5864044664743613</c:v>
                </c:pt>
                <c:pt idx="5">
                  <c:v>5.7330055830929512</c:v>
                </c:pt>
                <c:pt idx="6">
                  <c:v>6.879606699711541</c:v>
                </c:pt>
                <c:pt idx="7">
                  <c:v>8.0262078163301318</c:v>
                </c:pt>
                <c:pt idx="8">
                  <c:v>9.1728089329487226</c:v>
                </c:pt>
                <c:pt idx="9">
                  <c:v>10.319410049567312</c:v>
                </c:pt>
                <c:pt idx="10">
                  <c:v>11.466011166185902</c:v>
                </c:pt>
                <c:pt idx="11">
                  <c:v>12.612612282804491</c:v>
                </c:pt>
                <c:pt idx="12">
                  <c:v>13.759213399423082</c:v>
                </c:pt>
                <c:pt idx="13">
                  <c:v>14.905814516041673</c:v>
                </c:pt>
                <c:pt idx="14">
                  <c:v>16.052415632660264</c:v>
                </c:pt>
                <c:pt idx="15">
                  <c:v>17.199016749278854</c:v>
                </c:pt>
                <c:pt idx="16">
                  <c:v>18.345617865897445</c:v>
                </c:pt>
                <c:pt idx="17">
                  <c:v>19.492218982516032</c:v>
                </c:pt>
                <c:pt idx="18">
                  <c:v>20.638820099134623</c:v>
                </c:pt>
                <c:pt idx="19">
                  <c:v>21.785421215753214</c:v>
                </c:pt>
                <c:pt idx="20">
                  <c:v>22.932022332371805</c:v>
                </c:pt>
                <c:pt idx="21">
                  <c:v>24.078623448990395</c:v>
                </c:pt>
                <c:pt idx="22">
                  <c:v>25.225224565608983</c:v>
                </c:pt>
                <c:pt idx="23">
                  <c:v>26.371825682227577</c:v>
                </c:pt>
                <c:pt idx="24">
                  <c:v>27.518426798846164</c:v>
                </c:pt>
                <c:pt idx="25">
                  <c:v>28.665027915464755</c:v>
                </c:pt>
                <c:pt idx="26">
                  <c:v>29.811629032083346</c:v>
                </c:pt>
                <c:pt idx="27">
                  <c:v>30.95823014870194</c:v>
                </c:pt>
                <c:pt idx="28">
                  <c:v>32.104831265320527</c:v>
                </c:pt>
                <c:pt idx="29">
                  <c:v>33.251432381939111</c:v>
                </c:pt>
                <c:pt idx="30">
                  <c:v>34.398033498557709</c:v>
                </c:pt>
                <c:pt idx="31">
                  <c:v>35.544634615176292</c:v>
                </c:pt>
                <c:pt idx="32">
                  <c:v>36.69123573179489</c:v>
                </c:pt>
                <c:pt idx="33">
                  <c:v>37.837836848413474</c:v>
                </c:pt>
                <c:pt idx="34">
                  <c:v>38.984437965032065</c:v>
                </c:pt>
                <c:pt idx="35">
                  <c:v>40.131039081650663</c:v>
                </c:pt>
                <c:pt idx="36">
                  <c:v>41.277640198269246</c:v>
                </c:pt>
                <c:pt idx="37">
                  <c:v>42.424241314887837</c:v>
                </c:pt>
                <c:pt idx="38">
                  <c:v>43.570842431506428</c:v>
                </c:pt>
                <c:pt idx="39">
                  <c:v>44.717443548125026</c:v>
                </c:pt>
                <c:pt idx="40">
                  <c:v>45.864044664743609</c:v>
                </c:pt>
                <c:pt idx="41">
                  <c:v>47.010645781362193</c:v>
                </c:pt>
                <c:pt idx="42">
                  <c:v>48.157246897980791</c:v>
                </c:pt>
                <c:pt idx="43">
                  <c:v>49.303848014599382</c:v>
                </c:pt>
                <c:pt idx="44">
                  <c:v>50.450449131217965</c:v>
                </c:pt>
                <c:pt idx="45">
                  <c:v>51.597050247836563</c:v>
                </c:pt>
                <c:pt idx="46">
                  <c:v>52.743651364455154</c:v>
                </c:pt>
                <c:pt idx="47">
                  <c:v>53.890252481073745</c:v>
                </c:pt>
                <c:pt idx="48">
                  <c:v>55.036853597692328</c:v>
                </c:pt>
                <c:pt idx="49">
                  <c:v>56.183454714310919</c:v>
                </c:pt>
                <c:pt idx="50">
                  <c:v>57.33005583092951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1-4C62-9348-87DC5D975BBC}"/>
            </c:ext>
          </c:extLst>
        </c:ser>
        <c:ser>
          <c:idx val="4"/>
          <c:order val="4"/>
          <c:tx>
            <c:strRef>
              <c:f>グラフ!$F$5</c:f>
              <c:strCache>
                <c:ptCount val="1"/>
                <c:pt idx="0">
                  <c:v>圧入力nor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グラフ!$F$6:$F$56</c:f>
              <c:numCache>
                <c:formatCode>0.0</c:formatCode>
                <c:ptCount val="51"/>
                <c:pt idx="0">
                  <c:v>0</c:v>
                </c:pt>
                <c:pt idx="1">
                  <c:v>1.4640256024385596</c:v>
                </c:pt>
                <c:pt idx="2">
                  <c:v>2.9280512048771192</c:v>
                </c:pt>
                <c:pt idx="3">
                  <c:v>4.3920768073156795</c:v>
                </c:pt>
                <c:pt idx="4">
                  <c:v>5.8561024097542385</c:v>
                </c:pt>
                <c:pt idx="5">
                  <c:v>7.3201280121927992</c:v>
                </c:pt>
                <c:pt idx="6">
                  <c:v>8.784153614631359</c:v>
                </c:pt>
                <c:pt idx="7">
                  <c:v>10.248179217069918</c:v>
                </c:pt>
                <c:pt idx="8">
                  <c:v>11.712204819508477</c:v>
                </c:pt>
                <c:pt idx="9">
                  <c:v>13.176230421947038</c:v>
                </c:pt>
                <c:pt idx="10">
                  <c:v>14.640256024385598</c:v>
                </c:pt>
                <c:pt idx="11">
                  <c:v>16.104281626824154</c:v>
                </c:pt>
                <c:pt idx="12">
                  <c:v>17.568307229262718</c:v>
                </c:pt>
                <c:pt idx="13">
                  <c:v>19.032332831701275</c:v>
                </c:pt>
                <c:pt idx="14">
                  <c:v>20.496358434139836</c:v>
                </c:pt>
                <c:pt idx="15">
                  <c:v>21.960384036578397</c:v>
                </c:pt>
                <c:pt idx="16">
                  <c:v>23.424409639016954</c:v>
                </c:pt>
                <c:pt idx="17">
                  <c:v>24.888435241455515</c:v>
                </c:pt>
                <c:pt idx="18">
                  <c:v>26.352460843894075</c:v>
                </c:pt>
                <c:pt idx="19">
                  <c:v>27.816486446332632</c:v>
                </c:pt>
                <c:pt idx="20">
                  <c:v>29.280512048771197</c:v>
                </c:pt>
                <c:pt idx="21">
                  <c:v>30.74453765120975</c:v>
                </c:pt>
                <c:pt idx="22">
                  <c:v>32.208563253648308</c:v>
                </c:pt>
                <c:pt idx="23">
                  <c:v>33.672588856086875</c:v>
                </c:pt>
                <c:pt idx="24">
                  <c:v>35.136614458525436</c:v>
                </c:pt>
                <c:pt idx="25">
                  <c:v>36.60064006096399</c:v>
                </c:pt>
                <c:pt idx="26">
                  <c:v>38.06466566340255</c:v>
                </c:pt>
                <c:pt idx="27">
                  <c:v>39.528691265841118</c:v>
                </c:pt>
                <c:pt idx="28">
                  <c:v>40.992716868279672</c:v>
                </c:pt>
                <c:pt idx="29">
                  <c:v>42.456742470718225</c:v>
                </c:pt>
                <c:pt idx="30">
                  <c:v>43.920768073156793</c:v>
                </c:pt>
                <c:pt idx="31">
                  <c:v>45.384793675595347</c:v>
                </c:pt>
                <c:pt idx="32">
                  <c:v>46.848819278033908</c:v>
                </c:pt>
                <c:pt idx="33">
                  <c:v>48.312844880472475</c:v>
                </c:pt>
                <c:pt idx="34">
                  <c:v>49.776870482911029</c:v>
                </c:pt>
                <c:pt idx="35">
                  <c:v>51.24089608534959</c:v>
                </c:pt>
                <c:pt idx="36">
                  <c:v>52.704921687788151</c:v>
                </c:pt>
                <c:pt idx="37">
                  <c:v>54.168947290226718</c:v>
                </c:pt>
                <c:pt idx="38">
                  <c:v>55.632972892665265</c:v>
                </c:pt>
                <c:pt idx="39">
                  <c:v>57.096998495103833</c:v>
                </c:pt>
                <c:pt idx="40">
                  <c:v>58.561024097542393</c:v>
                </c:pt>
                <c:pt idx="41">
                  <c:v>60.025049699980947</c:v>
                </c:pt>
                <c:pt idx="42">
                  <c:v>61.489075302419501</c:v>
                </c:pt>
                <c:pt idx="43">
                  <c:v>62.953100904858069</c:v>
                </c:pt>
                <c:pt idx="44">
                  <c:v>64.417126507296615</c:v>
                </c:pt>
                <c:pt idx="45">
                  <c:v>65.881152109735197</c:v>
                </c:pt>
                <c:pt idx="46">
                  <c:v>67.345177712173751</c:v>
                </c:pt>
                <c:pt idx="47">
                  <c:v>68.809203314612319</c:v>
                </c:pt>
                <c:pt idx="48">
                  <c:v>70.273228917050872</c:v>
                </c:pt>
                <c:pt idx="49">
                  <c:v>71.737254519489426</c:v>
                </c:pt>
                <c:pt idx="50">
                  <c:v>73.201280121927979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1-4C62-9348-87DC5D975BBC}"/>
            </c:ext>
          </c:extLst>
        </c:ser>
        <c:ser>
          <c:idx val="5"/>
          <c:order val="5"/>
          <c:tx>
            <c:strRef>
              <c:f>グラフ!$G$5</c:f>
              <c:strCache>
                <c:ptCount val="1"/>
                <c:pt idx="0">
                  <c:v>圧入力max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グラフ!$G$6:$G$56</c:f>
              <c:numCache>
                <c:formatCode>0.0</c:formatCode>
                <c:ptCount val="51"/>
                <c:pt idx="0">
                  <c:v>0</c:v>
                </c:pt>
                <c:pt idx="1">
                  <c:v>1.7941066701665909</c:v>
                </c:pt>
                <c:pt idx="2">
                  <c:v>3.5882133403331817</c:v>
                </c:pt>
                <c:pt idx="3">
                  <c:v>5.3823200104997735</c:v>
                </c:pt>
                <c:pt idx="4">
                  <c:v>7.1764266806663635</c:v>
                </c:pt>
                <c:pt idx="5">
                  <c:v>8.9705333508329552</c:v>
                </c:pt>
                <c:pt idx="6">
                  <c:v>10.764640020999547</c:v>
                </c:pt>
                <c:pt idx="7">
                  <c:v>12.558746691166135</c:v>
                </c:pt>
                <c:pt idx="8">
                  <c:v>14.352853361332727</c:v>
                </c:pt>
                <c:pt idx="9">
                  <c:v>16.146960031499315</c:v>
                </c:pt>
                <c:pt idx="10">
                  <c:v>17.94106670166591</c:v>
                </c:pt>
                <c:pt idx="11">
                  <c:v>19.735173371832499</c:v>
                </c:pt>
                <c:pt idx="12">
                  <c:v>21.529280041999094</c:v>
                </c:pt>
                <c:pt idx="13">
                  <c:v>23.323386712165686</c:v>
                </c:pt>
                <c:pt idx="14">
                  <c:v>25.11749338233227</c:v>
                </c:pt>
                <c:pt idx="15">
                  <c:v>26.911600052498862</c:v>
                </c:pt>
                <c:pt idx="16">
                  <c:v>28.705706722665454</c:v>
                </c:pt>
                <c:pt idx="17">
                  <c:v>30.499813392832042</c:v>
                </c:pt>
                <c:pt idx="18">
                  <c:v>32.29392006299863</c:v>
                </c:pt>
                <c:pt idx="19">
                  <c:v>34.088026733165229</c:v>
                </c:pt>
                <c:pt idx="20">
                  <c:v>35.882133403331821</c:v>
                </c:pt>
                <c:pt idx="21">
                  <c:v>37.676240073498406</c:v>
                </c:pt>
                <c:pt idx="22">
                  <c:v>39.470346743664997</c:v>
                </c:pt>
                <c:pt idx="23">
                  <c:v>41.264453413831596</c:v>
                </c:pt>
                <c:pt idx="24">
                  <c:v>43.058560083998188</c:v>
                </c:pt>
                <c:pt idx="25">
                  <c:v>44.852666754164773</c:v>
                </c:pt>
                <c:pt idx="26">
                  <c:v>46.646773424331371</c:v>
                </c:pt>
                <c:pt idx="27">
                  <c:v>48.440880094497956</c:v>
                </c:pt>
                <c:pt idx="28">
                  <c:v>50.234986764664541</c:v>
                </c:pt>
                <c:pt idx="29">
                  <c:v>52.029093434831132</c:v>
                </c:pt>
                <c:pt idx="30">
                  <c:v>53.823200104997724</c:v>
                </c:pt>
                <c:pt idx="31">
                  <c:v>55.617306775164309</c:v>
                </c:pt>
                <c:pt idx="32">
                  <c:v>57.411413445330908</c:v>
                </c:pt>
                <c:pt idx="33">
                  <c:v>59.205520115497499</c:v>
                </c:pt>
                <c:pt idx="34">
                  <c:v>60.999626785664084</c:v>
                </c:pt>
                <c:pt idx="35">
                  <c:v>62.793733455830683</c:v>
                </c:pt>
                <c:pt idx="36">
                  <c:v>64.587840125997261</c:v>
                </c:pt>
                <c:pt idx="37">
                  <c:v>66.381946796163874</c:v>
                </c:pt>
                <c:pt idx="38">
                  <c:v>68.176053466330458</c:v>
                </c:pt>
                <c:pt idx="39">
                  <c:v>69.970160136497057</c:v>
                </c:pt>
                <c:pt idx="40">
                  <c:v>71.764266806663642</c:v>
                </c:pt>
                <c:pt idx="41">
                  <c:v>73.558373476830226</c:v>
                </c:pt>
                <c:pt idx="42">
                  <c:v>75.352480146996811</c:v>
                </c:pt>
                <c:pt idx="43">
                  <c:v>77.14658681716341</c:v>
                </c:pt>
                <c:pt idx="44">
                  <c:v>78.940693487329995</c:v>
                </c:pt>
                <c:pt idx="45">
                  <c:v>80.734800157496593</c:v>
                </c:pt>
                <c:pt idx="46">
                  <c:v>82.528906827663192</c:v>
                </c:pt>
                <c:pt idx="47">
                  <c:v>84.323013497829791</c:v>
                </c:pt>
                <c:pt idx="48">
                  <c:v>86.117120167996376</c:v>
                </c:pt>
                <c:pt idx="49">
                  <c:v>87.911226838162946</c:v>
                </c:pt>
                <c:pt idx="50">
                  <c:v>89.705333508329545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A1-4C62-9348-87DC5D97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38655"/>
        <c:axId val="2069334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グラフ!$B$5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半径方向応力min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グラフ!$B$6:$B$56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9.8586186524371175</c:v>
                      </c:pt>
                      <c:pt idx="2">
                        <c:v>19.717237304874235</c:v>
                      </c:pt>
                      <c:pt idx="3">
                        <c:v>29.575855957311354</c:v>
                      </c:pt>
                      <c:pt idx="4">
                        <c:v>39.43447460974847</c:v>
                      </c:pt>
                      <c:pt idx="5">
                        <c:v>49.293093262185593</c:v>
                      </c:pt>
                      <c:pt idx="6">
                        <c:v>59.151711914622709</c:v>
                      </c:pt>
                      <c:pt idx="7">
                        <c:v>69.010330567059825</c:v>
                      </c:pt>
                      <c:pt idx="8">
                        <c:v>78.86894921949694</c:v>
                      </c:pt>
                      <c:pt idx="9">
                        <c:v>88.727567871934056</c:v>
                      </c:pt>
                      <c:pt idx="10">
                        <c:v>98.586186524371186</c:v>
                      </c:pt>
                      <c:pt idx="11">
                        <c:v>108.44480517680829</c:v>
                      </c:pt>
                      <c:pt idx="12">
                        <c:v>118.30342382924542</c:v>
                      </c:pt>
                      <c:pt idx="13">
                        <c:v>128.16204248168253</c:v>
                      </c:pt>
                      <c:pt idx="14">
                        <c:v>138.02066113411965</c:v>
                      </c:pt>
                      <c:pt idx="15">
                        <c:v>147.87927978655676</c:v>
                      </c:pt>
                      <c:pt idx="16">
                        <c:v>157.73789843899388</c:v>
                      </c:pt>
                      <c:pt idx="17">
                        <c:v>167.596517091431</c:v>
                      </c:pt>
                      <c:pt idx="18">
                        <c:v>177.45513574386811</c:v>
                      </c:pt>
                      <c:pt idx="19">
                        <c:v>187.31375439630523</c:v>
                      </c:pt>
                      <c:pt idx="20">
                        <c:v>197.17237304874237</c:v>
                      </c:pt>
                      <c:pt idx="21">
                        <c:v>207.03099170117946</c:v>
                      </c:pt>
                      <c:pt idx="22">
                        <c:v>216.88961035361658</c:v>
                      </c:pt>
                      <c:pt idx="23">
                        <c:v>226.74822900605372</c:v>
                      </c:pt>
                      <c:pt idx="24">
                        <c:v>236.60684765849084</c:v>
                      </c:pt>
                      <c:pt idx="25">
                        <c:v>246.46546631092792</c:v>
                      </c:pt>
                      <c:pt idx="26">
                        <c:v>256.32408496336507</c:v>
                      </c:pt>
                      <c:pt idx="27">
                        <c:v>266.18270361580221</c:v>
                      </c:pt>
                      <c:pt idx="28">
                        <c:v>276.0413222682393</c:v>
                      </c:pt>
                      <c:pt idx="29">
                        <c:v>285.89994092067639</c:v>
                      </c:pt>
                      <c:pt idx="30">
                        <c:v>295.75855957311353</c:v>
                      </c:pt>
                      <c:pt idx="31">
                        <c:v>305.61717822555062</c:v>
                      </c:pt>
                      <c:pt idx="32">
                        <c:v>315.47579687798776</c:v>
                      </c:pt>
                      <c:pt idx="33">
                        <c:v>325.33441553042491</c:v>
                      </c:pt>
                      <c:pt idx="34">
                        <c:v>335.19303418286199</c:v>
                      </c:pt>
                      <c:pt idx="35">
                        <c:v>345.05165283529914</c:v>
                      </c:pt>
                      <c:pt idx="36">
                        <c:v>354.91027148773622</c:v>
                      </c:pt>
                      <c:pt idx="37">
                        <c:v>364.76889014017337</c:v>
                      </c:pt>
                      <c:pt idx="38">
                        <c:v>374.62750879261046</c:v>
                      </c:pt>
                      <c:pt idx="39">
                        <c:v>384.4861274450476</c:v>
                      </c:pt>
                      <c:pt idx="40">
                        <c:v>394.34474609748474</c:v>
                      </c:pt>
                      <c:pt idx="41">
                        <c:v>404.20336474992183</c:v>
                      </c:pt>
                      <c:pt idx="42">
                        <c:v>414.06198340235892</c:v>
                      </c:pt>
                      <c:pt idx="43">
                        <c:v>423.92060205479606</c:v>
                      </c:pt>
                      <c:pt idx="44">
                        <c:v>433.77922070723315</c:v>
                      </c:pt>
                      <c:pt idx="45">
                        <c:v>443.63783935967029</c:v>
                      </c:pt>
                      <c:pt idx="46">
                        <c:v>453.49645801210744</c:v>
                      </c:pt>
                      <c:pt idx="47">
                        <c:v>463.35507666454458</c:v>
                      </c:pt>
                      <c:pt idx="48">
                        <c:v>473.21369531698167</c:v>
                      </c:pt>
                      <c:pt idx="49">
                        <c:v>483.0723139694187</c:v>
                      </c:pt>
                      <c:pt idx="50">
                        <c:v>492.93093262185585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5A1-4C62-9348-87DC5D975BB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グラフ!$C$5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半径方向応力nor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グラフ!$C$6:$C$56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10.109393992012501</c:v>
                      </c:pt>
                      <c:pt idx="2">
                        <c:v>20.218787984025003</c:v>
                      </c:pt>
                      <c:pt idx="3">
                        <c:v>30.328181976037509</c:v>
                      </c:pt>
                      <c:pt idx="4">
                        <c:v>40.437575968050005</c:v>
                      </c:pt>
                      <c:pt idx="5">
                        <c:v>50.546969960062519</c:v>
                      </c:pt>
                      <c:pt idx="6">
                        <c:v>60.656363952075019</c:v>
                      </c:pt>
                      <c:pt idx="7">
                        <c:v>70.765757944087525</c:v>
                      </c:pt>
                      <c:pt idx="8">
                        <c:v>80.875151936100011</c:v>
                      </c:pt>
                      <c:pt idx="9">
                        <c:v>90.984545928112524</c:v>
                      </c:pt>
                      <c:pt idx="10">
                        <c:v>101.09393992012504</c:v>
                      </c:pt>
                      <c:pt idx="11">
                        <c:v>111.20333391213752</c:v>
                      </c:pt>
                      <c:pt idx="12">
                        <c:v>121.31272790415004</c:v>
                      </c:pt>
                      <c:pt idx="13">
                        <c:v>131.42212189616254</c:v>
                      </c:pt>
                      <c:pt idx="14">
                        <c:v>141.53151588817505</c:v>
                      </c:pt>
                      <c:pt idx="15">
                        <c:v>151.64090988018754</c:v>
                      </c:pt>
                      <c:pt idx="16">
                        <c:v>161.75030387220002</c:v>
                      </c:pt>
                      <c:pt idx="17">
                        <c:v>171.85969786421256</c:v>
                      </c:pt>
                      <c:pt idx="18">
                        <c:v>181.96909185622505</c:v>
                      </c:pt>
                      <c:pt idx="19">
                        <c:v>192.07848584823753</c:v>
                      </c:pt>
                      <c:pt idx="20">
                        <c:v>202.18787984025008</c:v>
                      </c:pt>
                      <c:pt idx="21">
                        <c:v>212.29727383226256</c:v>
                      </c:pt>
                      <c:pt idx="22">
                        <c:v>222.40666782427505</c:v>
                      </c:pt>
                      <c:pt idx="23">
                        <c:v>232.51606181628756</c:v>
                      </c:pt>
                      <c:pt idx="24">
                        <c:v>242.62545580830007</c:v>
                      </c:pt>
                      <c:pt idx="25">
                        <c:v>252.73484980031256</c:v>
                      </c:pt>
                      <c:pt idx="26">
                        <c:v>262.84424379232507</c:v>
                      </c:pt>
                      <c:pt idx="27">
                        <c:v>272.95363778433762</c:v>
                      </c:pt>
                      <c:pt idx="28">
                        <c:v>283.0630317763501</c:v>
                      </c:pt>
                      <c:pt idx="29">
                        <c:v>293.17242576836253</c:v>
                      </c:pt>
                      <c:pt idx="30">
                        <c:v>303.28181976037507</c:v>
                      </c:pt>
                      <c:pt idx="31">
                        <c:v>313.39121375238756</c:v>
                      </c:pt>
                      <c:pt idx="32">
                        <c:v>323.50060774440004</c:v>
                      </c:pt>
                      <c:pt idx="33">
                        <c:v>333.61000173641264</c:v>
                      </c:pt>
                      <c:pt idx="34">
                        <c:v>343.71939572842513</c:v>
                      </c:pt>
                      <c:pt idx="35">
                        <c:v>353.82878972043761</c:v>
                      </c:pt>
                      <c:pt idx="36">
                        <c:v>363.9381837124501</c:v>
                      </c:pt>
                      <c:pt idx="37">
                        <c:v>374.04757770446258</c:v>
                      </c:pt>
                      <c:pt idx="38">
                        <c:v>384.15697169647507</c:v>
                      </c:pt>
                      <c:pt idx="39">
                        <c:v>394.26636568848761</c:v>
                      </c:pt>
                      <c:pt idx="40">
                        <c:v>404.37575968050015</c:v>
                      </c:pt>
                      <c:pt idx="41">
                        <c:v>414.48515367251264</c:v>
                      </c:pt>
                      <c:pt idx="42">
                        <c:v>424.59454766452512</c:v>
                      </c:pt>
                      <c:pt idx="43">
                        <c:v>434.70394165653761</c:v>
                      </c:pt>
                      <c:pt idx="44">
                        <c:v>444.81333564855009</c:v>
                      </c:pt>
                      <c:pt idx="45">
                        <c:v>454.92272964056264</c:v>
                      </c:pt>
                      <c:pt idx="46">
                        <c:v>465.03212363257512</c:v>
                      </c:pt>
                      <c:pt idx="47">
                        <c:v>475.14151762458766</c:v>
                      </c:pt>
                      <c:pt idx="48">
                        <c:v>485.25091161660015</c:v>
                      </c:pt>
                      <c:pt idx="49">
                        <c:v>495.36030560861258</c:v>
                      </c:pt>
                      <c:pt idx="50">
                        <c:v>505.46969960062512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A1-4C62-9348-87DC5D975B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グラフ!$D$5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半径方向応力max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グラフ!$D$6:$D$56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10.344605808716686</c:v>
                      </c:pt>
                      <c:pt idx="2">
                        <c:v>20.689211617433372</c:v>
                      </c:pt>
                      <c:pt idx="3">
                        <c:v>31.033817426150058</c:v>
                      </c:pt>
                      <c:pt idx="4">
                        <c:v>41.378423234866744</c:v>
                      </c:pt>
                      <c:pt idx="5">
                        <c:v>51.723029043583431</c:v>
                      </c:pt>
                      <c:pt idx="6">
                        <c:v>62.067634852300117</c:v>
                      </c:pt>
                      <c:pt idx="7">
                        <c:v>72.41224066101681</c:v>
                      </c:pt>
                      <c:pt idx="8">
                        <c:v>82.756846469733489</c:v>
                      </c:pt>
                      <c:pt idx="9">
                        <c:v>93.101452278450168</c:v>
                      </c:pt>
                      <c:pt idx="10">
                        <c:v>103.44605808716686</c:v>
                      </c:pt>
                      <c:pt idx="11">
                        <c:v>113.79066389588354</c:v>
                      </c:pt>
                      <c:pt idx="12">
                        <c:v>124.13526970460023</c:v>
                      </c:pt>
                      <c:pt idx="13">
                        <c:v>134.4798755133169</c:v>
                      </c:pt>
                      <c:pt idx="14">
                        <c:v>144.82448132203362</c:v>
                      </c:pt>
                      <c:pt idx="15">
                        <c:v>155.16908713075028</c:v>
                      </c:pt>
                      <c:pt idx="16">
                        <c:v>165.51369293946698</c:v>
                      </c:pt>
                      <c:pt idx="17">
                        <c:v>175.85829874818367</c:v>
                      </c:pt>
                      <c:pt idx="18">
                        <c:v>186.20290455690034</c:v>
                      </c:pt>
                      <c:pt idx="19">
                        <c:v>196.54751036561703</c:v>
                      </c:pt>
                      <c:pt idx="20">
                        <c:v>206.89211617433372</c:v>
                      </c:pt>
                      <c:pt idx="21">
                        <c:v>217.23672198305042</c:v>
                      </c:pt>
                      <c:pt idx="22">
                        <c:v>227.58132779176708</c:v>
                      </c:pt>
                      <c:pt idx="23">
                        <c:v>237.92593360048377</c:v>
                      </c:pt>
                      <c:pt idx="24">
                        <c:v>248.27053940920047</c:v>
                      </c:pt>
                      <c:pt idx="25">
                        <c:v>258.61514521791713</c:v>
                      </c:pt>
                      <c:pt idx="26">
                        <c:v>268.9597510266338</c:v>
                      </c:pt>
                      <c:pt idx="27">
                        <c:v>279.30435683535057</c:v>
                      </c:pt>
                      <c:pt idx="28">
                        <c:v>289.64896264406724</c:v>
                      </c:pt>
                      <c:pt idx="29">
                        <c:v>299.99356845278385</c:v>
                      </c:pt>
                      <c:pt idx="30">
                        <c:v>310.33817426150057</c:v>
                      </c:pt>
                      <c:pt idx="31">
                        <c:v>320.68278007021723</c:v>
                      </c:pt>
                      <c:pt idx="32">
                        <c:v>331.02738587893396</c:v>
                      </c:pt>
                      <c:pt idx="33">
                        <c:v>341.37199168765068</c:v>
                      </c:pt>
                      <c:pt idx="34">
                        <c:v>351.71659749636734</c:v>
                      </c:pt>
                      <c:pt idx="35">
                        <c:v>362.06120330508401</c:v>
                      </c:pt>
                      <c:pt idx="36">
                        <c:v>372.40580911380067</c:v>
                      </c:pt>
                      <c:pt idx="37">
                        <c:v>382.75041492251739</c:v>
                      </c:pt>
                      <c:pt idx="38">
                        <c:v>393.09502073123406</c:v>
                      </c:pt>
                      <c:pt idx="39">
                        <c:v>403.43962653995078</c:v>
                      </c:pt>
                      <c:pt idx="40">
                        <c:v>413.78423234866744</c:v>
                      </c:pt>
                      <c:pt idx="41">
                        <c:v>424.12883815738411</c:v>
                      </c:pt>
                      <c:pt idx="42">
                        <c:v>434.47344396610083</c:v>
                      </c:pt>
                      <c:pt idx="43">
                        <c:v>444.8180497748175</c:v>
                      </c:pt>
                      <c:pt idx="44">
                        <c:v>455.16265558353416</c:v>
                      </c:pt>
                      <c:pt idx="45">
                        <c:v>465.50726139225088</c:v>
                      </c:pt>
                      <c:pt idx="46">
                        <c:v>475.85186720096755</c:v>
                      </c:pt>
                      <c:pt idx="47">
                        <c:v>486.19647300968433</c:v>
                      </c:pt>
                      <c:pt idx="48">
                        <c:v>496.54107881840093</c:v>
                      </c:pt>
                      <c:pt idx="49">
                        <c:v>506.88568462711754</c:v>
                      </c:pt>
                      <c:pt idx="50">
                        <c:v>517.23029043583426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A1-4C62-9348-87DC5D975BB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グラフ!$H$5</c15:sqref>
                        </c15:formulaRef>
                      </c:ext>
                    </c:extLst>
                    <c:strCache>
                      <c:ptCount val="1"/>
                      <c:pt idx="0">
                        <c:v>降伏点inner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グラフ!$H$6:$H$56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345</c:v>
                      </c:pt>
                      <c:pt idx="1">
                        <c:v>345</c:v>
                      </c:pt>
                      <c:pt idx="2">
                        <c:v>345</c:v>
                      </c:pt>
                      <c:pt idx="3">
                        <c:v>345</c:v>
                      </c:pt>
                      <c:pt idx="4">
                        <c:v>345</c:v>
                      </c:pt>
                      <c:pt idx="5">
                        <c:v>345</c:v>
                      </c:pt>
                      <c:pt idx="6">
                        <c:v>345</c:v>
                      </c:pt>
                      <c:pt idx="7">
                        <c:v>345</c:v>
                      </c:pt>
                      <c:pt idx="8">
                        <c:v>345</c:v>
                      </c:pt>
                      <c:pt idx="9">
                        <c:v>345</c:v>
                      </c:pt>
                      <c:pt idx="10">
                        <c:v>345</c:v>
                      </c:pt>
                      <c:pt idx="11">
                        <c:v>345</c:v>
                      </c:pt>
                      <c:pt idx="12">
                        <c:v>345</c:v>
                      </c:pt>
                      <c:pt idx="13">
                        <c:v>345</c:v>
                      </c:pt>
                      <c:pt idx="14">
                        <c:v>345</c:v>
                      </c:pt>
                      <c:pt idx="15">
                        <c:v>345</c:v>
                      </c:pt>
                      <c:pt idx="16">
                        <c:v>345</c:v>
                      </c:pt>
                      <c:pt idx="17">
                        <c:v>345</c:v>
                      </c:pt>
                      <c:pt idx="18">
                        <c:v>345</c:v>
                      </c:pt>
                      <c:pt idx="19">
                        <c:v>345</c:v>
                      </c:pt>
                      <c:pt idx="20">
                        <c:v>345</c:v>
                      </c:pt>
                      <c:pt idx="21">
                        <c:v>345</c:v>
                      </c:pt>
                      <c:pt idx="22">
                        <c:v>345</c:v>
                      </c:pt>
                      <c:pt idx="23">
                        <c:v>345</c:v>
                      </c:pt>
                      <c:pt idx="24">
                        <c:v>345</c:v>
                      </c:pt>
                      <c:pt idx="25">
                        <c:v>345</c:v>
                      </c:pt>
                      <c:pt idx="26">
                        <c:v>345</c:v>
                      </c:pt>
                      <c:pt idx="27">
                        <c:v>345</c:v>
                      </c:pt>
                      <c:pt idx="28">
                        <c:v>345</c:v>
                      </c:pt>
                      <c:pt idx="29">
                        <c:v>345</c:v>
                      </c:pt>
                      <c:pt idx="30">
                        <c:v>345</c:v>
                      </c:pt>
                      <c:pt idx="31">
                        <c:v>345</c:v>
                      </c:pt>
                      <c:pt idx="32">
                        <c:v>345</c:v>
                      </c:pt>
                      <c:pt idx="33">
                        <c:v>345</c:v>
                      </c:pt>
                      <c:pt idx="34">
                        <c:v>345</c:v>
                      </c:pt>
                      <c:pt idx="35">
                        <c:v>345</c:v>
                      </c:pt>
                      <c:pt idx="36">
                        <c:v>345</c:v>
                      </c:pt>
                      <c:pt idx="37">
                        <c:v>345</c:v>
                      </c:pt>
                      <c:pt idx="38">
                        <c:v>345</c:v>
                      </c:pt>
                      <c:pt idx="39">
                        <c:v>345</c:v>
                      </c:pt>
                      <c:pt idx="40">
                        <c:v>345</c:v>
                      </c:pt>
                      <c:pt idx="41">
                        <c:v>345</c:v>
                      </c:pt>
                      <c:pt idx="42">
                        <c:v>345</c:v>
                      </c:pt>
                      <c:pt idx="43">
                        <c:v>345</c:v>
                      </c:pt>
                      <c:pt idx="44">
                        <c:v>345</c:v>
                      </c:pt>
                      <c:pt idx="45">
                        <c:v>345</c:v>
                      </c:pt>
                      <c:pt idx="46">
                        <c:v>345</c:v>
                      </c:pt>
                      <c:pt idx="47">
                        <c:v>345</c:v>
                      </c:pt>
                      <c:pt idx="48">
                        <c:v>345</c:v>
                      </c:pt>
                      <c:pt idx="49">
                        <c:v>345</c:v>
                      </c:pt>
                      <c:pt idx="50">
                        <c:v>345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A1-4C62-9348-87DC5D975BB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グラフ!$I$5</c15:sqref>
                        </c15:formulaRef>
                      </c:ext>
                    </c:extLst>
                    <c:strCache>
                      <c:ptCount val="1"/>
                      <c:pt idx="0">
                        <c:v>降伏点outer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グラフ!$I$6:$I$56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  <c:pt idx="31">
                        <c:v>150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150</c:v>
                      </c:pt>
                      <c:pt idx="41">
                        <c:v>150</c:v>
                      </c:pt>
                      <c:pt idx="42">
                        <c:v>150</c:v>
                      </c:pt>
                      <c:pt idx="43">
                        <c:v>150</c:v>
                      </c:pt>
                      <c:pt idx="44">
                        <c:v>150</c:v>
                      </c:pt>
                      <c:pt idx="45">
                        <c:v>150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A1-4C62-9348-87DC5D975BB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グラフ!$J$5</c15:sqref>
                        </c15:formulaRef>
                      </c:ext>
                    </c:extLst>
                    <c:strCache>
                      <c:ptCount val="1"/>
                      <c:pt idx="0">
                        <c:v>円周方向応力inner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グラフ!$J$6:$J$56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26.946419757690951</c:v>
                      </c:pt>
                      <c:pt idx="2">
                        <c:v>53.892839515381901</c:v>
                      </c:pt>
                      <c:pt idx="3">
                        <c:v>80.839259273072884</c:v>
                      </c:pt>
                      <c:pt idx="4">
                        <c:v>107.7856790307638</c:v>
                      </c:pt>
                      <c:pt idx="5">
                        <c:v>134.73209878845481</c:v>
                      </c:pt>
                      <c:pt idx="6">
                        <c:v>161.67851854614577</c:v>
                      </c:pt>
                      <c:pt idx="7">
                        <c:v>188.62493830383673</c:v>
                      </c:pt>
                      <c:pt idx="8">
                        <c:v>215.5713580615276</c:v>
                      </c:pt>
                      <c:pt idx="9">
                        <c:v>242.51777781921859</c:v>
                      </c:pt>
                      <c:pt idx="10">
                        <c:v>269.46419757690961</c:v>
                      </c:pt>
                      <c:pt idx="11">
                        <c:v>296.41061733460054</c:v>
                      </c:pt>
                      <c:pt idx="12">
                        <c:v>323.35703709229153</c:v>
                      </c:pt>
                      <c:pt idx="13">
                        <c:v>350.30345684998247</c:v>
                      </c:pt>
                      <c:pt idx="14">
                        <c:v>377.24987660767346</c:v>
                      </c:pt>
                      <c:pt idx="15">
                        <c:v>404.19629636536439</c:v>
                      </c:pt>
                      <c:pt idx="16">
                        <c:v>431.14271612305521</c:v>
                      </c:pt>
                      <c:pt idx="17">
                        <c:v>458.08913588074637</c:v>
                      </c:pt>
                      <c:pt idx="18">
                        <c:v>485.03555563843719</c:v>
                      </c:pt>
                      <c:pt idx="19">
                        <c:v>511.98197539612818</c:v>
                      </c:pt>
                      <c:pt idx="20">
                        <c:v>538.92839515381922</c:v>
                      </c:pt>
                      <c:pt idx="21">
                        <c:v>565.87481491151016</c:v>
                      </c:pt>
                      <c:pt idx="22">
                        <c:v>592.82123466920109</c:v>
                      </c:pt>
                      <c:pt idx="23">
                        <c:v>619.76765442689202</c:v>
                      </c:pt>
                      <c:pt idx="24">
                        <c:v>646.71407418458307</c:v>
                      </c:pt>
                      <c:pt idx="25">
                        <c:v>673.66049394227389</c:v>
                      </c:pt>
                      <c:pt idx="26">
                        <c:v>700.60691369996493</c:v>
                      </c:pt>
                      <c:pt idx="27">
                        <c:v>727.55333345765598</c:v>
                      </c:pt>
                      <c:pt idx="28">
                        <c:v>754.49975321534691</c:v>
                      </c:pt>
                      <c:pt idx="29">
                        <c:v>781.44617297303773</c:v>
                      </c:pt>
                      <c:pt idx="30">
                        <c:v>808.39259273072878</c:v>
                      </c:pt>
                      <c:pt idx="31">
                        <c:v>835.3390124884196</c:v>
                      </c:pt>
                      <c:pt idx="32">
                        <c:v>862.28543224611042</c:v>
                      </c:pt>
                      <c:pt idx="33">
                        <c:v>889.23185200380181</c:v>
                      </c:pt>
                      <c:pt idx="34">
                        <c:v>916.17827176149274</c:v>
                      </c:pt>
                      <c:pt idx="35">
                        <c:v>943.12469151918356</c:v>
                      </c:pt>
                      <c:pt idx="36">
                        <c:v>970.07111127687438</c:v>
                      </c:pt>
                      <c:pt idx="37">
                        <c:v>997.01753103456542</c:v>
                      </c:pt>
                      <c:pt idx="38">
                        <c:v>1023.9639507922564</c:v>
                      </c:pt>
                      <c:pt idx="39">
                        <c:v>1050.9103705499474</c:v>
                      </c:pt>
                      <c:pt idx="40">
                        <c:v>1077.8567903076384</c:v>
                      </c:pt>
                      <c:pt idx="41">
                        <c:v>1104.8032100653295</c:v>
                      </c:pt>
                      <c:pt idx="42">
                        <c:v>1131.7496298230203</c:v>
                      </c:pt>
                      <c:pt idx="43">
                        <c:v>1158.6960495807111</c:v>
                      </c:pt>
                      <c:pt idx="44">
                        <c:v>1185.6424693384022</c:v>
                      </c:pt>
                      <c:pt idx="45">
                        <c:v>1212.5888890960932</c:v>
                      </c:pt>
                      <c:pt idx="46">
                        <c:v>1239.535308853784</c:v>
                      </c:pt>
                      <c:pt idx="47">
                        <c:v>1266.4817286114751</c:v>
                      </c:pt>
                      <c:pt idx="48">
                        <c:v>1293.4281483691661</c:v>
                      </c:pt>
                      <c:pt idx="49">
                        <c:v>1320.3745681268567</c:v>
                      </c:pt>
                      <c:pt idx="50">
                        <c:v>1347.3209878845478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A1-4C62-9348-87DC5D975BB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グラフ!$K$5</c15:sqref>
                        </c15:formulaRef>
                      </c:ext>
                    </c:extLst>
                    <c:strCache>
                      <c:ptCount val="1"/>
                      <c:pt idx="0">
                        <c:v>円周方向応力outer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グラフ!$K$6:$K$56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26.29413279534306</c:v>
                      </c:pt>
                      <c:pt idx="2">
                        <c:v>52.58826559068612</c:v>
                      </c:pt>
                      <c:pt idx="3">
                        <c:v>78.882398386029195</c:v>
                      </c:pt>
                      <c:pt idx="4">
                        <c:v>105.17653118137224</c:v>
                      </c:pt>
                      <c:pt idx="5">
                        <c:v>131.47066397671531</c:v>
                      </c:pt>
                      <c:pt idx="6">
                        <c:v>157.76479677205839</c:v>
                      </c:pt>
                      <c:pt idx="7">
                        <c:v>184.05892956740146</c:v>
                      </c:pt>
                      <c:pt idx="8">
                        <c:v>210.35306236274448</c:v>
                      </c:pt>
                      <c:pt idx="9">
                        <c:v>236.64719515808756</c:v>
                      </c:pt>
                      <c:pt idx="10">
                        <c:v>262.94132795343063</c:v>
                      </c:pt>
                      <c:pt idx="11">
                        <c:v>289.23546074877362</c:v>
                      </c:pt>
                      <c:pt idx="12">
                        <c:v>315.52959354411678</c:v>
                      </c:pt>
                      <c:pt idx="13">
                        <c:v>341.82372633945982</c:v>
                      </c:pt>
                      <c:pt idx="14">
                        <c:v>368.11785913480293</c:v>
                      </c:pt>
                      <c:pt idx="15">
                        <c:v>394.41199193014592</c:v>
                      </c:pt>
                      <c:pt idx="16">
                        <c:v>420.70612472548896</c:v>
                      </c:pt>
                      <c:pt idx="17">
                        <c:v>447.00025752083206</c:v>
                      </c:pt>
                      <c:pt idx="18">
                        <c:v>473.29439031617511</c:v>
                      </c:pt>
                      <c:pt idx="19">
                        <c:v>499.58852311151816</c:v>
                      </c:pt>
                      <c:pt idx="20">
                        <c:v>525.88265590686126</c:v>
                      </c:pt>
                      <c:pt idx="21">
                        <c:v>552.17678870220436</c:v>
                      </c:pt>
                      <c:pt idx="22">
                        <c:v>578.47092149754724</c:v>
                      </c:pt>
                      <c:pt idx="23">
                        <c:v>604.76505429289045</c:v>
                      </c:pt>
                      <c:pt idx="24">
                        <c:v>631.05918708823356</c:v>
                      </c:pt>
                      <c:pt idx="25">
                        <c:v>657.35331988357655</c:v>
                      </c:pt>
                      <c:pt idx="26">
                        <c:v>683.64745267891965</c:v>
                      </c:pt>
                      <c:pt idx="27">
                        <c:v>709.94158547426275</c:v>
                      </c:pt>
                      <c:pt idx="28">
                        <c:v>736.23571826960585</c:v>
                      </c:pt>
                      <c:pt idx="29">
                        <c:v>762.52985106494862</c:v>
                      </c:pt>
                      <c:pt idx="30">
                        <c:v>788.82398386029183</c:v>
                      </c:pt>
                      <c:pt idx="31">
                        <c:v>815.11811665563482</c:v>
                      </c:pt>
                      <c:pt idx="32">
                        <c:v>841.41224945097792</c:v>
                      </c:pt>
                      <c:pt idx="33">
                        <c:v>867.70638224632125</c:v>
                      </c:pt>
                      <c:pt idx="34">
                        <c:v>894.00051504166413</c:v>
                      </c:pt>
                      <c:pt idx="35">
                        <c:v>920.29464783700723</c:v>
                      </c:pt>
                      <c:pt idx="36">
                        <c:v>946.58878063235022</c:v>
                      </c:pt>
                      <c:pt idx="37">
                        <c:v>972.88291342769321</c:v>
                      </c:pt>
                      <c:pt idx="38">
                        <c:v>999.17704622303631</c:v>
                      </c:pt>
                      <c:pt idx="39">
                        <c:v>1025.4711790183794</c:v>
                      </c:pt>
                      <c:pt idx="40">
                        <c:v>1051.7653118137225</c:v>
                      </c:pt>
                      <c:pt idx="41">
                        <c:v>1078.0594446090656</c:v>
                      </c:pt>
                      <c:pt idx="42">
                        <c:v>1104.3535774044087</c:v>
                      </c:pt>
                      <c:pt idx="43">
                        <c:v>1130.6477101997516</c:v>
                      </c:pt>
                      <c:pt idx="44">
                        <c:v>1156.9418429950945</c:v>
                      </c:pt>
                      <c:pt idx="45">
                        <c:v>1183.2359757904378</c:v>
                      </c:pt>
                      <c:pt idx="46">
                        <c:v>1209.5301085857809</c:v>
                      </c:pt>
                      <c:pt idx="47">
                        <c:v>1235.824241381124</c:v>
                      </c:pt>
                      <c:pt idx="48">
                        <c:v>1262.1183741764671</c:v>
                      </c:pt>
                      <c:pt idx="49">
                        <c:v>1288.4125069718098</c:v>
                      </c:pt>
                      <c:pt idx="50">
                        <c:v>1314.7066397671531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A1-4C62-9348-87DC5D975BBC}"/>
                  </c:ext>
                </c:extLst>
              </c15:ser>
            </c15:filteredScatterSeries>
          </c:ext>
        </c:extLst>
      </c:scatterChart>
      <c:valAx>
        <c:axId val="206933865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グラフ!$A$4</c:f>
              <c:strCache>
                <c:ptCount val="1"/>
                <c:pt idx="0">
                  <c:v>締め代[mm]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4079"/>
        <c:crosses val="autoZero"/>
        <c:crossBetween val="midCat"/>
      </c:valAx>
      <c:valAx>
        <c:axId val="2069334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グラフ!$E$4</c:f>
              <c:strCache>
                <c:ptCount val="1"/>
                <c:pt idx="0">
                  <c:v>圧入力[kN]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締め代</a:t>
            </a:r>
            <a:r>
              <a:rPr lang="en-US" altLang="ja-JP"/>
              <a:t>vs</a:t>
            </a:r>
            <a:r>
              <a:rPr lang="ja-JP" altLang="en-US"/>
              <a:t>応力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グラフ!$H$5</c:f>
              <c:strCache>
                <c:ptCount val="1"/>
                <c:pt idx="0">
                  <c:v>降伏点inner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グラフ!$H$6:$H$56</c:f>
              <c:numCache>
                <c:formatCode>0.0</c:formatCode>
                <c:ptCount val="51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345</c:v>
                </c:pt>
                <c:pt idx="22">
                  <c:v>345</c:v>
                </c:pt>
                <c:pt idx="23">
                  <c:v>345</c:v>
                </c:pt>
                <c:pt idx="24">
                  <c:v>345</c:v>
                </c:pt>
                <c:pt idx="25">
                  <c:v>345</c:v>
                </c:pt>
                <c:pt idx="26">
                  <c:v>345</c:v>
                </c:pt>
                <c:pt idx="27">
                  <c:v>345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345</c:v>
                </c:pt>
                <c:pt idx="32">
                  <c:v>345</c:v>
                </c:pt>
                <c:pt idx="33">
                  <c:v>345</c:v>
                </c:pt>
                <c:pt idx="34">
                  <c:v>345</c:v>
                </c:pt>
                <c:pt idx="35">
                  <c:v>345</c:v>
                </c:pt>
                <c:pt idx="36">
                  <c:v>345</c:v>
                </c:pt>
                <c:pt idx="37">
                  <c:v>345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345</c:v>
                </c:pt>
                <c:pt idx="43">
                  <c:v>345</c:v>
                </c:pt>
                <c:pt idx="44">
                  <c:v>345</c:v>
                </c:pt>
                <c:pt idx="45">
                  <c:v>345</c:v>
                </c:pt>
                <c:pt idx="46">
                  <c:v>345</c:v>
                </c:pt>
                <c:pt idx="47">
                  <c:v>345</c:v>
                </c:pt>
                <c:pt idx="48">
                  <c:v>345</c:v>
                </c:pt>
                <c:pt idx="49">
                  <c:v>345</c:v>
                </c:pt>
                <c:pt idx="50">
                  <c:v>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C-489F-9151-FEC3986707C7}"/>
            </c:ext>
          </c:extLst>
        </c:ser>
        <c:ser>
          <c:idx val="0"/>
          <c:order val="0"/>
          <c:tx>
            <c:strRef>
              <c:f>グラフ!$B$5</c:f>
              <c:strCache>
                <c:ptCount val="1"/>
                <c:pt idx="0">
                  <c:v>半径方向応力min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グラフ!$B$6:$B$56</c:f>
              <c:numCache>
                <c:formatCode>0.0</c:formatCode>
                <c:ptCount val="51"/>
                <c:pt idx="0">
                  <c:v>0</c:v>
                </c:pt>
                <c:pt idx="1">
                  <c:v>9.8586186524371175</c:v>
                </c:pt>
                <c:pt idx="2">
                  <c:v>19.717237304874235</c:v>
                </c:pt>
                <c:pt idx="3">
                  <c:v>29.575855957311354</c:v>
                </c:pt>
                <c:pt idx="4">
                  <c:v>39.43447460974847</c:v>
                </c:pt>
                <c:pt idx="5">
                  <c:v>49.293093262185593</c:v>
                </c:pt>
                <c:pt idx="6">
                  <c:v>59.151711914622709</c:v>
                </c:pt>
                <c:pt idx="7">
                  <c:v>69.010330567059825</c:v>
                </c:pt>
                <c:pt idx="8">
                  <c:v>78.86894921949694</c:v>
                </c:pt>
                <c:pt idx="9">
                  <c:v>88.727567871934056</c:v>
                </c:pt>
                <c:pt idx="10">
                  <c:v>98.586186524371186</c:v>
                </c:pt>
                <c:pt idx="11">
                  <c:v>108.44480517680829</c:v>
                </c:pt>
                <c:pt idx="12">
                  <c:v>118.30342382924542</c:v>
                </c:pt>
                <c:pt idx="13">
                  <c:v>128.16204248168253</c:v>
                </c:pt>
                <c:pt idx="14">
                  <c:v>138.02066113411965</c:v>
                </c:pt>
                <c:pt idx="15">
                  <c:v>147.87927978655676</c:v>
                </c:pt>
                <c:pt idx="16">
                  <c:v>157.73789843899388</c:v>
                </c:pt>
                <c:pt idx="17">
                  <c:v>167.596517091431</c:v>
                </c:pt>
                <c:pt idx="18">
                  <c:v>177.45513574386811</c:v>
                </c:pt>
                <c:pt idx="19">
                  <c:v>187.31375439630523</c:v>
                </c:pt>
                <c:pt idx="20">
                  <c:v>197.17237304874237</c:v>
                </c:pt>
                <c:pt idx="21">
                  <c:v>207.03099170117946</c:v>
                </c:pt>
                <c:pt idx="22">
                  <c:v>216.88961035361658</c:v>
                </c:pt>
                <c:pt idx="23">
                  <c:v>226.74822900605372</c:v>
                </c:pt>
                <c:pt idx="24">
                  <c:v>236.60684765849084</c:v>
                </c:pt>
                <c:pt idx="25">
                  <c:v>246.46546631092792</c:v>
                </c:pt>
                <c:pt idx="26">
                  <c:v>256.32408496336507</c:v>
                </c:pt>
                <c:pt idx="27">
                  <c:v>266.18270361580221</c:v>
                </c:pt>
                <c:pt idx="28">
                  <c:v>276.0413222682393</c:v>
                </c:pt>
                <c:pt idx="29">
                  <c:v>285.89994092067639</c:v>
                </c:pt>
                <c:pt idx="30">
                  <c:v>295.75855957311353</c:v>
                </c:pt>
                <c:pt idx="31">
                  <c:v>305.61717822555062</c:v>
                </c:pt>
                <c:pt idx="32">
                  <c:v>315.47579687798776</c:v>
                </c:pt>
                <c:pt idx="33">
                  <c:v>325.33441553042491</c:v>
                </c:pt>
                <c:pt idx="34">
                  <c:v>335.19303418286199</c:v>
                </c:pt>
                <c:pt idx="35">
                  <c:v>345.05165283529914</c:v>
                </c:pt>
                <c:pt idx="36">
                  <c:v>354.91027148773622</c:v>
                </c:pt>
                <c:pt idx="37">
                  <c:v>364.76889014017337</c:v>
                </c:pt>
                <c:pt idx="38">
                  <c:v>374.62750879261046</c:v>
                </c:pt>
                <c:pt idx="39">
                  <c:v>384.4861274450476</c:v>
                </c:pt>
                <c:pt idx="40">
                  <c:v>394.34474609748474</c:v>
                </c:pt>
                <c:pt idx="41">
                  <c:v>404.20336474992183</c:v>
                </c:pt>
                <c:pt idx="42">
                  <c:v>414.06198340235892</c:v>
                </c:pt>
                <c:pt idx="43">
                  <c:v>423.92060205479606</c:v>
                </c:pt>
                <c:pt idx="44">
                  <c:v>433.77922070723315</c:v>
                </c:pt>
                <c:pt idx="45">
                  <c:v>443.63783935967029</c:v>
                </c:pt>
                <c:pt idx="46">
                  <c:v>453.49645801210744</c:v>
                </c:pt>
                <c:pt idx="47">
                  <c:v>463.35507666454458</c:v>
                </c:pt>
                <c:pt idx="48">
                  <c:v>473.21369531698167</c:v>
                </c:pt>
                <c:pt idx="49">
                  <c:v>483.0723139694187</c:v>
                </c:pt>
                <c:pt idx="50">
                  <c:v>492.93093262185585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C-489F-9151-FEC3986707C7}"/>
            </c:ext>
          </c:extLst>
        </c:ser>
        <c:ser>
          <c:idx val="1"/>
          <c:order val="1"/>
          <c:tx>
            <c:strRef>
              <c:f>グラフ!$C$5</c:f>
              <c:strCache>
                <c:ptCount val="1"/>
                <c:pt idx="0">
                  <c:v>半径方向応力nor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グラフ!$C$6:$C$56</c:f>
              <c:numCache>
                <c:formatCode>0.0</c:formatCode>
                <c:ptCount val="51"/>
                <c:pt idx="0">
                  <c:v>0</c:v>
                </c:pt>
                <c:pt idx="1">
                  <c:v>10.109393992012501</c:v>
                </c:pt>
                <c:pt idx="2">
                  <c:v>20.218787984025003</c:v>
                </c:pt>
                <c:pt idx="3">
                  <c:v>30.328181976037509</c:v>
                </c:pt>
                <c:pt idx="4">
                  <c:v>40.437575968050005</c:v>
                </c:pt>
                <c:pt idx="5">
                  <c:v>50.546969960062519</c:v>
                </c:pt>
                <c:pt idx="6">
                  <c:v>60.656363952075019</c:v>
                </c:pt>
                <c:pt idx="7">
                  <c:v>70.765757944087525</c:v>
                </c:pt>
                <c:pt idx="8">
                  <c:v>80.875151936100011</c:v>
                </c:pt>
                <c:pt idx="9">
                  <c:v>90.984545928112524</c:v>
                </c:pt>
                <c:pt idx="10">
                  <c:v>101.09393992012504</c:v>
                </c:pt>
                <c:pt idx="11">
                  <c:v>111.20333391213752</c:v>
                </c:pt>
                <c:pt idx="12">
                  <c:v>121.31272790415004</c:v>
                </c:pt>
                <c:pt idx="13">
                  <c:v>131.42212189616254</c:v>
                </c:pt>
                <c:pt idx="14">
                  <c:v>141.53151588817505</c:v>
                </c:pt>
                <c:pt idx="15">
                  <c:v>151.64090988018754</c:v>
                </c:pt>
                <c:pt idx="16">
                  <c:v>161.75030387220002</c:v>
                </c:pt>
                <c:pt idx="17">
                  <c:v>171.85969786421256</c:v>
                </c:pt>
                <c:pt idx="18">
                  <c:v>181.96909185622505</c:v>
                </c:pt>
                <c:pt idx="19">
                  <c:v>192.07848584823753</c:v>
                </c:pt>
                <c:pt idx="20">
                  <c:v>202.18787984025008</c:v>
                </c:pt>
                <c:pt idx="21">
                  <c:v>212.29727383226256</c:v>
                </c:pt>
                <c:pt idx="22">
                  <c:v>222.40666782427505</c:v>
                </c:pt>
                <c:pt idx="23">
                  <c:v>232.51606181628756</c:v>
                </c:pt>
                <c:pt idx="24">
                  <c:v>242.62545580830007</c:v>
                </c:pt>
                <c:pt idx="25">
                  <c:v>252.73484980031256</c:v>
                </c:pt>
                <c:pt idx="26">
                  <c:v>262.84424379232507</c:v>
                </c:pt>
                <c:pt idx="27">
                  <c:v>272.95363778433762</c:v>
                </c:pt>
                <c:pt idx="28">
                  <c:v>283.0630317763501</c:v>
                </c:pt>
                <c:pt idx="29">
                  <c:v>293.17242576836253</c:v>
                </c:pt>
                <c:pt idx="30">
                  <c:v>303.28181976037507</c:v>
                </c:pt>
                <c:pt idx="31">
                  <c:v>313.39121375238756</c:v>
                </c:pt>
                <c:pt idx="32">
                  <c:v>323.50060774440004</c:v>
                </c:pt>
                <c:pt idx="33">
                  <c:v>333.61000173641264</c:v>
                </c:pt>
                <c:pt idx="34">
                  <c:v>343.71939572842513</c:v>
                </c:pt>
                <c:pt idx="35">
                  <c:v>353.82878972043761</c:v>
                </c:pt>
                <c:pt idx="36">
                  <c:v>363.9381837124501</c:v>
                </c:pt>
                <c:pt idx="37">
                  <c:v>374.04757770446258</c:v>
                </c:pt>
                <c:pt idx="38">
                  <c:v>384.15697169647507</c:v>
                </c:pt>
                <c:pt idx="39">
                  <c:v>394.26636568848761</c:v>
                </c:pt>
                <c:pt idx="40">
                  <c:v>404.37575968050015</c:v>
                </c:pt>
                <c:pt idx="41">
                  <c:v>414.48515367251264</c:v>
                </c:pt>
                <c:pt idx="42">
                  <c:v>424.59454766452512</c:v>
                </c:pt>
                <c:pt idx="43">
                  <c:v>434.70394165653761</c:v>
                </c:pt>
                <c:pt idx="44">
                  <c:v>444.81333564855009</c:v>
                </c:pt>
                <c:pt idx="45">
                  <c:v>454.92272964056264</c:v>
                </c:pt>
                <c:pt idx="46">
                  <c:v>465.03212363257512</c:v>
                </c:pt>
                <c:pt idx="47">
                  <c:v>475.14151762458766</c:v>
                </c:pt>
                <c:pt idx="48">
                  <c:v>485.25091161660015</c:v>
                </c:pt>
                <c:pt idx="49">
                  <c:v>495.36030560861258</c:v>
                </c:pt>
                <c:pt idx="50">
                  <c:v>505.46969960062512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CC-489F-9151-FEC3986707C7}"/>
            </c:ext>
          </c:extLst>
        </c:ser>
        <c:ser>
          <c:idx val="2"/>
          <c:order val="2"/>
          <c:tx>
            <c:strRef>
              <c:f>グラフ!$D$5</c:f>
              <c:strCache>
                <c:ptCount val="1"/>
                <c:pt idx="0">
                  <c:v>半径方向応力max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グラフ!$D$6:$D$56</c:f>
              <c:numCache>
                <c:formatCode>0.0</c:formatCode>
                <c:ptCount val="51"/>
                <c:pt idx="0">
                  <c:v>0</c:v>
                </c:pt>
                <c:pt idx="1">
                  <c:v>10.344605808716686</c:v>
                </c:pt>
                <c:pt idx="2">
                  <c:v>20.689211617433372</c:v>
                </c:pt>
                <c:pt idx="3">
                  <c:v>31.033817426150058</c:v>
                </c:pt>
                <c:pt idx="4">
                  <c:v>41.378423234866744</c:v>
                </c:pt>
                <c:pt idx="5">
                  <c:v>51.723029043583431</c:v>
                </c:pt>
                <c:pt idx="6">
                  <c:v>62.067634852300117</c:v>
                </c:pt>
                <c:pt idx="7">
                  <c:v>72.41224066101681</c:v>
                </c:pt>
                <c:pt idx="8">
                  <c:v>82.756846469733489</c:v>
                </c:pt>
                <c:pt idx="9">
                  <c:v>93.101452278450168</c:v>
                </c:pt>
                <c:pt idx="10">
                  <c:v>103.44605808716686</c:v>
                </c:pt>
                <c:pt idx="11">
                  <c:v>113.79066389588354</c:v>
                </c:pt>
                <c:pt idx="12">
                  <c:v>124.13526970460023</c:v>
                </c:pt>
                <c:pt idx="13">
                  <c:v>134.4798755133169</c:v>
                </c:pt>
                <c:pt idx="14">
                  <c:v>144.82448132203362</c:v>
                </c:pt>
                <c:pt idx="15">
                  <c:v>155.16908713075028</c:v>
                </c:pt>
                <c:pt idx="16">
                  <c:v>165.51369293946698</c:v>
                </c:pt>
                <c:pt idx="17">
                  <c:v>175.85829874818367</c:v>
                </c:pt>
                <c:pt idx="18">
                  <c:v>186.20290455690034</c:v>
                </c:pt>
                <c:pt idx="19">
                  <c:v>196.54751036561703</c:v>
                </c:pt>
                <c:pt idx="20">
                  <c:v>206.89211617433372</c:v>
                </c:pt>
                <c:pt idx="21">
                  <c:v>217.23672198305042</c:v>
                </c:pt>
                <c:pt idx="22">
                  <c:v>227.58132779176708</c:v>
                </c:pt>
                <c:pt idx="23">
                  <c:v>237.92593360048377</c:v>
                </c:pt>
                <c:pt idx="24">
                  <c:v>248.27053940920047</c:v>
                </c:pt>
                <c:pt idx="25">
                  <c:v>258.61514521791713</c:v>
                </c:pt>
                <c:pt idx="26">
                  <c:v>268.9597510266338</c:v>
                </c:pt>
                <c:pt idx="27">
                  <c:v>279.30435683535057</c:v>
                </c:pt>
                <c:pt idx="28">
                  <c:v>289.64896264406724</c:v>
                </c:pt>
                <c:pt idx="29">
                  <c:v>299.99356845278385</c:v>
                </c:pt>
                <c:pt idx="30">
                  <c:v>310.33817426150057</c:v>
                </c:pt>
                <c:pt idx="31">
                  <c:v>320.68278007021723</c:v>
                </c:pt>
                <c:pt idx="32">
                  <c:v>331.02738587893396</c:v>
                </c:pt>
                <c:pt idx="33">
                  <c:v>341.37199168765068</c:v>
                </c:pt>
                <c:pt idx="34">
                  <c:v>351.71659749636734</c:v>
                </c:pt>
                <c:pt idx="35">
                  <c:v>362.06120330508401</c:v>
                </c:pt>
                <c:pt idx="36">
                  <c:v>372.40580911380067</c:v>
                </c:pt>
                <c:pt idx="37">
                  <c:v>382.75041492251739</c:v>
                </c:pt>
                <c:pt idx="38">
                  <c:v>393.09502073123406</c:v>
                </c:pt>
                <c:pt idx="39">
                  <c:v>403.43962653995078</c:v>
                </c:pt>
                <c:pt idx="40">
                  <c:v>413.78423234866744</c:v>
                </c:pt>
                <c:pt idx="41">
                  <c:v>424.12883815738411</c:v>
                </c:pt>
                <c:pt idx="42">
                  <c:v>434.47344396610083</c:v>
                </c:pt>
                <c:pt idx="43">
                  <c:v>444.8180497748175</c:v>
                </c:pt>
                <c:pt idx="44">
                  <c:v>455.16265558353416</c:v>
                </c:pt>
                <c:pt idx="45">
                  <c:v>465.50726139225088</c:v>
                </c:pt>
                <c:pt idx="46">
                  <c:v>475.85186720096755</c:v>
                </c:pt>
                <c:pt idx="47">
                  <c:v>486.19647300968433</c:v>
                </c:pt>
                <c:pt idx="48">
                  <c:v>496.54107881840093</c:v>
                </c:pt>
                <c:pt idx="49">
                  <c:v>506.88568462711754</c:v>
                </c:pt>
                <c:pt idx="50">
                  <c:v>517.23029043583426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CC-489F-9151-FEC3986707C7}"/>
            </c:ext>
          </c:extLst>
        </c:ser>
        <c:ser>
          <c:idx val="7"/>
          <c:order val="7"/>
          <c:tx>
            <c:strRef>
              <c:f>グラフ!$I$5</c:f>
              <c:strCache>
                <c:ptCount val="1"/>
                <c:pt idx="0">
                  <c:v>降伏点outer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グラフ!$I$6:$I$56</c:f>
              <c:numCache>
                <c:formatCode>0.0</c:formatCode>
                <c:ptCount val="5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CC-489F-9151-FEC3986707C7}"/>
            </c:ext>
          </c:extLst>
        </c:ser>
        <c:ser>
          <c:idx val="8"/>
          <c:order val="8"/>
          <c:tx>
            <c:strRef>
              <c:f>グラフ!$J$5</c:f>
              <c:strCache>
                <c:ptCount val="1"/>
                <c:pt idx="0">
                  <c:v>円周方向応力inner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グラフ!$J$6:$J$56</c:f>
              <c:numCache>
                <c:formatCode>0.0</c:formatCode>
                <c:ptCount val="51"/>
                <c:pt idx="0">
                  <c:v>0</c:v>
                </c:pt>
                <c:pt idx="1">
                  <c:v>26.946419757690951</c:v>
                </c:pt>
                <c:pt idx="2">
                  <c:v>53.892839515381901</c:v>
                </c:pt>
                <c:pt idx="3">
                  <c:v>80.839259273072884</c:v>
                </c:pt>
                <c:pt idx="4">
                  <c:v>107.7856790307638</c:v>
                </c:pt>
                <c:pt idx="5">
                  <c:v>134.73209878845481</c:v>
                </c:pt>
                <c:pt idx="6">
                  <c:v>161.67851854614577</c:v>
                </c:pt>
                <c:pt idx="7">
                  <c:v>188.62493830383673</c:v>
                </c:pt>
                <c:pt idx="8">
                  <c:v>215.5713580615276</c:v>
                </c:pt>
                <c:pt idx="9">
                  <c:v>242.51777781921859</c:v>
                </c:pt>
                <c:pt idx="10">
                  <c:v>269.46419757690961</c:v>
                </c:pt>
                <c:pt idx="11">
                  <c:v>296.41061733460054</c:v>
                </c:pt>
                <c:pt idx="12">
                  <c:v>323.35703709229153</c:v>
                </c:pt>
                <c:pt idx="13">
                  <c:v>350.30345684998247</c:v>
                </c:pt>
                <c:pt idx="14">
                  <c:v>377.24987660767346</c:v>
                </c:pt>
                <c:pt idx="15">
                  <c:v>404.19629636536439</c:v>
                </c:pt>
                <c:pt idx="16">
                  <c:v>431.14271612305521</c:v>
                </c:pt>
                <c:pt idx="17">
                  <c:v>458.08913588074637</c:v>
                </c:pt>
                <c:pt idx="18">
                  <c:v>485.03555563843719</c:v>
                </c:pt>
                <c:pt idx="19">
                  <c:v>511.98197539612818</c:v>
                </c:pt>
                <c:pt idx="20">
                  <c:v>538.92839515381922</c:v>
                </c:pt>
                <c:pt idx="21">
                  <c:v>565.87481491151016</c:v>
                </c:pt>
                <c:pt idx="22">
                  <c:v>592.82123466920109</c:v>
                </c:pt>
                <c:pt idx="23">
                  <c:v>619.76765442689202</c:v>
                </c:pt>
                <c:pt idx="24">
                  <c:v>646.71407418458307</c:v>
                </c:pt>
                <c:pt idx="25">
                  <c:v>673.66049394227389</c:v>
                </c:pt>
                <c:pt idx="26">
                  <c:v>700.60691369996493</c:v>
                </c:pt>
                <c:pt idx="27">
                  <c:v>727.55333345765598</c:v>
                </c:pt>
                <c:pt idx="28">
                  <c:v>754.49975321534691</c:v>
                </c:pt>
                <c:pt idx="29">
                  <c:v>781.44617297303773</c:v>
                </c:pt>
                <c:pt idx="30">
                  <c:v>808.39259273072878</c:v>
                </c:pt>
                <c:pt idx="31">
                  <c:v>835.3390124884196</c:v>
                </c:pt>
                <c:pt idx="32">
                  <c:v>862.28543224611042</c:v>
                </c:pt>
                <c:pt idx="33">
                  <c:v>889.23185200380181</c:v>
                </c:pt>
                <c:pt idx="34">
                  <c:v>916.17827176149274</c:v>
                </c:pt>
                <c:pt idx="35">
                  <c:v>943.12469151918356</c:v>
                </c:pt>
                <c:pt idx="36">
                  <c:v>970.07111127687438</c:v>
                </c:pt>
                <c:pt idx="37">
                  <c:v>997.01753103456542</c:v>
                </c:pt>
                <c:pt idx="38">
                  <c:v>1023.9639507922564</c:v>
                </c:pt>
                <c:pt idx="39">
                  <c:v>1050.9103705499474</c:v>
                </c:pt>
                <c:pt idx="40">
                  <c:v>1077.8567903076384</c:v>
                </c:pt>
                <c:pt idx="41">
                  <c:v>1104.8032100653295</c:v>
                </c:pt>
                <c:pt idx="42">
                  <c:v>1131.7496298230203</c:v>
                </c:pt>
                <c:pt idx="43">
                  <c:v>1158.6960495807111</c:v>
                </c:pt>
                <c:pt idx="44">
                  <c:v>1185.6424693384022</c:v>
                </c:pt>
                <c:pt idx="45">
                  <c:v>1212.5888890960932</c:v>
                </c:pt>
                <c:pt idx="46">
                  <c:v>1239.535308853784</c:v>
                </c:pt>
                <c:pt idx="47">
                  <c:v>1266.4817286114751</c:v>
                </c:pt>
                <c:pt idx="48">
                  <c:v>1293.4281483691661</c:v>
                </c:pt>
                <c:pt idx="49">
                  <c:v>1320.3745681268567</c:v>
                </c:pt>
                <c:pt idx="50">
                  <c:v>1347.3209878845478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CC-489F-9151-FEC3986707C7}"/>
            </c:ext>
          </c:extLst>
        </c:ser>
        <c:ser>
          <c:idx val="9"/>
          <c:order val="9"/>
          <c:tx>
            <c:strRef>
              <c:f>グラフ!$K$5</c:f>
              <c:strCache>
                <c:ptCount val="1"/>
                <c:pt idx="0">
                  <c:v>円周方向応力outer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グラフ!$K$6:$K$56</c:f>
              <c:numCache>
                <c:formatCode>0.0</c:formatCode>
                <c:ptCount val="51"/>
                <c:pt idx="0">
                  <c:v>0</c:v>
                </c:pt>
                <c:pt idx="1">
                  <c:v>26.29413279534306</c:v>
                </c:pt>
                <c:pt idx="2">
                  <c:v>52.58826559068612</c:v>
                </c:pt>
                <c:pt idx="3">
                  <c:v>78.882398386029195</c:v>
                </c:pt>
                <c:pt idx="4">
                  <c:v>105.17653118137224</c:v>
                </c:pt>
                <c:pt idx="5">
                  <c:v>131.47066397671531</c:v>
                </c:pt>
                <c:pt idx="6">
                  <c:v>157.76479677205839</c:v>
                </c:pt>
                <c:pt idx="7">
                  <c:v>184.05892956740146</c:v>
                </c:pt>
                <c:pt idx="8">
                  <c:v>210.35306236274448</c:v>
                </c:pt>
                <c:pt idx="9">
                  <c:v>236.64719515808756</c:v>
                </c:pt>
                <c:pt idx="10">
                  <c:v>262.94132795343063</c:v>
                </c:pt>
                <c:pt idx="11">
                  <c:v>289.23546074877362</c:v>
                </c:pt>
                <c:pt idx="12">
                  <c:v>315.52959354411678</c:v>
                </c:pt>
                <c:pt idx="13">
                  <c:v>341.82372633945982</c:v>
                </c:pt>
                <c:pt idx="14">
                  <c:v>368.11785913480293</c:v>
                </c:pt>
                <c:pt idx="15">
                  <c:v>394.41199193014592</c:v>
                </c:pt>
                <c:pt idx="16">
                  <c:v>420.70612472548896</c:v>
                </c:pt>
                <c:pt idx="17">
                  <c:v>447.00025752083206</c:v>
                </c:pt>
                <c:pt idx="18">
                  <c:v>473.29439031617511</c:v>
                </c:pt>
                <c:pt idx="19">
                  <c:v>499.58852311151816</c:v>
                </c:pt>
                <c:pt idx="20">
                  <c:v>525.88265590686126</c:v>
                </c:pt>
                <c:pt idx="21">
                  <c:v>552.17678870220436</c:v>
                </c:pt>
                <c:pt idx="22">
                  <c:v>578.47092149754724</c:v>
                </c:pt>
                <c:pt idx="23">
                  <c:v>604.76505429289045</c:v>
                </c:pt>
                <c:pt idx="24">
                  <c:v>631.05918708823356</c:v>
                </c:pt>
                <c:pt idx="25">
                  <c:v>657.35331988357655</c:v>
                </c:pt>
                <c:pt idx="26">
                  <c:v>683.64745267891965</c:v>
                </c:pt>
                <c:pt idx="27">
                  <c:v>709.94158547426275</c:v>
                </c:pt>
                <c:pt idx="28">
                  <c:v>736.23571826960585</c:v>
                </c:pt>
                <c:pt idx="29">
                  <c:v>762.52985106494862</c:v>
                </c:pt>
                <c:pt idx="30">
                  <c:v>788.82398386029183</c:v>
                </c:pt>
                <c:pt idx="31">
                  <c:v>815.11811665563482</c:v>
                </c:pt>
                <c:pt idx="32">
                  <c:v>841.41224945097792</c:v>
                </c:pt>
                <c:pt idx="33">
                  <c:v>867.70638224632125</c:v>
                </c:pt>
                <c:pt idx="34">
                  <c:v>894.00051504166413</c:v>
                </c:pt>
                <c:pt idx="35">
                  <c:v>920.29464783700723</c:v>
                </c:pt>
                <c:pt idx="36">
                  <c:v>946.58878063235022</c:v>
                </c:pt>
                <c:pt idx="37">
                  <c:v>972.88291342769321</c:v>
                </c:pt>
                <c:pt idx="38">
                  <c:v>999.17704622303631</c:v>
                </c:pt>
                <c:pt idx="39">
                  <c:v>1025.4711790183794</c:v>
                </c:pt>
                <c:pt idx="40">
                  <c:v>1051.7653118137225</c:v>
                </c:pt>
                <c:pt idx="41">
                  <c:v>1078.0594446090656</c:v>
                </c:pt>
                <c:pt idx="42">
                  <c:v>1104.3535774044087</c:v>
                </c:pt>
                <c:pt idx="43">
                  <c:v>1130.6477101997516</c:v>
                </c:pt>
                <c:pt idx="44">
                  <c:v>1156.9418429950945</c:v>
                </c:pt>
                <c:pt idx="45">
                  <c:v>1183.2359757904378</c:v>
                </c:pt>
                <c:pt idx="46">
                  <c:v>1209.5301085857809</c:v>
                </c:pt>
                <c:pt idx="47">
                  <c:v>1235.824241381124</c:v>
                </c:pt>
                <c:pt idx="48">
                  <c:v>1262.1183741764671</c:v>
                </c:pt>
                <c:pt idx="49">
                  <c:v>1288.4125069718098</c:v>
                </c:pt>
                <c:pt idx="50">
                  <c:v>1314.7066397671531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CC-489F-9151-FEC39867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38655"/>
        <c:axId val="206933407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グラフ!$E$5</c15:sqref>
                        </c15:formulaRef>
                      </c:ext>
                    </c:extLst>
                    <c:strCache>
                      <c:ptCount val="1"/>
                      <c:pt idx="0">
                        <c:v>圧入力min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グラフ!$E$6:$E$56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1.1466011166185903</c:v>
                      </c:pt>
                      <c:pt idx="2">
                        <c:v>2.2932022332371806</c:v>
                      </c:pt>
                      <c:pt idx="3">
                        <c:v>3.4398033498557705</c:v>
                      </c:pt>
                      <c:pt idx="4">
                        <c:v>4.5864044664743613</c:v>
                      </c:pt>
                      <c:pt idx="5">
                        <c:v>5.7330055830929512</c:v>
                      </c:pt>
                      <c:pt idx="6">
                        <c:v>6.879606699711541</c:v>
                      </c:pt>
                      <c:pt idx="7">
                        <c:v>8.0262078163301318</c:v>
                      </c:pt>
                      <c:pt idx="8">
                        <c:v>9.1728089329487226</c:v>
                      </c:pt>
                      <c:pt idx="9">
                        <c:v>10.319410049567312</c:v>
                      </c:pt>
                      <c:pt idx="10">
                        <c:v>11.466011166185902</c:v>
                      </c:pt>
                      <c:pt idx="11">
                        <c:v>12.612612282804491</c:v>
                      </c:pt>
                      <c:pt idx="12">
                        <c:v>13.759213399423082</c:v>
                      </c:pt>
                      <c:pt idx="13">
                        <c:v>14.905814516041673</c:v>
                      </c:pt>
                      <c:pt idx="14">
                        <c:v>16.052415632660264</c:v>
                      </c:pt>
                      <c:pt idx="15">
                        <c:v>17.199016749278854</c:v>
                      </c:pt>
                      <c:pt idx="16">
                        <c:v>18.345617865897445</c:v>
                      </c:pt>
                      <c:pt idx="17">
                        <c:v>19.492218982516032</c:v>
                      </c:pt>
                      <c:pt idx="18">
                        <c:v>20.638820099134623</c:v>
                      </c:pt>
                      <c:pt idx="19">
                        <c:v>21.785421215753214</c:v>
                      </c:pt>
                      <c:pt idx="20">
                        <c:v>22.932022332371805</c:v>
                      </c:pt>
                      <c:pt idx="21">
                        <c:v>24.078623448990395</c:v>
                      </c:pt>
                      <c:pt idx="22">
                        <c:v>25.225224565608983</c:v>
                      </c:pt>
                      <c:pt idx="23">
                        <c:v>26.371825682227577</c:v>
                      </c:pt>
                      <c:pt idx="24">
                        <c:v>27.518426798846164</c:v>
                      </c:pt>
                      <c:pt idx="25">
                        <c:v>28.665027915464755</c:v>
                      </c:pt>
                      <c:pt idx="26">
                        <c:v>29.811629032083346</c:v>
                      </c:pt>
                      <c:pt idx="27">
                        <c:v>30.95823014870194</c:v>
                      </c:pt>
                      <c:pt idx="28">
                        <c:v>32.104831265320527</c:v>
                      </c:pt>
                      <c:pt idx="29">
                        <c:v>33.251432381939111</c:v>
                      </c:pt>
                      <c:pt idx="30">
                        <c:v>34.398033498557709</c:v>
                      </c:pt>
                      <c:pt idx="31">
                        <c:v>35.544634615176292</c:v>
                      </c:pt>
                      <c:pt idx="32">
                        <c:v>36.69123573179489</c:v>
                      </c:pt>
                      <c:pt idx="33">
                        <c:v>37.837836848413474</c:v>
                      </c:pt>
                      <c:pt idx="34">
                        <c:v>38.984437965032065</c:v>
                      </c:pt>
                      <c:pt idx="35">
                        <c:v>40.131039081650663</c:v>
                      </c:pt>
                      <c:pt idx="36">
                        <c:v>41.277640198269246</c:v>
                      </c:pt>
                      <c:pt idx="37">
                        <c:v>42.424241314887837</c:v>
                      </c:pt>
                      <c:pt idx="38">
                        <c:v>43.570842431506428</c:v>
                      </c:pt>
                      <c:pt idx="39">
                        <c:v>44.717443548125026</c:v>
                      </c:pt>
                      <c:pt idx="40">
                        <c:v>45.864044664743609</c:v>
                      </c:pt>
                      <c:pt idx="41">
                        <c:v>47.010645781362193</c:v>
                      </c:pt>
                      <c:pt idx="42">
                        <c:v>48.157246897980791</c:v>
                      </c:pt>
                      <c:pt idx="43">
                        <c:v>49.303848014599382</c:v>
                      </c:pt>
                      <c:pt idx="44">
                        <c:v>50.450449131217965</c:v>
                      </c:pt>
                      <c:pt idx="45">
                        <c:v>51.597050247836563</c:v>
                      </c:pt>
                      <c:pt idx="46">
                        <c:v>52.743651364455154</c:v>
                      </c:pt>
                      <c:pt idx="47">
                        <c:v>53.890252481073745</c:v>
                      </c:pt>
                      <c:pt idx="48">
                        <c:v>55.036853597692328</c:v>
                      </c:pt>
                      <c:pt idx="49">
                        <c:v>56.183454714310919</c:v>
                      </c:pt>
                      <c:pt idx="50">
                        <c:v>57.33005583092951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7CC-489F-9151-FEC3986707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グラフ!$F$5</c15:sqref>
                        </c15:formulaRef>
                      </c:ext>
                    </c:extLst>
                    <c:strCache>
                      <c:ptCount val="1"/>
                      <c:pt idx="0">
                        <c:v>圧入力nor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グラフ!$F$6:$F$56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1.4640256024385596</c:v>
                      </c:pt>
                      <c:pt idx="2">
                        <c:v>2.9280512048771192</c:v>
                      </c:pt>
                      <c:pt idx="3">
                        <c:v>4.3920768073156795</c:v>
                      </c:pt>
                      <c:pt idx="4">
                        <c:v>5.8561024097542385</c:v>
                      </c:pt>
                      <c:pt idx="5">
                        <c:v>7.3201280121927992</c:v>
                      </c:pt>
                      <c:pt idx="6">
                        <c:v>8.784153614631359</c:v>
                      </c:pt>
                      <c:pt idx="7">
                        <c:v>10.248179217069918</c:v>
                      </c:pt>
                      <c:pt idx="8">
                        <c:v>11.712204819508477</c:v>
                      </c:pt>
                      <c:pt idx="9">
                        <c:v>13.176230421947038</c:v>
                      </c:pt>
                      <c:pt idx="10">
                        <c:v>14.640256024385598</c:v>
                      </c:pt>
                      <c:pt idx="11">
                        <c:v>16.104281626824154</c:v>
                      </c:pt>
                      <c:pt idx="12">
                        <c:v>17.568307229262718</c:v>
                      </c:pt>
                      <c:pt idx="13">
                        <c:v>19.032332831701275</c:v>
                      </c:pt>
                      <c:pt idx="14">
                        <c:v>20.496358434139836</c:v>
                      </c:pt>
                      <c:pt idx="15">
                        <c:v>21.960384036578397</c:v>
                      </c:pt>
                      <c:pt idx="16">
                        <c:v>23.424409639016954</c:v>
                      </c:pt>
                      <c:pt idx="17">
                        <c:v>24.888435241455515</c:v>
                      </c:pt>
                      <c:pt idx="18">
                        <c:v>26.352460843894075</c:v>
                      </c:pt>
                      <c:pt idx="19">
                        <c:v>27.816486446332632</c:v>
                      </c:pt>
                      <c:pt idx="20">
                        <c:v>29.280512048771197</c:v>
                      </c:pt>
                      <c:pt idx="21">
                        <c:v>30.74453765120975</c:v>
                      </c:pt>
                      <c:pt idx="22">
                        <c:v>32.208563253648308</c:v>
                      </c:pt>
                      <c:pt idx="23">
                        <c:v>33.672588856086875</c:v>
                      </c:pt>
                      <c:pt idx="24">
                        <c:v>35.136614458525436</c:v>
                      </c:pt>
                      <c:pt idx="25">
                        <c:v>36.60064006096399</c:v>
                      </c:pt>
                      <c:pt idx="26">
                        <c:v>38.06466566340255</c:v>
                      </c:pt>
                      <c:pt idx="27">
                        <c:v>39.528691265841118</c:v>
                      </c:pt>
                      <c:pt idx="28">
                        <c:v>40.992716868279672</c:v>
                      </c:pt>
                      <c:pt idx="29">
                        <c:v>42.456742470718225</c:v>
                      </c:pt>
                      <c:pt idx="30">
                        <c:v>43.920768073156793</c:v>
                      </c:pt>
                      <c:pt idx="31">
                        <c:v>45.384793675595347</c:v>
                      </c:pt>
                      <c:pt idx="32">
                        <c:v>46.848819278033908</c:v>
                      </c:pt>
                      <c:pt idx="33">
                        <c:v>48.312844880472475</c:v>
                      </c:pt>
                      <c:pt idx="34">
                        <c:v>49.776870482911029</c:v>
                      </c:pt>
                      <c:pt idx="35">
                        <c:v>51.24089608534959</c:v>
                      </c:pt>
                      <c:pt idx="36">
                        <c:v>52.704921687788151</c:v>
                      </c:pt>
                      <c:pt idx="37">
                        <c:v>54.168947290226718</c:v>
                      </c:pt>
                      <c:pt idx="38">
                        <c:v>55.632972892665265</c:v>
                      </c:pt>
                      <c:pt idx="39">
                        <c:v>57.096998495103833</c:v>
                      </c:pt>
                      <c:pt idx="40">
                        <c:v>58.561024097542393</c:v>
                      </c:pt>
                      <c:pt idx="41">
                        <c:v>60.025049699980947</c:v>
                      </c:pt>
                      <c:pt idx="42">
                        <c:v>61.489075302419501</c:v>
                      </c:pt>
                      <c:pt idx="43">
                        <c:v>62.953100904858069</c:v>
                      </c:pt>
                      <c:pt idx="44">
                        <c:v>64.417126507296615</c:v>
                      </c:pt>
                      <c:pt idx="45">
                        <c:v>65.881152109735197</c:v>
                      </c:pt>
                      <c:pt idx="46">
                        <c:v>67.345177712173751</c:v>
                      </c:pt>
                      <c:pt idx="47">
                        <c:v>68.809203314612319</c:v>
                      </c:pt>
                      <c:pt idx="48">
                        <c:v>70.273228917050872</c:v>
                      </c:pt>
                      <c:pt idx="49">
                        <c:v>71.737254519489426</c:v>
                      </c:pt>
                      <c:pt idx="50">
                        <c:v>73.201280121927979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CC-489F-9151-FEC3986707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グラフ!$G$5</c15:sqref>
                        </c15:formulaRef>
                      </c:ext>
                    </c:extLst>
                    <c:strCache>
                      <c:ptCount val="1"/>
                      <c:pt idx="0">
                        <c:v>圧入力max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グラフ!$G$6:$G$56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1.7941066701665909</c:v>
                      </c:pt>
                      <c:pt idx="2">
                        <c:v>3.5882133403331817</c:v>
                      </c:pt>
                      <c:pt idx="3">
                        <c:v>5.3823200104997735</c:v>
                      </c:pt>
                      <c:pt idx="4">
                        <c:v>7.1764266806663635</c:v>
                      </c:pt>
                      <c:pt idx="5">
                        <c:v>8.9705333508329552</c:v>
                      </c:pt>
                      <c:pt idx="6">
                        <c:v>10.764640020999547</c:v>
                      </c:pt>
                      <c:pt idx="7">
                        <c:v>12.558746691166135</c:v>
                      </c:pt>
                      <c:pt idx="8">
                        <c:v>14.352853361332727</c:v>
                      </c:pt>
                      <c:pt idx="9">
                        <c:v>16.146960031499315</c:v>
                      </c:pt>
                      <c:pt idx="10">
                        <c:v>17.94106670166591</c:v>
                      </c:pt>
                      <c:pt idx="11">
                        <c:v>19.735173371832499</c:v>
                      </c:pt>
                      <c:pt idx="12">
                        <c:v>21.529280041999094</c:v>
                      </c:pt>
                      <c:pt idx="13">
                        <c:v>23.323386712165686</c:v>
                      </c:pt>
                      <c:pt idx="14">
                        <c:v>25.11749338233227</c:v>
                      </c:pt>
                      <c:pt idx="15">
                        <c:v>26.911600052498862</c:v>
                      </c:pt>
                      <c:pt idx="16">
                        <c:v>28.705706722665454</c:v>
                      </c:pt>
                      <c:pt idx="17">
                        <c:v>30.499813392832042</c:v>
                      </c:pt>
                      <c:pt idx="18">
                        <c:v>32.29392006299863</c:v>
                      </c:pt>
                      <c:pt idx="19">
                        <c:v>34.088026733165229</c:v>
                      </c:pt>
                      <c:pt idx="20">
                        <c:v>35.882133403331821</c:v>
                      </c:pt>
                      <c:pt idx="21">
                        <c:v>37.676240073498406</c:v>
                      </c:pt>
                      <c:pt idx="22">
                        <c:v>39.470346743664997</c:v>
                      </c:pt>
                      <c:pt idx="23">
                        <c:v>41.264453413831596</c:v>
                      </c:pt>
                      <c:pt idx="24">
                        <c:v>43.058560083998188</c:v>
                      </c:pt>
                      <c:pt idx="25">
                        <c:v>44.852666754164773</c:v>
                      </c:pt>
                      <c:pt idx="26">
                        <c:v>46.646773424331371</c:v>
                      </c:pt>
                      <c:pt idx="27">
                        <c:v>48.440880094497956</c:v>
                      </c:pt>
                      <c:pt idx="28">
                        <c:v>50.234986764664541</c:v>
                      </c:pt>
                      <c:pt idx="29">
                        <c:v>52.029093434831132</c:v>
                      </c:pt>
                      <c:pt idx="30">
                        <c:v>53.823200104997724</c:v>
                      </c:pt>
                      <c:pt idx="31">
                        <c:v>55.617306775164309</c:v>
                      </c:pt>
                      <c:pt idx="32">
                        <c:v>57.411413445330908</c:v>
                      </c:pt>
                      <c:pt idx="33">
                        <c:v>59.205520115497499</c:v>
                      </c:pt>
                      <c:pt idx="34">
                        <c:v>60.999626785664084</c:v>
                      </c:pt>
                      <c:pt idx="35">
                        <c:v>62.793733455830683</c:v>
                      </c:pt>
                      <c:pt idx="36">
                        <c:v>64.587840125997261</c:v>
                      </c:pt>
                      <c:pt idx="37">
                        <c:v>66.381946796163874</c:v>
                      </c:pt>
                      <c:pt idx="38">
                        <c:v>68.176053466330458</c:v>
                      </c:pt>
                      <c:pt idx="39">
                        <c:v>69.970160136497057</c:v>
                      </c:pt>
                      <c:pt idx="40">
                        <c:v>71.764266806663642</c:v>
                      </c:pt>
                      <c:pt idx="41">
                        <c:v>73.558373476830226</c:v>
                      </c:pt>
                      <c:pt idx="42">
                        <c:v>75.352480146996811</c:v>
                      </c:pt>
                      <c:pt idx="43">
                        <c:v>77.14658681716341</c:v>
                      </c:pt>
                      <c:pt idx="44">
                        <c:v>78.940693487329995</c:v>
                      </c:pt>
                      <c:pt idx="45">
                        <c:v>80.734800157496593</c:v>
                      </c:pt>
                      <c:pt idx="46">
                        <c:v>82.528906827663192</c:v>
                      </c:pt>
                      <c:pt idx="47">
                        <c:v>84.323013497829791</c:v>
                      </c:pt>
                      <c:pt idx="48">
                        <c:v>86.117120167996376</c:v>
                      </c:pt>
                      <c:pt idx="49">
                        <c:v>87.911226838162946</c:v>
                      </c:pt>
                      <c:pt idx="50">
                        <c:v>89.705333508329545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CC-489F-9151-FEC3986707C7}"/>
                  </c:ext>
                </c:extLst>
              </c15:ser>
            </c15:filteredScatterSeries>
          </c:ext>
        </c:extLst>
      </c:scatterChart>
      <c:valAx>
        <c:axId val="206933865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グラフ!$A$4</c:f>
              <c:strCache>
                <c:ptCount val="1"/>
                <c:pt idx="0">
                  <c:v>締め代[mm]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4079"/>
        <c:crosses val="autoZero"/>
        <c:crossBetween val="midCat"/>
      </c:valAx>
      <c:valAx>
        <c:axId val="2069334079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応力</a:t>
                </a:r>
                <a:r>
                  <a:rPr lang="en-US" altLang="ja-JP"/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締め代</a:t>
            </a:r>
            <a:r>
              <a:rPr lang="en-US" altLang="ja-JP"/>
              <a:t>vs</a:t>
            </a:r>
            <a:r>
              <a:rPr lang="ja-JP" altLang="en-US"/>
              <a:t>応力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グラフ!$H$5</c:f>
              <c:strCache>
                <c:ptCount val="1"/>
                <c:pt idx="0">
                  <c:v>降伏点inner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グラフ!$H$6:$H$56</c:f>
              <c:numCache>
                <c:formatCode>0.0</c:formatCode>
                <c:ptCount val="51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345</c:v>
                </c:pt>
                <c:pt idx="22">
                  <c:v>345</c:v>
                </c:pt>
                <c:pt idx="23">
                  <c:v>345</c:v>
                </c:pt>
                <c:pt idx="24">
                  <c:v>345</c:v>
                </c:pt>
                <c:pt idx="25">
                  <c:v>345</c:v>
                </c:pt>
                <c:pt idx="26">
                  <c:v>345</c:v>
                </c:pt>
                <c:pt idx="27">
                  <c:v>345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345</c:v>
                </c:pt>
                <c:pt idx="32">
                  <c:v>345</c:v>
                </c:pt>
                <c:pt idx="33">
                  <c:v>345</c:v>
                </c:pt>
                <c:pt idx="34">
                  <c:v>345</c:v>
                </c:pt>
                <c:pt idx="35">
                  <c:v>345</c:v>
                </c:pt>
                <c:pt idx="36">
                  <c:v>345</c:v>
                </c:pt>
                <c:pt idx="37">
                  <c:v>345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345</c:v>
                </c:pt>
                <c:pt idx="43">
                  <c:v>345</c:v>
                </c:pt>
                <c:pt idx="44">
                  <c:v>345</c:v>
                </c:pt>
                <c:pt idx="45">
                  <c:v>345</c:v>
                </c:pt>
                <c:pt idx="46">
                  <c:v>345</c:v>
                </c:pt>
                <c:pt idx="47">
                  <c:v>345</c:v>
                </c:pt>
                <c:pt idx="48">
                  <c:v>345</c:v>
                </c:pt>
                <c:pt idx="49">
                  <c:v>345</c:v>
                </c:pt>
                <c:pt idx="50">
                  <c:v>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C-439D-9973-034B0ACAB3FF}"/>
            </c:ext>
          </c:extLst>
        </c:ser>
        <c:ser>
          <c:idx val="0"/>
          <c:order val="0"/>
          <c:tx>
            <c:strRef>
              <c:f>グラフ!$B$5</c:f>
              <c:strCache>
                <c:ptCount val="1"/>
                <c:pt idx="0">
                  <c:v>半径方向応力min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グラフ!$B$6:$B$56</c:f>
              <c:numCache>
                <c:formatCode>0.0</c:formatCode>
                <c:ptCount val="51"/>
                <c:pt idx="0">
                  <c:v>0</c:v>
                </c:pt>
                <c:pt idx="1">
                  <c:v>9.8586186524371175</c:v>
                </c:pt>
                <c:pt idx="2">
                  <c:v>19.717237304874235</c:v>
                </c:pt>
                <c:pt idx="3">
                  <c:v>29.575855957311354</c:v>
                </c:pt>
                <c:pt idx="4">
                  <c:v>39.43447460974847</c:v>
                </c:pt>
                <c:pt idx="5">
                  <c:v>49.293093262185593</c:v>
                </c:pt>
                <c:pt idx="6">
                  <c:v>59.151711914622709</c:v>
                </c:pt>
                <c:pt idx="7">
                  <c:v>69.010330567059825</c:v>
                </c:pt>
                <c:pt idx="8">
                  <c:v>78.86894921949694</c:v>
                </c:pt>
                <c:pt idx="9">
                  <c:v>88.727567871934056</c:v>
                </c:pt>
                <c:pt idx="10">
                  <c:v>98.586186524371186</c:v>
                </c:pt>
                <c:pt idx="11">
                  <c:v>108.44480517680829</c:v>
                </c:pt>
                <c:pt idx="12">
                  <c:v>118.30342382924542</c:v>
                </c:pt>
                <c:pt idx="13">
                  <c:v>128.16204248168253</c:v>
                </c:pt>
                <c:pt idx="14">
                  <c:v>138.02066113411965</c:v>
                </c:pt>
                <c:pt idx="15">
                  <c:v>147.87927978655676</c:v>
                </c:pt>
                <c:pt idx="16">
                  <c:v>157.73789843899388</c:v>
                </c:pt>
                <c:pt idx="17">
                  <c:v>167.596517091431</c:v>
                </c:pt>
                <c:pt idx="18">
                  <c:v>177.45513574386811</c:v>
                </c:pt>
                <c:pt idx="19">
                  <c:v>187.31375439630523</c:v>
                </c:pt>
                <c:pt idx="20">
                  <c:v>197.17237304874237</c:v>
                </c:pt>
                <c:pt idx="21">
                  <c:v>207.03099170117946</c:v>
                </c:pt>
                <c:pt idx="22">
                  <c:v>216.88961035361658</c:v>
                </c:pt>
                <c:pt idx="23">
                  <c:v>226.74822900605372</c:v>
                </c:pt>
                <c:pt idx="24">
                  <c:v>236.60684765849084</c:v>
                </c:pt>
                <c:pt idx="25">
                  <c:v>246.46546631092792</c:v>
                </c:pt>
                <c:pt idx="26">
                  <c:v>256.32408496336507</c:v>
                </c:pt>
                <c:pt idx="27">
                  <c:v>266.18270361580221</c:v>
                </c:pt>
                <c:pt idx="28">
                  <c:v>276.0413222682393</c:v>
                </c:pt>
                <c:pt idx="29">
                  <c:v>285.89994092067639</c:v>
                </c:pt>
                <c:pt idx="30">
                  <c:v>295.75855957311353</c:v>
                </c:pt>
                <c:pt idx="31">
                  <c:v>305.61717822555062</c:v>
                </c:pt>
                <c:pt idx="32">
                  <c:v>315.47579687798776</c:v>
                </c:pt>
                <c:pt idx="33">
                  <c:v>325.33441553042491</c:v>
                </c:pt>
                <c:pt idx="34">
                  <c:v>335.19303418286199</c:v>
                </c:pt>
                <c:pt idx="35">
                  <c:v>345.05165283529914</c:v>
                </c:pt>
                <c:pt idx="36">
                  <c:v>354.91027148773622</c:v>
                </c:pt>
                <c:pt idx="37">
                  <c:v>364.76889014017337</c:v>
                </c:pt>
                <c:pt idx="38">
                  <c:v>374.62750879261046</c:v>
                </c:pt>
                <c:pt idx="39">
                  <c:v>384.4861274450476</c:v>
                </c:pt>
                <c:pt idx="40">
                  <c:v>394.34474609748474</c:v>
                </c:pt>
                <c:pt idx="41">
                  <c:v>404.20336474992183</c:v>
                </c:pt>
                <c:pt idx="42">
                  <c:v>414.06198340235892</c:v>
                </c:pt>
                <c:pt idx="43">
                  <c:v>423.92060205479606</c:v>
                </c:pt>
                <c:pt idx="44">
                  <c:v>433.77922070723315</c:v>
                </c:pt>
                <c:pt idx="45">
                  <c:v>443.63783935967029</c:v>
                </c:pt>
                <c:pt idx="46">
                  <c:v>453.49645801210744</c:v>
                </c:pt>
                <c:pt idx="47">
                  <c:v>463.35507666454458</c:v>
                </c:pt>
                <c:pt idx="48">
                  <c:v>473.21369531698167</c:v>
                </c:pt>
                <c:pt idx="49">
                  <c:v>483.0723139694187</c:v>
                </c:pt>
                <c:pt idx="50">
                  <c:v>492.93093262185585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C-439D-9973-034B0ACAB3FF}"/>
            </c:ext>
          </c:extLst>
        </c:ser>
        <c:ser>
          <c:idx val="1"/>
          <c:order val="1"/>
          <c:tx>
            <c:strRef>
              <c:f>グラフ!$C$5</c:f>
              <c:strCache>
                <c:ptCount val="1"/>
                <c:pt idx="0">
                  <c:v>半径方向応力nor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グラフ!$C$6:$C$56</c:f>
              <c:numCache>
                <c:formatCode>0.0</c:formatCode>
                <c:ptCount val="51"/>
                <c:pt idx="0">
                  <c:v>0</c:v>
                </c:pt>
                <c:pt idx="1">
                  <c:v>10.109393992012501</c:v>
                </c:pt>
                <c:pt idx="2">
                  <c:v>20.218787984025003</c:v>
                </c:pt>
                <c:pt idx="3">
                  <c:v>30.328181976037509</c:v>
                </c:pt>
                <c:pt idx="4">
                  <c:v>40.437575968050005</c:v>
                </c:pt>
                <c:pt idx="5">
                  <c:v>50.546969960062519</c:v>
                </c:pt>
                <c:pt idx="6">
                  <c:v>60.656363952075019</c:v>
                </c:pt>
                <c:pt idx="7">
                  <c:v>70.765757944087525</c:v>
                </c:pt>
                <c:pt idx="8">
                  <c:v>80.875151936100011</c:v>
                </c:pt>
                <c:pt idx="9">
                  <c:v>90.984545928112524</c:v>
                </c:pt>
                <c:pt idx="10">
                  <c:v>101.09393992012504</c:v>
                </c:pt>
                <c:pt idx="11">
                  <c:v>111.20333391213752</c:v>
                </c:pt>
                <c:pt idx="12">
                  <c:v>121.31272790415004</c:v>
                </c:pt>
                <c:pt idx="13">
                  <c:v>131.42212189616254</c:v>
                </c:pt>
                <c:pt idx="14">
                  <c:v>141.53151588817505</c:v>
                </c:pt>
                <c:pt idx="15">
                  <c:v>151.64090988018754</c:v>
                </c:pt>
                <c:pt idx="16">
                  <c:v>161.75030387220002</c:v>
                </c:pt>
                <c:pt idx="17">
                  <c:v>171.85969786421256</c:v>
                </c:pt>
                <c:pt idx="18">
                  <c:v>181.96909185622505</c:v>
                </c:pt>
                <c:pt idx="19">
                  <c:v>192.07848584823753</c:v>
                </c:pt>
                <c:pt idx="20">
                  <c:v>202.18787984025008</c:v>
                </c:pt>
                <c:pt idx="21">
                  <c:v>212.29727383226256</c:v>
                </c:pt>
                <c:pt idx="22">
                  <c:v>222.40666782427505</c:v>
                </c:pt>
                <c:pt idx="23">
                  <c:v>232.51606181628756</c:v>
                </c:pt>
                <c:pt idx="24">
                  <c:v>242.62545580830007</c:v>
                </c:pt>
                <c:pt idx="25">
                  <c:v>252.73484980031256</c:v>
                </c:pt>
                <c:pt idx="26">
                  <c:v>262.84424379232507</c:v>
                </c:pt>
                <c:pt idx="27">
                  <c:v>272.95363778433762</c:v>
                </c:pt>
                <c:pt idx="28">
                  <c:v>283.0630317763501</c:v>
                </c:pt>
                <c:pt idx="29">
                  <c:v>293.17242576836253</c:v>
                </c:pt>
                <c:pt idx="30">
                  <c:v>303.28181976037507</c:v>
                </c:pt>
                <c:pt idx="31">
                  <c:v>313.39121375238756</c:v>
                </c:pt>
                <c:pt idx="32">
                  <c:v>323.50060774440004</c:v>
                </c:pt>
                <c:pt idx="33">
                  <c:v>333.61000173641264</c:v>
                </c:pt>
                <c:pt idx="34">
                  <c:v>343.71939572842513</c:v>
                </c:pt>
                <c:pt idx="35">
                  <c:v>353.82878972043761</c:v>
                </c:pt>
                <c:pt idx="36">
                  <c:v>363.9381837124501</c:v>
                </c:pt>
                <c:pt idx="37">
                  <c:v>374.04757770446258</c:v>
                </c:pt>
                <c:pt idx="38">
                  <c:v>384.15697169647507</c:v>
                </c:pt>
                <c:pt idx="39">
                  <c:v>394.26636568848761</c:v>
                </c:pt>
                <c:pt idx="40">
                  <c:v>404.37575968050015</c:v>
                </c:pt>
                <c:pt idx="41">
                  <c:v>414.48515367251264</c:v>
                </c:pt>
                <c:pt idx="42">
                  <c:v>424.59454766452512</c:v>
                </c:pt>
                <c:pt idx="43">
                  <c:v>434.70394165653761</c:v>
                </c:pt>
                <c:pt idx="44">
                  <c:v>444.81333564855009</c:v>
                </c:pt>
                <c:pt idx="45">
                  <c:v>454.92272964056264</c:v>
                </c:pt>
                <c:pt idx="46">
                  <c:v>465.03212363257512</c:v>
                </c:pt>
                <c:pt idx="47">
                  <c:v>475.14151762458766</c:v>
                </c:pt>
                <c:pt idx="48">
                  <c:v>485.25091161660015</c:v>
                </c:pt>
                <c:pt idx="49">
                  <c:v>495.36030560861258</c:v>
                </c:pt>
                <c:pt idx="50">
                  <c:v>505.46969960062512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2C-439D-9973-034B0ACAB3FF}"/>
            </c:ext>
          </c:extLst>
        </c:ser>
        <c:ser>
          <c:idx val="2"/>
          <c:order val="2"/>
          <c:tx>
            <c:strRef>
              <c:f>グラフ!$D$5</c:f>
              <c:strCache>
                <c:ptCount val="1"/>
                <c:pt idx="0">
                  <c:v>半径方向応力max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グラフ!$D$6:$D$56</c:f>
              <c:numCache>
                <c:formatCode>0.0</c:formatCode>
                <c:ptCount val="51"/>
                <c:pt idx="0">
                  <c:v>0</c:v>
                </c:pt>
                <c:pt idx="1">
                  <c:v>10.344605808716686</c:v>
                </c:pt>
                <c:pt idx="2">
                  <c:v>20.689211617433372</c:v>
                </c:pt>
                <c:pt idx="3">
                  <c:v>31.033817426150058</c:v>
                </c:pt>
                <c:pt idx="4">
                  <c:v>41.378423234866744</c:v>
                </c:pt>
                <c:pt idx="5">
                  <c:v>51.723029043583431</c:v>
                </c:pt>
                <c:pt idx="6">
                  <c:v>62.067634852300117</c:v>
                </c:pt>
                <c:pt idx="7">
                  <c:v>72.41224066101681</c:v>
                </c:pt>
                <c:pt idx="8">
                  <c:v>82.756846469733489</c:v>
                </c:pt>
                <c:pt idx="9">
                  <c:v>93.101452278450168</c:v>
                </c:pt>
                <c:pt idx="10">
                  <c:v>103.44605808716686</c:v>
                </c:pt>
                <c:pt idx="11">
                  <c:v>113.79066389588354</c:v>
                </c:pt>
                <c:pt idx="12">
                  <c:v>124.13526970460023</c:v>
                </c:pt>
                <c:pt idx="13">
                  <c:v>134.4798755133169</c:v>
                </c:pt>
                <c:pt idx="14">
                  <c:v>144.82448132203362</c:v>
                </c:pt>
                <c:pt idx="15">
                  <c:v>155.16908713075028</c:v>
                </c:pt>
                <c:pt idx="16">
                  <c:v>165.51369293946698</c:v>
                </c:pt>
                <c:pt idx="17">
                  <c:v>175.85829874818367</c:v>
                </c:pt>
                <c:pt idx="18">
                  <c:v>186.20290455690034</c:v>
                </c:pt>
                <c:pt idx="19">
                  <c:v>196.54751036561703</c:v>
                </c:pt>
                <c:pt idx="20">
                  <c:v>206.89211617433372</c:v>
                </c:pt>
                <c:pt idx="21">
                  <c:v>217.23672198305042</c:v>
                </c:pt>
                <c:pt idx="22">
                  <c:v>227.58132779176708</c:v>
                </c:pt>
                <c:pt idx="23">
                  <c:v>237.92593360048377</c:v>
                </c:pt>
                <c:pt idx="24">
                  <c:v>248.27053940920047</c:v>
                </c:pt>
                <c:pt idx="25">
                  <c:v>258.61514521791713</c:v>
                </c:pt>
                <c:pt idx="26">
                  <c:v>268.9597510266338</c:v>
                </c:pt>
                <c:pt idx="27">
                  <c:v>279.30435683535057</c:v>
                </c:pt>
                <c:pt idx="28">
                  <c:v>289.64896264406724</c:v>
                </c:pt>
                <c:pt idx="29">
                  <c:v>299.99356845278385</c:v>
                </c:pt>
                <c:pt idx="30">
                  <c:v>310.33817426150057</c:v>
                </c:pt>
                <c:pt idx="31">
                  <c:v>320.68278007021723</c:v>
                </c:pt>
                <c:pt idx="32">
                  <c:v>331.02738587893396</c:v>
                </c:pt>
                <c:pt idx="33">
                  <c:v>341.37199168765068</c:v>
                </c:pt>
                <c:pt idx="34">
                  <c:v>351.71659749636734</c:v>
                </c:pt>
                <c:pt idx="35">
                  <c:v>362.06120330508401</c:v>
                </c:pt>
                <c:pt idx="36">
                  <c:v>372.40580911380067</c:v>
                </c:pt>
                <c:pt idx="37">
                  <c:v>382.75041492251739</c:v>
                </c:pt>
                <c:pt idx="38">
                  <c:v>393.09502073123406</c:v>
                </c:pt>
                <c:pt idx="39">
                  <c:v>403.43962653995078</c:v>
                </c:pt>
                <c:pt idx="40">
                  <c:v>413.78423234866744</c:v>
                </c:pt>
                <c:pt idx="41">
                  <c:v>424.12883815738411</c:v>
                </c:pt>
                <c:pt idx="42">
                  <c:v>434.47344396610083</c:v>
                </c:pt>
                <c:pt idx="43">
                  <c:v>444.8180497748175</c:v>
                </c:pt>
                <c:pt idx="44">
                  <c:v>455.16265558353416</c:v>
                </c:pt>
                <c:pt idx="45">
                  <c:v>465.50726139225088</c:v>
                </c:pt>
                <c:pt idx="46">
                  <c:v>475.85186720096755</c:v>
                </c:pt>
                <c:pt idx="47">
                  <c:v>486.19647300968433</c:v>
                </c:pt>
                <c:pt idx="48">
                  <c:v>496.54107881840093</c:v>
                </c:pt>
                <c:pt idx="49">
                  <c:v>506.88568462711754</c:v>
                </c:pt>
                <c:pt idx="50">
                  <c:v>517.23029043583426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2C-439D-9973-034B0ACAB3FF}"/>
            </c:ext>
          </c:extLst>
        </c:ser>
        <c:ser>
          <c:idx val="7"/>
          <c:order val="7"/>
          <c:tx>
            <c:strRef>
              <c:f>グラフ!$I$5</c:f>
              <c:strCache>
                <c:ptCount val="1"/>
                <c:pt idx="0">
                  <c:v>降伏点outer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グラフ!$I$6:$I$56</c:f>
              <c:numCache>
                <c:formatCode>0.0</c:formatCode>
                <c:ptCount val="5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2C-439D-9973-034B0ACAB3FF}"/>
            </c:ext>
          </c:extLst>
        </c:ser>
        <c:ser>
          <c:idx val="8"/>
          <c:order val="8"/>
          <c:tx>
            <c:strRef>
              <c:f>グラフ!$J$5</c:f>
              <c:strCache>
                <c:ptCount val="1"/>
                <c:pt idx="0">
                  <c:v>円周方向応力inner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グラフ!$J$6:$J$56</c:f>
              <c:numCache>
                <c:formatCode>0.0</c:formatCode>
                <c:ptCount val="51"/>
                <c:pt idx="0">
                  <c:v>0</c:v>
                </c:pt>
                <c:pt idx="1">
                  <c:v>26.946419757690951</c:v>
                </c:pt>
                <c:pt idx="2">
                  <c:v>53.892839515381901</c:v>
                </c:pt>
                <c:pt idx="3">
                  <c:v>80.839259273072884</c:v>
                </c:pt>
                <c:pt idx="4">
                  <c:v>107.7856790307638</c:v>
                </c:pt>
                <c:pt idx="5">
                  <c:v>134.73209878845481</c:v>
                </c:pt>
                <c:pt idx="6">
                  <c:v>161.67851854614577</c:v>
                </c:pt>
                <c:pt idx="7">
                  <c:v>188.62493830383673</c:v>
                </c:pt>
                <c:pt idx="8">
                  <c:v>215.5713580615276</c:v>
                </c:pt>
                <c:pt idx="9">
                  <c:v>242.51777781921859</c:v>
                </c:pt>
                <c:pt idx="10">
                  <c:v>269.46419757690961</c:v>
                </c:pt>
                <c:pt idx="11">
                  <c:v>296.41061733460054</c:v>
                </c:pt>
                <c:pt idx="12">
                  <c:v>323.35703709229153</c:v>
                </c:pt>
                <c:pt idx="13">
                  <c:v>350.30345684998247</c:v>
                </c:pt>
                <c:pt idx="14">
                  <c:v>377.24987660767346</c:v>
                </c:pt>
                <c:pt idx="15">
                  <c:v>404.19629636536439</c:v>
                </c:pt>
                <c:pt idx="16">
                  <c:v>431.14271612305521</c:v>
                </c:pt>
                <c:pt idx="17">
                  <c:v>458.08913588074637</c:v>
                </c:pt>
                <c:pt idx="18">
                  <c:v>485.03555563843719</c:v>
                </c:pt>
                <c:pt idx="19">
                  <c:v>511.98197539612818</c:v>
                </c:pt>
                <c:pt idx="20">
                  <c:v>538.92839515381922</c:v>
                </c:pt>
                <c:pt idx="21">
                  <c:v>565.87481491151016</c:v>
                </c:pt>
                <c:pt idx="22">
                  <c:v>592.82123466920109</c:v>
                </c:pt>
                <c:pt idx="23">
                  <c:v>619.76765442689202</c:v>
                </c:pt>
                <c:pt idx="24">
                  <c:v>646.71407418458307</c:v>
                </c:pt>
                <c:pt idx="25">
                  <c:v>673.66049394227389</c:v>
                </c:pt>
                <c:pt idx="26">
                  <c:v>700.60691369996493</c:v>
                </c:pt>
                <c:pt idx="27">
                  <c:v>727.55333345765598</c:v>
                </c:pt>
                <c:pt idx="28">
                  <c:v>754.49975321534691</c:v>
                </c:pt>
                <c:pt idx="29">
                  <c:v>781.44617297303773</c:v>
                </c:pt>
                <c:pt idx="30">
                  <c:v>808.39259273072878</c:v>
                </c:pt>
                <c:pt idx="31">
                  <c:v>835.3390124884196</c:v>
                </c:pt>
                <c:pt idx="32">
                  <c:v>862.28543224611042</c:v>
                </c:pt>
                <c:pt idx="33">
                  <c:v>889.23185200380181</c:v>
                </c:pt>
                <c:pt idx="34">
                  <c:v>916.17827176149274</c:v>
                </c:pt>
                <c:pt idx="35">
                  <c:v>943.12469151918356</c:v>
                </c:pt>
                <c:pt idx="36">
                  <c:v>970.07111127687438</c:v>
                </c:pt>
                <c:pt idx="37">
                  <c:v>997.01753103456542</c:v>
                </c:pt>
                <c:pt idx="38">
                  <c:v>1023.9639507922564</c:v>
                </c:pt>
                <c:pt idx="39">
                  <c:v>1050.9103705499474</c:v>
                </c:pt>
                <c:pt idx="40">
                  <c:v>1077.8567903076384</c:v>
                </c:pt>
                <c:pt idx="41">
                  <c:v>1104.8032100653295</c:v>
                </c:pt>
                <c:pt idx="42">
                  <c:v>1131.7496298230203</c:v>
                </c:pt>
                <c:pt idx="43">
                  <c:v>1158.6960495807111</c:v>
                </c:pt>
                <c:pt idx="44">
                  <c:v>1185.6424693384022</c:v>
                </c:pt>
                <c:pt idx="45">
                  <c:v>1212.5888890960932</c:v>
                </c:pt>
                <c:pt idx="46">
                  <c:v>1239.535308853784</c:v>
                </c:pt>
                <c:pt idx="47">
                  <c:v>1266.4817286114751</c:v>
                </c:pt>
                <c:pt idx="48">
                  <c:v>1293.4281483691661</c:v>
                </c:pt>
                <c:pt idx="49">
                  <c:v>1320.3745681268567</c:v>
                </c:pt>
                <c:pt idx="50">
                  <c:v>1347.3209878845478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2C-439D-9973-034B0ACAB3FF}"/>
            </c:ext>
          </c:extLst>
        </c:ser>
        <c:ser>
          <c:idx val="9"/>
          <c:order val="9"/>
          <c:tx>
            <c:strRef>
              <c:f>グラフ!$K$5</c:f>
              <c:strCache>
                <c:ptCount val="1"/>
                <c:pt idx="0">
                  <c:v>円周方向応力outer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グラフ!$K$6:$K$56</c:f>
              <c:numCache>
                <c:formatCode>0.0</c:formatCode>
                <c:ptCount val="51"/>
                <c:pt idx="0">
                  <c:v>0</c:v>
                </c:pt>
                <c:pt idx="1">
                  <c:v>26.29413279534306</c:v>
                </c:pt>
                <c:pt idx="2">
                  <c:v>52.58826559068612</c:v>
                </c:pt>
                <c:pt idx="3">
                  <c:v>78.882398386029195</c:v>
                </c:pt>
                <c:pt idx="4">
                  <c:v>105.17653118137224</c:v>
                </c:pt>
                <c:pt idx="5">
                  <c:v>131.47066397671531</c:v>
                </c:pt>
                <c:pt idx="6">
                  <c:v>157.76479677205839</c:v>
                </c:pt>
                <c:pt idx="7">
                  <c:v>184.05892956740146</c:v>
                </c:pt>
                <c:pt idx="8">
                  <c:v>210.35306236274448</c:v>
                </c:pt>
                <c:pt idx="9">
                  <c:v>236.64719515808756</c:v>
                </c:pt>
                <c:pt idx="10">
                  <c:v>262.94132795343063</c:v>
                </c:pt>
                <c:pt idx="11">
                  <c:v>289.23546074877362</c:v>
                </c:pt>
                <c:pt idx="12">
                  <c:v>315.52959354411678</c:v>
                </c:pt>
                <c:pt idx="13">
                  <c:v>341.82372633945982</c:v>
                </c:pt>
                <c:pt idx="14">
                  <c:v>368.11785913480293</c:v>
                </c:pt>
                <c:pt idx="15">
                  <c:v>394.41199193014592</c:v>
                </c:pt>
                <c:pt idx="16">
                  <c:v>420.70612472548896</c:v>
                </c:pt>
                <c:pt idx="17">
                  <c:v>447.00025752083206</c:v>
                </c:pt>
                <c:pt idx="18">
                  <c:v>473.29439031617511</c:v>
                </c:pt>
                <c:pt idx="19">
                  <c:v>499.58852311151816</c:v>
                </c:pt>
                <c:pt idx="20">
                  <c:v>525.88265590686126</c:v>
                </c:pt>
                <c:pt idx="21">
                  <c:v>552.17678870220436</c:v>
                </c:pt>
                <c:pt idx="22">
                  <c:v>578.47092149754724</c:v>
                </c:pt>
                <c:pt idx="23">
                  <c:v>604.76505429289045</c:v>
                </c:pt>
                <c:pt idx="24">
                  <c:v>631.05918708823356</c:v>
                </c:pt>
                <c:pt idx="25">
                  <c:v>657.35331988357655</c:v>
                </c:pt>
                <c:pt idx="26">
                  <c:v>683.64745267891965</c:v>
                </c:pt>
                <c:pt idx="27">
                  <c:v>709.94158547426275</c:v>
                </c:pt>
                <c:pt idx="28">
                  <c:v>736.23571826960585</c:v>
                </c:pt>
                <c:pt idx="29">
                  <c:v>762.52985106494862</c:v>
                </c:pt>
                <c:pt idx="30">
                  <c:v>788.82398386029183</c:v>
                </c:pt>
                <c:pt idx="31">
                  <c:v>815.11811665563482</c:v>
                </c:pt>
                <c:pt idx="32">
                  <c:v>841.41224945097792</c:v>
                </c:pt>
                <c:pt idx="33">
                  <c:v>867.70638224632125</c:v>
                </c:pt>
                <c:pt idx="34">
                  <c:v>894.00051504166413</c:v>
                </c:pt>
                <c:pt idx="35">
                  <c:v>920.29464783700723</c:v>
                </c:pt>
                <c:pt idx="36">
                  <c:v>946.58878063235022</c:v>
                </c:pt>
                <c:pt idx="37">
                  <c:v>972.88291342769321</c:v>
                </c:pt>
                <c:pt idx="38">
                  <c:v>999.17704622303631</c:v>
                </c:pt>
                <c:pt idx="39">
                  <c:v>1025.4711790183794</c:v>
                </c:pt>
                <c:pt idx="40">
                  <c:v>1051.7653118137225</c:v>
                </c:pt>
                <c:pt idx="41">
                  <c:v>1078.0594446090656</c:v>
                </c:pt>
                <c:pt idx="42">
                  <c:v>1104.3535774044087</c:v>
                </c:pt>
                <c:pt idx="43">
                  <c:v>1130.6477101997516</c:v>
                </c:pt>
                <c:pt idx="44">
                  <c:v>1156.9418429950945</c:v>
                </c:pt>
                <c:pt idx="45">
                  <c:v>1183.2359757904378</c:v>
                </c:pt>
                <c:pt idx="46">
                  <c:v>1209.5301085857809</c:v>
                </c:pt>
                <c:pt idx="47">
                  <c:v>1235.824241381124</c:v>
                </c:pt>
                <c:pt idx="48">
                  <c:v>1262.1183741764671</c:v>
                </c:pt>
                <c:pt idx="49">
                  <c:v>1288.4125069718098</c:v>
                </c:pt>
                <c:pt idx="50">
                  <c:v>1314.7066397671531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2C-439D-9973-034B0ACA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38655"/>
        <c:axId val="206933407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グラフ!$E$5</c15:sqref>
                        </c15:formulaRef>
                      </c:ext>
                    </c:extLst>
                    <c:strCache>
                      <c:ptCount val="1"/>
                      <c:pt idx="0">
                        <c:v>圧入力min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グラフ!$E$6:$E$56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1.1466011166185903</c:v>
                      </c:pt>
                      <c:pt idx="2">
                        <c:v>2.2932022332371806</c:v>
                      </c:pt>
                      <c:pt idx="3">
                        <c:v>3.4398033498557705</c:v>
                      </c:pt>
                      <c:pt idx="4">
                        <c:v>4.5864044664743613</c:v>
                      </c:pt>
                      <c:pt idx="5">
                        <c:v>5.7330055830929512</c:v>
                      </c:pt>
                      <c:pt idx="6">
                        <c:v>6.879606699711541</c:v>
                      </c:pt>
                      <c:pt idx="7">
                        <c:v>8.0262078163301318</c:v>
                      </c:pt>
                      <c:pt idx="8">
                        <c:v>9.1728089329487226</c:v>
                      </c:pt>
                      <c:pt idx="9">
                        <c:v>10.319410049567312</c:v>
                      </c:pt>
                      <c:pt idx="10">
                        <c:v>11.466011166185902</c:v>
                      </c:pt>
                      <c:pt idx="11">
                        <c:v>12.612612282804491</c:v>
                      </c:pt>
                      <c:pt idx="12">
                        <c:v>13.759213399423082</c:v>
                      </c:pt>
                      <c:pt idx="13">
                        <c:v>14.905814516041673</c:v>
                      </c:pt>
                      <c:pt idx="14">
                        <c:v>16.052415632660264</c:v>
                      </c:pt>
                      <c:pt idx="15">
                        <c:v>17.199016749278854</c:v>
                      </c:pt>
                      <c:pt idx="16">
                        <c:v>18.345617865897445</c:v>
                      </c:pt>
                      <c:pt idx="17">
                        <c:v>19.492218982516032</c:v>
                      </c:pt>
                      <c:pt idx="18">
                        <c:v>20.638820099134623</c:v>
                      </c:pt>
                      <c:pt idx="19">
                        <c:v>21.785421215753214</c:v>
                      </c:pt>
                      <c:pt idx="20">
                        <c:v>22.932022332371805</c:v>
                      </c:pt>
                      <c:pt idx="21">
                        <c:v>24.078623448990395</c:v>
                      </c:pt>
                      <c:pt idx="22">
                        <c:v>25.225224565608983</c:v>
                      </c:pt>
                      <c:pt idx="23">
                        <c:v>26.371825682227577</c:v>
                      </c:pt>
                      <c:pt idx="24">
                        <c:v>27.518426798846164</c:v>
                      </c:pt>
                      <c:pt idx="25">
                        <c:v>28.665027915464755</c:v>
                      </c:pt>
                      <c:pt idx="26">
                        <c:v>29.811629032083346</c:v>
                      </c:pt>
                      <c:pt idx="27">
                        <c:v>30.95823014870194</c:v>
                      </c:pt>
                      <c:pt idx="28">
                        <c:v>32.104831265320527</c:v>
                      </c:pt>
                      <c:pt idx="29">
                        <c:v>33.251432381939111</c:v>
                      </c:pt>
                      <c:pt idx="30">
                        <c:v>34.398033498557709</c:v>
                      </c:pt>
                      <c:pt idx="31">
                        <c:v>35.544634615176292</c:v>
                      </c:pt>
                      <c:pt idx="32">
                        <c:v>36.69123573179489</c:v>
                      </c:pt>
                      <c:pt idx="33">
                        <c:v>37.837836848413474</c:v>
                      </c:pt>
                      <c:pt idx="34">
                        <c:v>38.984437965032065</c:v>
                      </c:pt>
                      <c:pt idx="35">
                        <c:v>40.131039081650663</c:v>
                      </c:pt>
                      <c:pt idx="36">
                        <c:v>41.277640198269246</c:v>
                      </c:pt>
                      <c:pt idx="37">
                        <c:v>42.424241314887837</c:v>
                      </c:pt>
                      <c:pt idx="38">
                        <c:v>43.570842431506428</c:v>
                      </c:pt>
                      <c:pt idx="39">
                        <c:v>44.717443548125026</c:v>
                      </c:pt>
                      <c:pt idx="40">
                        <c:v>45.864044664743609</c:v>
                      </c:pt>
                      <c:pt idx="41">
                        <c:v>47.010645781362193</c:v>
                      </c:pt>
                      <c:pt idx="42">
                        <c:v>48.157246897980791</c:v>
                      </c:pt>
                      <c:pt idx="43">
                        <c:v>49.303848014599382</c:v>
                      </c:pt>
                      <c:pt idx="44">
                        <c:v>50.450449131217965</c:v>
                      </c:pt>
                      <c:pt idx="45">
                        <c:v>51.597050247836563</c:v>
                      </c:pt>
                      <c:pt idx="46">
                        <c:v>52.743651364455154</c:v>
                      </c:pt>
                      <c:pt idx="47">
                        <c:v>53.890252481073745</c:v>
                      </c:pt>
                      <c:pt idx="48">
                        <c:v>55.036853597692328</c:v>
                      </c:pt>
                      <c:pt idx="49">
                        <c:v>56.183454714310919</c:v>
                      </c:pt>
                      <c:pt idx="50">
                        <c:v>57.33005583092951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62C-439D-9973-034B0ACAB3F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グラフ!$F$5</c15:sqref>
                        </c15:formulaRef>
                      </c:ext>
                    </c:extLst>
                    <c:strCache>
                      <c:ptCount val="1"/>
                      <c:pt idx="0">
                        <c:v>圧入力nor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グラフ!$F$6:$F$56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1.4640256024385596</c:v>
                      </c:pt>
                      <c:pt idx="2">
                        <c:v>2.9280512048771192</c:v>
                      </c:pt>
                      <c:pt idx="3">
                        <c:v>4.3920768073156795</c:v>
                      </c:pt>
                      <c:pt idx="4">
                        <c:v>5.8561024097542385</c:v>
                      </c:pt>
                      <c:pt idx="5">
                        <c:v>7.3201280121927992</c:v>
                      </c:pt>
                      <c:pt idx="6">
                        <c:v>8.784153614631359</c:v>
                      </c:pt>
                      <c:pt idx="7">
                        <c:v>10.248179217069918</c:v>
                      </c:pt>
                      <c:pt idx="8">
                        <c:v>11.712204819508477</c:v>
                      </c:pt>
                      <c:pt idx="9">
                        <c:v>13.176230421947038</c:v>
                      </c:pt>
                      <c:pt idx="10">
                        <c:v>14.640256024385598</c:v>
                      </c:pt>
                      <c:pt idx="11">
                        <c:v>16.104281626824154</c:v>
                      </c:pt>
                      <c:pt idx="12">
                        <c:v>17.568307229262718</c:v>
                      </c:pt>
                      <c:pt idx="13">
                        <c:v>19.032332831701275</c:v>
                      </c:pt>
                      <c:pt idx="14">
                        <c:v>20.496358434139836</c:v>
                      </c:pt>
                      <c:pt idx="15">
                        <c:v>21.960384036578397</c:v>
                      </c:pt>
                      <c:pt idx="16">
                        <c:v>23.424409639016954</c:v>
                      </c:pt>
                      <c:pt idx="17">
                        <c:v>24.888435241455515</c:v>
                      </c:pt>
                      <c:pt idx="18">
                        <c:v>26.352460843894075</c:v>
                      </c:pt>
                      <c:pt idx="19">
                        <c:v>27.816486446332632</c:v>
                      </c:pt>
                      <c:pt idx="20">
                        <c:v>29.280512048771197</c:v>
                      </c:pt>
                      <c:pt idx="21">
                        <c:v>30.74453765120975</c:v>
                      </c:pt>
                      <c:pt idx="22">
                        <c:v>32.208563253648308</c:v>
                      </c:pt>
                      <c:pt idx="23">
                        <c:v>33.672588856086875</c:v>
                      </c:pt>
                      <c:pt idx="24">
                        <c:v>35.136614458525436</c:v>
                      </c:pt>
                      <c:pt idx="25">
                        <c:v>36.60064006096399</c:v>
                      </c:pt>
                      <c:pt idx="26">
                        <c:v>38.06466566340255</c:v>
                      </c:pt>
                      <c:pt idx="27">
                        <c:v>39.528691265841118</c:v>
                      </c:pt>
                      <c:pt idx="28">
                        <c:v>40.992716868279672</c:v>
                      </c:pt>
                      <c:pt idx="29">
                        <c:v>42.456742470718225</c:v>
                      </c:pt>
                      <c:pt idx="30">
                        <c:v>43.920768073156793</c:v>
                      </c:pt>
                      <c:pt idx="31">
                        <c:v>45.384793675595347</c:v>
                      </c:pt>
                      <c:pt idx="32">
                        <c:v>46.848819278033908</c:v>
                      </c:pt>
                      <c:pt idx="33">
                        <c:v>48.312844880472475</c:v>
                      </c:pt>
                      <c:pt idx="34">
                        <c:v>49.776870482911029</c:v>
                      </c:pt>
                      <c:pt idx="35">
                        <c:v>51.24089608534959</c:v>
                      </c:pt>
                      <c:pt idx="36">
                        <c:v>52.704921687788151</c:v>
                      </c:pt>
                      <c:pt idx="37">
                        <c:v>54.168947290226718</c:v>
                      </c:pt>
                      <c:pt idx="38">
                        <c:v>55.632972892665265</c:v>
                      </c:pt>
                      <c:pt idx="39">
                        <c:v>57.096998495103833</c:v>
                      </c:pt>
                      <c:pt idx="40">
                        <c:v>58.561024097542393</c:v>
                      </c:pt>
                      <c:pt idx="41">
                        <c:v>60.025049699980947</c:v>
                      </c:pt>
                      <c:pt idx="42">
                        <c:v>61.489075302419501</c:v>
                      </c:pt>
                      <c:pt idx="43">
                        <c:v>62.953100904858069</c:v>
                      </c:pt>
                      <c:pt idx="44">
                        <c:v>64.417126507296615</c:v>
                      </c:pt>
                      <c:pt idx="45">
                        <c:v>65.881152109735197</c:v>
                      </c:pt>
                      <c:pt idx="46">
                        <c:v>67.345177712173751</c:v>
                      </c:pt>
                      <c:pt idx="47">
                        <c:v>68.809203314612319</c:v>
                      </c:pt>
                      <c:pt idx="48">
                        <c:v>70.273228917050872</c:v>
                      </c:pt>
                      <c:pt idx="49">
                        <c:v>71.737254519489426</c:v>
                      </c:pt>
                      <c:pt idx="50">
                        <c:v>73.201280121927979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2C-439D-9973-034B0ACAB3F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グラフ!$G$5</c15:sqref>
                        </c15:formulaRef>
                      </c:ext>
                    </c:extLst>
                    <c:strCache>
                      <c:ptCount val="1"/>
                      <c:pt idx="0">
                        <c:v>圧入力max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グラフ!$G$6:$G$56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1.7941066701665909</c:v>
                      </c:pt>
                      <c:pt idx="2">
                        <c:v>3.5882133403331817</c:v>
                      </c:pt>
                      <c:pt idx="3">
                        <c:v>5.3823200104997735</c:v>
                      </c:pt>
                      <c:pt idx="4">
                        <c:v>7.1764266806663635</c:v>
                      </c:pt>
                      <c:pt idx="5">
                        <c:v>8.9705333508329552</c:v>
                      </c:pt>
                      <c:pt idx="6">
                        <c:v>10.764640020999547</c:v>
                      </c:pt>
                      <c:pt idx="7">
                        <c:v>12.558746691166135</c:v>
                      </c:pt>
                      <c:pt idx="8">
                        <c:v>14.352853361332727</c:v>
                      </c:pt>
                      <c:pt idx="9">
                        <c:v>16.146960031499315</c:v>
                      </c:pt>
                      <c:pt idx="10">
                        <c:v>17.94106670166591</c:v>
                      </c:pt>
                      <c:pt idx="11">
                        <c:v>19.735173371832499</c:v>
                      </c:pt>
                      <c:pt idx="12">
                        <c:v>21.529280041999094</c:v>
                      </c:pt>
                      <c:pt idx="13">
                        <c:v>23.323386712165686</c:v>
                      </c:pt>
                      <c:pt idx="14">
                        <c:v>25.11749338233227</c:v>
                      </c:pt>
                      <c:pt idx="15">
                        <c:v>26.911600052498862</c:v>
                      </c:pt>
                      <c:pt idx="16">
                        <c:v>28.705706722665454</c:v>
                      </c:pt>
                      <c:pt idx="17">
                        <c:v>30.499813392832042</c:v>
                      </c:pt>
                      <c:pt idx="18">
                        <c:v>32.29392006299863</c:v>
                      </c:pt>
                      <c:pt idx="19">
                        <c:v>34.088026733165229</c:v>
                      </c:pt>
                      <c:pt idx="20">
                        <c:v>35.882133403331821</c:v>
                      </c:pt>
                      <c:pt idx="21">
                        <c:v>37.676240073498406</c:v>
                      </c:pt>
                      <c:pt idx="22">
                        <c:v>39.470346743664997</c:v>
                      </c:pt>
                      <c:pt idx="23">
                        <c:v>41.264453413831596</c:v>
                      </c:pt>
                      <c:pt idx="24">
                        <c:v>43.058560083998188</c:v>
                      </c:pt>
                      <c:pt idx="25">
                        <c:v>44.852666754164773</c:v>
                      </c:pt>
                      <c:pt idx="26">
                        <c:v>46.646773424331371</c:v>
                      </c:pt>
                      <c:pt idx="27">
                        <c:v>48.440880094497956</c:v>
                      </c:pt>
                      <c:pt idx="28">
                        <c:v>50.234986764664541</c:v>
                      </c:pt>
                      <c:pt idx="29">
                        <c:v>52.029093434831132</c:v>
                      </c:pt>
                      <c:pt idx="30">
                        <c:v>53.823200104997724</c:v>
                      </c:pt>
                      <c:pt idx="31">
                        <c:v>55.617306775164309</c:v>
                      </c:pt>
                      <c:pt idx="32">
                        <c:v>57.411413445330908</c:v>
                      </c:pt>
                      <c:pt idx="33">
                        <c:v>59.205520115497499</c:v>
                      </c:pt>
                      <c:pt idx="34">
                        <c:v>60.999626785664084</c:v>
                      </c:pt>
                      <c:pt idx="35">
                        <c:v>62.793733455830683</c:v>
                      </c:pt>
                      <c:pt idx="36">
                        <c:v>64.587840125997261</c:v>
                      </c:pt>
                      <c:pt idx="37">
                        <c:v>66.381946796163874</c:v>
                      </c:pt>
                      <c:pt idx="38">
                        <c:v>68.176053466330458</c:v>
                      </c:pt>
                      <c:pt idx="39">
                        <c:v>69.970160136497057</c:v>
                      </c:pt>
                      <c:pt idx="40">
                        <c:v>71.764266806663642</c:v>
                      </c:pt>
                      <c:pt idx="41">
                        <c:v>73.558373476830226</c:v>
                      </c:pt>
                      <c:pt idx="42">
                        <c:v>75.352480146996811</c:v>
                      </c:pt>
                      <c:pt idx="43">
                        <c:v>77.14658681716341</c:v>
                      </c:pt>
                      <c:pt idx="44">
                        <c:v>78.940693487329995</c:v>
                      </c:pt>
                      <c:pt idx="45">
                        <c:v>80.734800157496593</c:v>
                      </c:pt>
                      <c:pt idx="46">
                        <c:v>82.528906827663192</c:v>
                      </c:pt>
                      <c:pt idx="47">
                        <c:v>84.323013497829791</c:v>
                      </c:pt>
                      <c:pt idx="48">
                        <c:v>86.117120167996376</c:v>
                      </c:pt>
                      <c:pt idx="49">
                        <c:v>87.911226838162946</c:v>
                      </c:pt>
                      <c:pt idx="50">
                        <c:v>89.705333508329545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2C-439D-9973-034B0ACAB3FF}"/>
                  </c:ext>
                </c:extLst>
              </c15:ser>
            </c15:filteredScatterSeries>
          </c:ext>
        </c:extLst>
      </c:scatterChart>
      <c:valAx>
        <c:axId val="206933865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グラフ!$A$4</c:f>
              <c:strCache>
                <c:ptCount val="1"/>
                <c:pt idx="0">
                  <c:v>締め代[mm]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4079"/>
        <c:crosses val="autoZero"/>
        <c:crossBetween val="midCat"/>
      </c:valAx>
      <c:valAx>
        <c:axId val="2069334079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応力</a:t>
                </a:r>
                <a:r>
                  <a:rPr lang="en-US" altLang="ja-JP"/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締め代</a:t>
            </a:r>
            <a:r>
              <a:rPr lang="en-US" altLang="ja-JP"/>
              <a:t>vs</a:t>
            </a:r>
            <a:r>
              <a:rPr lang="ja-JP" altLang="en-US"/>
              <a:t>圧入力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グラフ!$E$5</c:f>
              <c:strCache>
                <c:ptCount val="1"/>
                <c:pt idx="0">
                  <c:v>圧入力min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グラフ!$E$6:$E$56</c:f>
              <c:numCache>
                <c:formatCode>0.0</c:formatCode>
                <c:ptCount val="51"/>
                <c:pt idx="0">
                  <c:v>0</c:v>
                </c:pt>
                <c:pt idx="1">
                  <c:v>1.1466011166185903</c:v>
                </c:pt>
                <c:pt idx="2">
                  <c:v>2.2932022332371806</c:v>
                </c:pt>
                <c:pt idx="3">
                  <c:v>3.4398033498557705</c:v>
                </c:pt>
                <c:pt idx="4">
                  <c:v>4.5864044664743613</c:v>
                </c:pt>
                <c:pt idx="5">
                  <c:v>5.7330055830929512</c:v>
                </c:pt>
                <c:pt idx="6">
                  <c:v>6.879606699711541</c:v>
                </c:pt>
                <c:pt idx="7">
                  <c:v>8.0262078163301318</c:v>
                </c:pt>
                <c:pt idx="8">
                  <c:v>9.1728089329487226</c:v>
                </c:pt>
                <c:pt idx="9">
                  <c:v>10.319410049567312</c:v>
                </c:pt>
                <c:pt idx="10">
                  <c:v>11.466011166185902</c:v>
                </c:pt>
                <c:pt idx="11">
                  <c:v>12.612612282804491</c:v>
                </c:pt>
                <c:pt idx="12">
                  <c:v>13.759213399423082</c:v>
                </c:pt>
                <c:pt idx="13">
                  <c:v>14.905814516041673</c:v>
                </c:pt>
                <c:pt idx="14">
                  <c:v>16.052415632660264</c:v>
                </c:pt>
                <c:pt idx="15">
                  <c:v>17.199016749278854</c:v>
                </c:pt>
                <c:pt idx="16">
                  <c:v>18.345617865897445</c:v>
                </c:pt>
                <c:pt idx="17">
                  <c:v>19.492218982516032</c:v>
                </c:pt>
                <c:pt idx="18">
                  <c:v>20.638820099134623</c:v>
                </c:pt>
                <c:pt idx="19">
                  <c:v>21.785421215753214</c:v>
                </c:pt>
                <c:pt idx="20">
                  <c:v>22.932022332371805</c:v>
                </c:pt>
                <c:pt idx="21">
                  <c:v>24.078623448990395</c:v>
                </c:pt>
                <c:pt idx="22">
                  <c:v>25.225224565608983</c:v>
                </c:pt>
                <c:pt idx="23">
                  <c:v>26.371825682227577</c:v>
                </c:pt>
                <c:pt idx="24">
                  <c:v>27.518426798846164</c:v>
                </c:pt>
                <c:pt idx="25">
                  <c:v>28.665027915464755</c:v>
                </c:pt>
                <c:pt idx="26">
                  <c:v>29.811629032083346</c:v>
                </c:pt>
                <c:pt idx="27">
                  <c:v>30.95823014870194</c:v>
                </c:pt>
                <c:pt idx="28">
                  <c:v>32.104831265320527</c:v>
                </c:pt>
                <c:pt idx="29">
                  <c:v>33.251432381939111</c:v>
                </c:pt>
                <c:pt idx="30">
                  <c:v>34.398033498557709</c:v>
                </c:pt>
                <c:pt idx="31">
                  <c:v>35.544634615176292</c:v>
                </c:pt>
                <c:pt idx="32">
                  <c:v>36.69123573179489</c:v>
                </c:pt>
                <c:pt idx="33">
                  <c:v>37.837836848413474</c:v>
                </c:pt>
                <c:pt idx="34">
                  <c:v>38.984437965032065</c:v>
                </c:pt>
                <c:pt idx="35">
                  <c:v>40.131039081650663</c:v>
                </c:pt>
                <c:pt idx="36">
                  <c:v>41.277640198269246</c:v>
                </c:pt>
                <c:pt idx="37">
                  <c:v>42.424241314887837</c:v>
                </c:pt>
                <c:pt idx="38">
                  <c:v>43.570842431506428</c:v>
                </c:pt>
                <c:pt idx="39">
                  <c:v>44.717443548125026</c:v>
                </c:pt>
                <c:pt idx="40">
                  <c:v>45.864044664743609</c:v>
                </c:pt>
                <c:pt idx="41">
                  <c:v>47.010645781362193</c:v>
                </c:pt>
                <c:pt idx="42">
                  <c:v>48.157246897980791</c:v>
                </c:pt>
                <c:pt idx="43">
                  <c:v>49.303848014599382</c:v>
                </c:pt>
                <c:pt idx="44">
                  <c:v>50.450449131217965</c:v>
                </c:pt>
                <c:pt idx="45">
                  <c:v>51.597050247836563</c:v>
                </c:pt>
                <c:pt idx="46">
                  <c:v>52.743651364455154</c:v>
                </c:pt>
                <c:pt idx="47">
                  <c:v>53.890252481073745</c:v>
                </c:pt>
                <c:pt idx="48">
                  <c:v>55.036853597692328</c:v>
                </c:pt>
                <c:pt idx="49">
                  <c:v>56.183454714310919</c:v>
                </c:pt>
                <c:pt idx="50">
                  <c:v>57.33005583092951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3-4373-AA58-894986F56CB1}"/>
            </c:ext>
          </c:extLst>
        </c:ser>
        <c:ser>
          <c:idx val="4"/>
          <c:order val="4"/>
          <c:tx>
            <c:strRef>
              <c:f>グラフ!$F$5</c:f>
              <c:strCache>
                <c:ptCount val="1"/>
                <c:pt idx="0">
                  <c:v>圧入力nor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グラフ!$F$6:$F$56</c:f>
              <c:numCache>
                <c:formatCode>0.0</c:formatCode>
                <c:ptCount val="51"/>
                <c:pt idx="0">
                  <c:v>0</c:v>
                </c:pt>
                <c:pt idx="1">
                  <c:v>1.4640256024385596</c:v>
                </c:pt>
                <c:pt idx="2">
                  <c:v>2.9280512048771192</c:v>
                </c:pt>
                <c:pt idx="3">
                  <c:v>4.3920768073156795</c:v>
                </c:pt>
                <c:pt idx="4">
                  <c:v>5.8561024097542385</c:v>
                </c:pt>
                <c:pt idx="5">
                  <c:v>7.3201280121927992</c:v>
                </c:pt>
                <c:pt idx="6">
                  <c:v>8.784153614631359</c:v>
                </c:pt>
                <c:pt idx="7">
                  <c:v>10.248179217069918</c:v>
                </c:pt>
                <c:pt idx="8">
                  <c:v>11.712204819508477</c:v>
                </c:pt>
                <c:pt idx="9">
                  <c:v>13.176230421947038</c:v>
                </c:pt>
                <c:pt idx="10">
                  <c:v>14.640256024385598</c:v>
                </c:pt>
                <c:pt idx="11">
                  <c:v>16.104281626824154</c:v>
                </c:pt>
                <c:pt idx="12">
                  <c:v>17.568307229262718</c:v>
                </c:pt>
                <c:pt idx="13">
                  <c:v>19.032332831701275</c:v>
                </c:pt>
                <c:pt idx="14">
                  <c:v>20.496358434139836</c:v>
                </c:pt>
                <c:pt idx="15">
                  <c:v>21.960384036578397</c:v>
                </c:pt>
                <c:pt idx="16">
                  <c:v>23.424409639016954</c:v>
                </c:pt>
                <c:pt idx="17">
                  <c:v>24.888435241455515</c:v>
                </c:pt>
                <c:pt idx="18">
                  <c:v>26.352460843894075</c:v>
                </c:pt>
                <c:pt idx="19">
                  <c:v>27.816486446332632</c:v>
                </c:pt>
                <c:pt idx="20">
                  <c:v>29.280512048771197</c:v>
                </c:pt>
                <c:pt idx="21">
                  <c:v>30.74453765120975</c:v>
                </c:pt>
                <c:pt idx="22">
                  <c:v>32.208563253648308</c:v>
                </c:pt>
                <c:pt idx="23">
                  <c:v>33.672588856086875</c:v>
                </c:pt>
                <c:pt idx="24">
                  <c:v>35.136614458525436</c:v>
                </c:pt>
                <c:pt idx="25">
                  <c:v>36.60064006096399</c:v>
                </c:pt>
                <c:pt idx="26">
                  <c:v>38.06466566340255</c:v>
                </c:pt>
                <c:pt idx="27">
                  <c:v>39.528691265841118</c:v>
                </c:pt>
                <c:pt idx="28">
                  <c:v>40.992716868279672</c:v>
                </c:pt>
                <c:pt idx="29">
                  <c:v>42.456742470718225</c:v>
                </c:pt>
                <c:pt idx="30">
                  <c:v>43.920768073156793</c:v>
                </c:pt>
                <c:pt idx="31">
                  <c:v>45.384793675595347</c:v>
                </c:pt>
                <c:pt idx="32">
                  <c:v>46.848819278033908</c:v>
                </c:pt>
                <c:pt idx="33">
                  <c:v>48.312844880472475</c:v>
                </c:pt>
                <c:pt idx="34">
                  <c:v>49.776870482911029</c:v>
                </c:pt>
                <c:pt idx="35">
                  <c:v>51.24089608534959</c:v>
                </c:pt>
                <c:pt idx="36">
                  <c:v>52.704921687788151</c:v>
                </c:pt>
                <c:pt idx="37">
                  <c:v>54.168947290226718</c:v>
                </c:pt>
                <c:pt idx="38">
                  <c:v>55.632972892665265</c:v>
                </c:pt>
                <c:pt idx="39">
                  <c:v>57.096998495103833</c:v>
                </c:pt>
                <c:pt idx="40">
                  <c:v>58.561024097542393</c:v>
                </c:pt>
                <c:pt idx="41">
                  <c:v>60.025049699980947</c:v>
                </c:pt>
                <c:pt idx="42">
                  <c:v>61.489075302419501</c:v>
                </c:pt>
                <c:pt idx="43">
                  <c:v>62.953100904858069</c:v>
                </c:pt>
                <c:pt idx="44">
                  <c:v>64.417126507296615</c:v>
                </c:pt>
                <c:pt idx="45">
                  <c:v>65.881152109735197</c:v>
                </c:pt>
                <c:pt idx="46">
                  <c:v>67.345177712173751</c:v>
                </c:pt>
                <c:pt idx="47">
                  <c:v>68.809203314612319</c:v>
                </c:pt>
                <c:pt idx="48">
                  <c:v>70.273228917050872</c:v>
                </c:pt>
                <c:pt idx="49">
                  <c:v>71.737254519489426</c:v>
                </c:pt>
                <c:pt idx="50">
                  <c:v>73.201280121927979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3-4373-AA58-894986F56CB1}"/>
            </c:ext>
          </c:extLst>
        </c:ser>
        <c:ser>
          <c:idx val="5"/>
          <c:order val="5"/>
          <c:tx>
            <c:strRef>
              <c:f>グラフ!$G$5</c:f>
              <c:strCache>
                <c:ptCount val="1"/>
                <c:pt idx="0">
                  <c:v>圧入力max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グラフ!$A$6:$A$56</c:f>
              <c:numCache>
                <c:formatCode>0.000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グラフ!$G$6:$G$56</c:f>
              <c:numCache>
                <c:formatCode>0.0</c:formatCode>
                <c:ptCount val="51"/>
                <c:pt idx="0">
                  <c:v>0</c:v>
                </c:pt>
                <c:pt idx="1">
                  <c:v>1.7941066701665909</c:v>
                </c:pt>
                <c:pt idx="2">
                  <c:v>3.5882133403331817</c:v>
                </c:pt>
                <c:pt idx="3">
                  <c:v>5.3823200104997735</c:v>
                </c:pt>
                <c:pt idx="4">
                  <c:v>7.1764266806663635</c:v>
                </c:pt>
                <c:pt idx="5">
                  <c:v>8.9705333508329552</c:v>
                </c:pt>
                <c:pt idx="6">
                  <c:v>10.764640020999547</c:v>
                </c:pt>
                <c:pt idx="7">
                  <c:v>12.558746691166135</c:v>
                </c:pt>
                <c:pt idx="8">
                  <c:v>14.352853361332727</c:v>
                </c:pt>
                <c:pt idx="9">
                  <c:v>16.146960031499315</c:v>
                </c:pt>
                <c:pt idx="10">
                  <c:v>17.94106670166591</c:v>
                </c:pt>
                <c:pt idx="11">
                  <c:v>19.735173371832499</c:v>
                </c:pt>
                <c:pt idx="12">
                  <c:v>21.529280041999094</c:v>
                </c:pt>
                <c:pt idx="13">
                  <c:v>23.323386712165686</c:v>
                </c:pt>
                <c:pt idx="14">
                  <c:v>25.11749338233227</c:v>
                </c:pt>
                <c:pt idx="15">
                  <c:v>26.911600052498862</c:v>
                </c:pt>
                <c:pt idx="16">
                  <c:v>28.705706722665454</c:v>
                </c:pt>
                <c:pt idx="17">
                  <c:v>30.499813392832042</c:v>
                </c:pt>
                <c:pt idx="18">
                  <c:v>32.29392006299863</c:v>
                </c:pt>
                <c:pt idx="19">
                  <c:v>34.088026733165229</c:v>
                </c:pt>
                <c:pt idx="20">
                  <c:v>35.882133403331821</c:v>
                </c:pt>
                <c:pt idx="21">
                  <c:v>37.676240073498406</c:v>
                </c:pt>
                <c:pt idx="22">
                  <c:v>39.470346743664997</c:v>
                </c:pt>
                <c:pt idx="23">
                  <c:v>41.264453413831596</c:v>
                </c:pt>
                <c:pt idx="24">
                  <c:v>43.058560083998188</c:v>
                </c:pt>
                <c:pt idx="25">
                  <c:v>44.852666754164773</c:v>
                </c:pt>
                <c:pt idx="26">
                  <c:v>46.646773424331371</c:v>
                </c:pt>
                <c:pt idx="27">
                  <c:v>48.440880094497956</c:v>
                </c:pt>
                <c:pt idx="28">
                  <c:v>50.234986764664541</c:v>
                </c:pt>
                <c:pt idx="29">
                  <c:v>52.029093434831132</c:v>
                </c:pt>
                <c:pt idx="30">
                  <c:v>53.823200104997724</c:v>
                </c:pt>
                <c:pt idx="31">
                  <c:v>55.617306775164309</c:v>
                </c:pt>
                <c:pt idx="32">
                  <c:v>57.411413445330908</c:v>
                </c:pt>
                <c:pt idx="33">
                  <c:v>59.205520115497499</c:v>
                </c:pt>
                <c:pt idx="34">
                  <c:v>60.999626785664084</c:v>
                </c:pt>
                <c:pt idx="35">
                  <c:v>62.793733455830683</c:v>
                </c:pt>
                <c:pt idx="36">
                  <c:v>64.587840125997261</c:v>
                </c:pt>
                <c:pt idx="37">
                  <c:v>66.381946796163874</c:v>
                </c:pt>
                <c:pt idx="38">
                  <c:v>68.176053466330458</c:v>
                </c:pt>
                <c:pt idx="39">
                  <c:v>69.970160136497057</c:v>
                </c:pt>
                <c:pt idx="40">
                  <c:v>71.764266806663642</c:v>
                </c:pt>
                <c:pt idx="41">
                  <c:v>73.558373476830226</c:v>
                </c:pt>
                <c:pt idx="42">
                  <c:v>75.352480146996811</c:v>
                </c:pt>
                <c:pt idx="43">
                  <c:v>77.14658681716341</c:v>
                </c:pt>
                <c:pt idx="44">
                  <c:v>78.940693487329995</c:v>
                </c:pt>
                <c:pt idx="45">
                  <c:v>80.734800157496593</c:v>
                </c:pt>
                <c:pt idx="46">
                  <c:v>82.528906827663192</c:v>
                </c:pt>
                <c:pt idx="47">
                  <c:v>84.323013497829791</c:v>
                </c:pt>
                <c:pt idx="48">
                  <c:v>86.117120167996376</c:v>
                </c:pt>
                <c:pt idx="49">
                  <c:v>87.911226838162946</c:v>
                </c:pt>
                <c:pt idx="50">
                  <c:v>89.705333508329545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63-4373-AA58-894986F5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38655"/>
        <c:axId val="2069334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グラフ!$B$5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半径方向応力min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グラフ!$B$6:$B$56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9.8586186524371175</c:v>
                      </c:pt>
                      <c:pt idx="2">
                        <c:v>19.717237304874235</c:v>
                      </c:pt>
                      <c:pt idx="3">
                        <c:v>29.575855957311354</c:v>
                      </c:pt>
                      <c:pt idx="4">
                        <c:v>39.43447460974847</c:v>
                      </c:pt>
                      <c:pt idx="5">
                        <c:v>49.293093262185593</c:v>
                      </c:pt>
                      <c:pt idx="6">
                        <c:v>59.151711914622709</c:v>
                      </c:pt>
                      <c:pt idx="7">
                        <c:v>69.010330567059825</c:v>
                      </c:pt>
                      <c:pt idx="8">
                        <c:v>78.86894921949694</c:v>
                      </c:pt>
                      <c:pt idx="9">
                        <c:v>88.727567871934056</c:v>
                      </c:pt>
                      <c:pt idx="10">
                        <c:v>98.586186524371186</c:v>
                      </c:pt>
                      <c:pt idx="11">
                        <c:v>108.44480517680829</c:v>
                      </c:pt>
                      <c:pt idx="12">
                        <c:v>118.30342382924542</c:v>
                      </c:pt>
                      <c:pt idx="13">
                        <c:v>128.16204248168253</c:v>
                      </c:pt>
                      <c:pt idx="14">
                        <c:v>138.02066113411965</c:v>
                      </c:pt>
                      <c:pt idx="15">
                        <c:v>147.87927978655676</c:v>
                      </c:pt>
                      <c:pt idx="16">
                        <c:v>157.73789843899388</c:v>
                      </c:pt>
                      <c:pt idx="17">
                        <c:v>167.596517091431</c:v>
                      </c:pt>
                      <c:pt idx="18">
                        <c:v>177.45513574386811</c:v>
                      </c:pt>
                      <c:pt idx="19">
                        <c:v>187.31375439630523</c:v>
                      </c:pt>
                      <c:pt idx="20">
                        <c:v>197.17237304874237</c:v>
                      </c:pt>
                      <c:pt idx="21">
                        <c:v>207.03099170117946</c:v>
                      </c:pt>
                      <c:pt idx="22">
                        <c:v>216.88961035361658</c:v>
                      </c:pt>
                      <c:pt idx="23">
                        <c:v>226.74822900605372</c:v>
                      </c:pt>
                      <c:pt idx="24">
                        <c:v>236.60684765849084</c:v>
                      </c:pt>
                      <c:pt idx="25">
                        <c:v>246.46546631092792</c:v>
                      </c:pt>
                      <c:pt idx="26">
                        <c:v>256.32408496336507</c:v>
                      </c:pt>
                      <c:pt idx="27">
                        <c:v>266.18270361580221</c:v>
                      </c:pt>
                      <c:pt idx="28">
                        <c:v>276.0413222682393</c:v>
                      </c:pt>
                      <c:pt idx="29">
                        <c:v>285.89994092067639</c:v>
                      </c:pt>
                      <c:pt idx="30">
                        <c:v>295.75855957311353</c:v>
                      </c:pt>
                      <c:pt idx="31">
                        <c:v>305.61717822555062</c:v>
                      </c:pt>
                      <c:pt idx="32">
                        <c:v>315.47579687798776</c:v>
                      </c:pt>
                      <c:pt idx="33">
                        <c:v>325.33441553042491</c:v>
                      </c:pt>
                      <c:pt idx="34">
                        <c:v>335.19303418286199</c:v>
                      </c:pt>
                      <c:pt idx="35">
                        <c:v>345.05165283529914</c:v>
                      </c:pt>
                      <c:pt idx="36">
                        <c:v>354.91027148773622</c:v>
                      </c:pt>
                      <c:pt idx="37">
                        <c:v>364.76889014017337</c:v>
                      </c:pt>
                      <c:pt idx="38">
                        <c:v>374.62750879261046</c:v>
                      </c:pt>
                      <c:pt idx="39">
                        <c:v>384.4861274450476</c:v>
                      </c:pt>
                      <c:pt idx="40">
                        <c:v>394.34474609748474</c:v>
                      </c:pt>
                      <c:pt idx="41">
                        <c:v>404.20336474992183</c:v>
                      </c:pt>
                      <c:pt idx="42">
                        <c:v>414.06198340235892</c:v>
                      </c:pt>
                      <c:pt idx="43">
                        <c:v>423.92060205479606</c:v>
                      </c:pt>
                      <c:pt idx="44">
                        <c:v>433.77922070723315</c:v>
                      </c:pt>
                      <c:pt idx="45">
                        <c:v>443.63783935967029</c:v>
                      </c:pt>
                      <c:pt idx="46">
                        <c:v>453.49645801210744</c:v>
                      </c:pt>
                      <c:pt idx="47">
                        <c:v>463.35507666454458</c:v>
                      </c:pt>
                      <c:pt idx="48">
                        <c:v>473.21369531698167</c:v>
                      </c:pt>
                      <c:pt idx="49">
                        <c:v>483.0723139694187</c:v>
                      </c:pt>
                      <c:pt idx="50">
                        <c:v>492.93093262185585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D63-4373-AA58-894986F56CB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グラフ!$C$5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半径方向応力nor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グラフ!$C$6:$C$56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10.109393992012501</c:v>
                      </c:pt>
                      <c:pt idx="2">
                        <c:v>20.218787984025003</c:v>
                      </c:pt>
                      <c:pt idx="3">
                        <c:v>30.328181976037509</c:v>
                      </c:pt>
                      <c:pt idx="4">
                        <c:v>40.437575968050005</c:v>
                      </c:pt>
                      <c:pt idx="5">
                        <c:v>50.546969960062519</c:v>
                      </c:pt>
                      <c:pt idx="6">
                        <c:v>60.656363952075019</c:v>
                      </c:pt>
                      <c:pt idx="7">
                        <c:v>70.765757944087525</c:v>
                      </c:pt>
                      <c:pt idx="8">
                        <c:v>80.875151936100011</c:v>
                      </c:pt>
                      <c:pt idx="9">
                        <c:v>90.984545928112524</c:v>
                      </c:pt>
                      <c:pt idx="10">
                        <c:v>101.09393992012504</c:v>
                      </c:pt>
                      <c:pt idx="11">
                        <c:v>111.20333391213752</c:v>
                      </c:pt>
                      <c:pt idx="12">
                        <c:v>121.31272790415004</c:v>
                      </c:pt>
                      <c:pt idx="13">
                        <c:v>131.42212189616254</c:v>
                      </c:pt>
                      <c:pt idx="14">
                        <c:v>141.53151588817505</c:v>
                      </c:pt>
                      <c:pt idx="15">
                        <c:v>151.64090988018754</c:v>
                      </c:pt>
                      <c:pt idx="16">
                        <c:v>161.75030387220002</c:v>
                      </c:pt>
                      <c:pt idx="17">
                        <c:v>171.85969786421256</c:v>
                      </c:pt>
                      <c:pt idx="18">
                        <c:v>181.96909185622505</c:v>
                      </c:pt>
                      <c:pt idx="19">
                        <c:v>192.07848584823753</c:v>
                      </c:pt>
                      <c:pt idx="20">
                        <c:v>202.18787984025008</c:v>
                      </c:pt>
                      <c:pt idx="21">
                        <c:v>212.29727383226256</c:v>
                      </c:pt>
                      <c:pt idx="22">
                        <c:v>222.40666782427505</c:v>
                      </c:pt>
                      <c:pt idx="23">
                        <c:v>232.51606181628756</c:v>
                      </c:pt>
                      <c:pt idx="24">
                        <c:v>242.62545580830007</c:v>
                      </c:pt>
                      <c:pt idx="25">
                        <c:v>252.73484980031256</c:v>
                      </c:pt>
                      <c:pt idx="26">
                        <c:v>262.84424379232507</c:v>
                      </c:pt>
                      <c:pt idx="27">
                        <c:v>272.95363778433762</c:v>
                      </c:pt>
                      <c:pt idx="28">
                        <c:v>283.0630317763501</c:v>
                      </c:pt>
                      <c:pt idx="29">
                        <c:v>293.17242576836253</c:v>
                      </c:pt>
                      <c:pt idx="30">
                        <c:v>303.28181976037507</c:v>
                      </c:pt>
                      <c:pt idx="31">
                        <c:v>313.39121375238756</c:v>
                      </c:pt>
                      <c:pt idx="32">
                        <c:v>323.50060774440004</c:v>
                      </c:pt>
                      <c:pt idx="33">
                        <c:v>333.61000173641264</c:v>
                      </c:pt>
                      <c:pt idx="34">
                        <c:v>343.71939572842513</c:v>
                      </c:pt>
                      <c:pt idx="35">
                        <c:v>353.82878972043761</c:v>
                      </c:pt>
                      <c:pt idx="36">
                        <c:v>363.9381837124501</c:v>
                      </c:pt>
                      <c:pt idx="37">
                        <c:v>374.04757770446258</c:v>
                      </c:pt>
                      <c:pt idx="38">
                        <c:v>384.15697169647507</c:v>
                      </c:pt>
                      <c:pt idx="39">
                        <c:v>394.26636568848761</c:v>
                      </c:pt>
                      <c:pt idx="40">
                        <c:v>404.37575968050015</c:v>
                      </c:pt>
                      <c:pt idx="41">
                        <c:v>414.48515367251264</c:v>
                      </c:pt>
                      <c:pt idx="42">
                        <c:v>424.59454766452512</c:v>
                      </c:pt>
                      <c:pt idx="43">
                        <c:v>434.70394165653761</c:v>
                      </c:pt>
                      <c:pt idx="44">
                        <c:v>444.81333564855009</c:v>
                      </c:pt>
                      <c:pt idx="45">
                        <c:v>454.92272964056264</c:v>
                      </c:pt>
                      <c:pt idx="46">
                        <c:v>465.03212363257512</c:v>
                      </c:pt>
                      <c:pt idx="47">
                        <c:v>475.14151762458766</c:v>
                      </c:pt>
                      <c:pt idx="48">
                        <c:v>485.25091161660015</c:v>
                      </c:pt>
                      <c:pt idx="49">
                        <c:v>495.36030560861258</c:v>
                      </c:pt>
                      <c:pt idx="50">
                        <c:v>505.46969960062512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63-4373-AA58-894986F56C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グラフ!$D$5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半径方向応力max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グラフ!$D$6:$D$56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10.344605808716686</c:v>
                      </c:pt>
                      <c:pt idx="2">
                        <c:v>20.689211617433372</c:v>
                      </c:pt>
                      <c:pt idx="3">
                        <c:v>31.033817426150058</c:v>
                      </c:pt>
                      <c:pt idx="4">
                        <c:v>41.378423234866744</c:v>
                      </c:pt>
                      <c:pt idx="5">
                        <c:v>51.723029043583431</c:v>
                      </c:pt>
                      <c:pt idx="6">
                        <c:v>62.067634852300117</c:v>
                      </c:pt>
                      <c:pt idx="7">
                        <c:v>72.41224066101681</c:v>
                      </c:pt>
                      <c:pt idx="8">
                        <c:v>82.756846469733489</c:v>
                      </c:pt>
                      <c:pt idx="9">
                        <c:v>93.101452278450168</c:v>
                      </c:pt>
                      <c:pt idx="10">
                        <c:v>103.44605808716686</c:v>
                      </c:pt>
                      <c:pt idx="11">
                        <c:v>113.79066389588354</c:v>
                      </c:pt>
                      <c:pt idx="12">
                        <c:v>124.13526970460023</c:v>
                      </c:pt>
                      <c:pt idx="13">
                        <c:v>134.4798755133169</c:v>
                      </c:pt>
                      <c:pt idx="14">
                        <c:v>144.82448132203362</c:v>
                      </c:pt>
                      <c:pt idx="15">
                        <c:v>155.16908713075028</c:v>
                      </c:pt>
                      <c:pt idx="16">
                        <c:v>165.51369293946698</c:v>
                      </c:pt>
                      <c:pt idx="17">
                        <c:v>175.85829874818367</c:v>
                      </c:pt>
                      <c:pt idx="18">
                        <c:v>186.20290455690034</c:v>
                      </c:pt>
                      <c:pt idx="19">
                        <c:v>196.54751036561703</c:v>
                      </c:pt>
                      <c:pt idx="20">
                        <c:v>206.89211617433372</c:v>
                      </c:pt>
                      <c:pt idx="21">
                        <c:v>217.23672198305042</c:v>
                      </c:pt>
                      <c:pt idx="22">
                        <c:v>227.58132779176708</c:v>
                      </c:pt>
                      <c:pt idx="23">
                        <c:v>237.92593360048377</c:v>
                      </c:pt>
                      <c:pt idx="24">
                        <c:v>248.27053940920047</c:v>
                      </c:pt>
                      <c:pt idx="25">
                        <c:v>258.61514521791713</c:v>
                      </c:pt>
                      <c:pt idx="26">
                        <c:v>268.9597510266338</c:v>
                      </c:pt>
                      <c:pt idx="27">
                        <c:v>279.30435683535057</c:v>
                      </c:pt>
                      <c:pt idx="28">
                        <c:v>289.64896264406724</c:v>
                      </c:pt>
                      <c:pt idx="29">
                        <c:v>299.99356845278385</c:v>
                      </c:pt>
                      <c:pt idx="30">
                        <c:v>310.33817426150057</c:v>
                      </c:pt>
                      <c:pt idx="31">
                        <c:v>320.68278007021723</c:v>
                      </c:pt>
                      <c:pt idx="32">
                        <c:v>331.02738587893396</c:v>
                      </c:pt>
                      <c:pt idx="33">
                        <c:v>341.37199168765068</c:v>
                      </c:pt>
                      <c:pt idx="34">
                        <c:v>351.71659749636734</c:v>
                      </c:pt>
                      <c:pt idx="35">
                        <c:v>362.06120330508401</c:v>
                      </c:pt>
                      <c:pt idx="36">
                        <c:v>372.40580911380067</c:v>
                      </c:pt>
                      <c:pt idx="37">
                        <c:v>382.75041492251739</c:v>
                      </c:pt>
                      <c:pt idx="38">
                        <c:v>393.09502073123406</c:v>
                      </c:pt>
                      <c:pt idx="39">
                        <c:v>403.43962653995078</c:v>
                      </c:pt>
                      <c:pt idx="40">
                        <c:v>413.78423234866744</c:v>
                      </c:pt>
                      <c:pt idx="41">
                        <c:v>424.12883815738411</c:v>
                      </c:pt>
                      <c:pt idx="42">
                        <c:v>434.47344396610083</c:v>
                      </c:pt>
                      <c:pt idx="43">
                        <c:v>444.8180497748175</c:v>
                      </c:pt>
                      <c:pt idx="44">
                        <c:v>455.16265558353416</c:v>
                      </c:pt>
                      <c:pt idx="45">
                        <c:v>465.50726139225088</c:v>
                      </c:pt>
                      <c:pt idx="46">
                        <c:v>475.85186720096755</c:v>
                      </c:pt>
                      <c:pt idx="47">
                        <c:v>486.19647300968433</c:v>
                      </c:pt>
                      <c:pt idx="48">
                        <c:v>496.54107881840093</c:v>
                      </c:pt>
                      <c:pt idx="49">
                        <c:v>506.88568462711754</c:v>
                      </c:pt>
                      <c:pt idx="50">
                        <c:v>517.23029043583426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63-4373-AA58-894986F56C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グラフ!$H$5</c15:sqref>
                        </c15:formulaRef>
                      </c:ext>
                    </c:extLst>
                    <c:strCache>
                      <c:ptCount val="1"/>
                      <c:pt idx="0">
                        <c:v>降伏点inner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グラフ!$H$6:$H$56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345</c:v>
                      </c:pt>
                      <c:pt idx="1">
                        <c:v>345</c:v>
                      </c:pt>
                      <c:pt idx="2">
                        <c:v>345</c:v>
                      </c:pt>
                      <c:pt idx="3">
                        <c:v>345</c:v>
                      </c:pt>
                      <c:pt idx="4">
                        <c:v>345</c:v>
                      </c:pt>
                      <c:pt idx="5">
                        <c:v>345</c:v>
                      </c:pt>
                      <c:pt idx="6">
                        <c:v>345</c:v>
                      </c:pt>
                      <c:pt idx="7">
                        <c:v>345</c:v>
                      </c:pt>
                      <c:pt idx="8">
                        <c:v>345</c:v>
                      </c:pt>
                      <c:pt idx="9">
                        <c:v>345</c:v>
                      </c:pt>
                      <c:pt idx="10">
                        <c:v>345</c:v>
                      </c:pt>
                      <c:pt idx="11">
                        <c:v>345</c:v>
                      </c:pt>
                      <c:pt idx="12">
                        <c:v>345</c:v>
                      </c:pt>
                      <c:pt idx="13">
                        <c:v>345</c:v>
                      </c:pt>
                      <c:pt idx="14">
                        <c:v>345</c:v>
                      </c:pt>
                      <c:pt idx="15">
                        <c:v>345</c:v>
                      </c:pt>
                      <c:pt idx="16">
                        <c:v>345</c:v>
                      </c:pt>
                      <c:pt idx="17">
                        <c:v>345</c:v>
                      </c:pt>
                      <c:pt idx="18">
                        <c:v>345</c:v>
                      </c:pt>
                      <c:pt idx="19">
                        <c:v>345</c:v>
                      </c:pt>
                      <c:pt idx="20">
                        <c:v>345</c:v>
                      </c:pt>
                      <c:pt idx="21">
                        <c:v>345</c:v>
                      </c:pt>
                      <c:pt idx="22">
                        <c:v>345</c:v>
                      </c:pt>
                      <c:pt idx="23">
                        <c:v>345</c:v>
                      </c:pt>
                      <c:pt idx="24">
                        <c:v>345</c:v>
                      </c:pt>
                      <c:pt idx="25">
                        <c:v>345</c:v>
                      </c:pt>
                      <c:pt idx="26">
                        <c:v>345</c:v>
                      </c:pt>
                      <c:pt idx="27">
                        <c:v>345</c:v>
                      </c:pt>
                      <c:pt idx="28">
                        <c:v>345</c:v>
                      </c:pt>
                      <c:pt idx="29">
                        <c:v>345</c:v>
                      </c:pt>
                      <c:pt idx="30">
                        <c:v>345</c:v>
                      </c:pt>
                      <c:pt idx="31">
                        <c:v>345</c:v>
                      </c:pt>
                      <c:pt idx="32">
                        <c:v>345</c:v>
                      </c:pt>
                      <c:pt idx="33">
                        <c:v>345</c:v>
                      </c:pt>
                      <c:pt idx="34">
                        <c:v>345</c:v>
                      </c:pt>
                      <c:pt idx="35">
                        <c:v>345</c:v>
                      </c:pt>
                      <c:pt idx="36">
                        <c:v>345</c:v>
                      </c:pt>
                      <c:pt idx="37">
                        <c:v>345</c:v>
                      </c:pt>
                      <c:pt idx="38">
                        <c:v>345</c:v>
                      </c:pt>
                      <c:pt idx="39">
                        <c:v>345</c:v>
                      </c:pt>
                      <c:pt idx="40">
                        <c:v>345</c:v>
                      </c:pt>
                      <c:pt idx="41">
                        <c:v>345</c:v>
                      </c:pt>
                      <c:pt idx="42">
                        <c:v>345</c:v>
                      </c:pt>
                      <c:pt idx="43">
                        <c:v>345</c:v>
                      </c:pt>
                      <c:pt idx="44">
                        <c:v>345</c:v>
                      </c:pt>
                      <c:pt idx="45">
                        <c:v>345</c:v>
                      </c:pt>
                      <c:pt idx="46">
                        <c:v>345</c:v>
                      </c:pt>
                      <c:pt idx="47">
                        <c:v>345</c:v>
                      </c:pt>
                      <c:pt idx="48">
                        <c:v>345</c:v>
                      </c:pt>
                      <c:pt idx="49">
                        <c:v>345</c:v>
                      </c:pt>
                      <c:pt idx="50">
                        <c:v>345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63-4373-AA58-894986F56C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グラフ!$I$5</c15:sqref>
                        </c15:formulaRef>
                      </c:ext>
                    </c:extLst>
                    <c:strCache>
                      <c:ptCount val="1"/>
                      <c:pt idx="0">
                        <c:v>降伏点outer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グラフ!$I$6:$I$56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  <c:pt idx="31">
                        <c:v>150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150</c:v>
                      </c:pt>
                      <c:pt idx="41">
                        <c:v>150</c:v>
                      </c:pt>
                      <c:pt idx="42">
                        <c:v>150</c:v>
                      </c:pt>
                      <c:pt idx="43">
                        <c:v>150</c:v>
                      </c:pt>
                      <c:pt idx="44">
                        <c:v>150</c:v>
                      </c:pt>
                      <c:pt idx="45">
                        <c:v>150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63-4373-AA58-894986F56CB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グラフ!$J$5</c15:sqref>
                        </c15:formulaRef>
                      </c:ext>
                    </c:extLst>
                    <c:strCache>
                      <c:ptCount val="1"/>
                      <c:pt idx="0">
                        <c:v>円周方向応力inner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グラフ!$J$6:$J$56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26.946419757690951</c:v>
                      </c:pt>
                      <c:pt idx="2">
                        <c:v>53.892839515381901</c:v>
                      </c:pt>
                      <c:pt idx="3">
                        <c:v>80.839259273072884</c:v>
                      </c:pt>
                      <c:pt idx="4">
                        <c:v>107.7856790307638</c:v>
                      </c:pt>
                      <c:pt idx="5">
                        <c:v>134.73209878845481</c:v>
                      </c:pt>
                      <c:pt idx="6">
                        <c:v>161.67851854614577</c:v>
                      </c:pt>
                      <c:pt idx="7">
                        <c:v>188.62493830383673</c:v>
                      </c:pt>
                      <c:pt idx="8">
                        <c:v>215.5713580615276</c:v>
                      </c:pt>
                      <c:pt idx="9">
                        <c:v>242.51777781921859</c:v>
                      </c:pt>
                      <c:pt idx="10">
                        <c:v>269.46419757690961</c:v>
                      </c:pt>
                      <c:pt idx="11">
                        <c:v>296.41061733460054</c:v>
                      </c:pt>
                      <c:pt idx="12">
                        <c:v>323.35703709229153</c:v>
                      </c:pt>
                      <c:pt idx="13">
                        <c:v>350.30345684998247</c:v>
                      </c:pt>
                      <c:pt idx="14">
                        <c:v>377.24987660767346</c:v>
                      </c:pt>
                      <c:pt idx="15">
                        <c:v>404.19629636536439</c:v>
                      </c:pt>
                      <c:pt idx="16">
                        <c:v>431.14271612305521</c:v>
                      </c:pt>
                      <c:pt idx="17">
                        <c:v>458.08913588074637</c:v>
                      </c:pt>
                      <c:pt idx="18">
                        <c:v>485.03555563843719</c:v>
                      </c:pt>
                      <c:pt idx="19">
                        <c:v>511.98197539612818</c:v>
                      </c:pt>
                      <c:pt idx="20">
                        <c:v>538.92839515381922</c:v>
                      </c:pt>
                      <c:pt idx="21">
                        <c:v>565.87481491151016</c:v>
                      </c:pt>
                      <c:pt idx="22">
                        <c:v>592.82123466920109</c:v>
                      </c:pt>
                      <c:pt idx="23">
                        <c:v>619.76765442689202</c:v>
                      </c:pt>
                      <c:pt idx="24">
                        <c:v>646.71407418458307</c:v>
                      </c:pt>
                      <c:pt idx="25">
                        <c:v>673.66049394227389</c:v>
                      </c:pt>
                      <c:pt idx="26">
                        <c:v>700.60691369996493</c:v>
                      </c:pt>
                      <c:pt idx="27">
                        <c:v>727.55333345765598</c:v>
                      </c:pt>
                      <c:pt idx="28">
                        <c:v>754.49975321534691</c:v>
                      </c:pt>
                      <c:pt idx="29">
                        <c:v>781.44617297303773</c:v>
                      </c:pt>
                      <c:pt idx="30">
                        <c:v>808.39259273072878</c:v>
                      </c:pt>
                      <c:pt idx="31">
                        <c:v>835.3390124884196</c:v>
                      </c:pt>
                      <c:pt idx="32">
                        <c:v>862.28543224611042</c:v>
                      </c:pt>
                      <c:pt idx="33">
                        <c:v>889.23185200380181</c:v>
                      </c:pt>
                      <c:pt idx="34">
                        <c:v>916.17827176149274</c:v>
                      </c:pt>
                      <c:pt idx="35">
                        <c:v>943.12469151918356</c:v>
                      </c:pt>
                      <c:pt idx="36">
                        <c:v>970.07111127687438</c:v>
                      </c:pt>
                      <c:pt idx="37">
                        <c:v>997.01753103456542</c:v>
                      </c:pt>
                      <c:pt idx="38">
                        <c:v>1023.9639507922564</c:v>
                      </c:pt>
                      <c:pt idx="39">
                        <c:v>1050.9103705499474</c:v>
                      </c:pt>
                      <c:pt idx="40">
                        <c:v>1077.8567903076384</c:v>
                      </c:pt>
                      <c:pt idx="41">
                        <c:v>1104.8032100653295</c:v>
                      </c:pt>
                      <c:pt idx="42">
                        <c:v>1131.7496298230203</c:v>
                      </c:pt>
                      <c:pt idx="43">
                        <c:v>1158.6960495807111</c:v>
                      </c:pt>
                      <c:pt idx="44">
                        <c:v>1185.6424693384022</c:v>
                      </c:pt>
                      <c:pt idx="45">
                        <c:v>1212.5888890960932</c:v>
                      </c:pt>
                      <c:pt idx="46">
                        <c:v>1239.535308853784</c:v>
                      </c:pt>
                      <c:pt idx="47">
                        <c:v>1266.4817286114751</c:v>
                      </c:pt>
                      <c:pt idx="48">
                        <c:v>1293.4281483691661</c:v>
                      </c:pt>
                      <c:pt idx="49">
                        <c:v>1320.3745681268567</c:v>
                      </c:pt>
                      <c:pt idx="50">
                        <c:v>1347.3209878845478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63-4373-AA58-894986F56CB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グラフ!$K$5</c15:sqref>
                        </c15:formulaRef>
                      </c:ext>
                    </c:extLst>
                    <c:strCache>
                      <c:ptCount val="1"/>
                      <c:pt idx="0">
                        <c:v>円周方向応力outer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グラフ!$A$6:$A$56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0.35000000000000003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0.41000000000000003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0.47000000000000003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グラフ!$K$6:$K$56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0</c:v>
                      </c:pt>
                      <c:pt idx="1">
                        <c:v>26.29413279534306</c:v>
                      </c:pt>
                      <c:pt idx="2">
                        <c:v>52.58826559068612</c:v>
                      </c:pt>
                      <c:pt idx="3">
                        <c:v>78.882398386029195</c:v>
                      </c:pt>
                      <c:pt idx="4">
                        <c:v>105.17653118137224</c:v>
                      </c:pt>
                      <c:pt idx="5">
                        <c:v>131.47066397671531</c:v>
                      </c:pt>
                      <c:pt idx="6">
                        <c:v>157.76479677205839</c:v>
                      </c:pt>
                      <c:pt idx="7">
                        <c:v>184.05892956740146</c:v>
                      </c:pt>
                      <c:pt idx="8">
                        <c:v>210.35306236274448</c:v>
                      </c:pt>
                      <c:pt idx="9">
                        <c:v>236.64719515808756</c:v>
                      </c:pt>
                      <c:pt idx="10">
                        <c:v>262.94132795343063</c:v>
                      </c:pt>
                      <c:pt idx="11">
                        <c:v>289.23546074877362</c:v>
                      </c:pt>
                      <c:pt idx="12">
                        <c:v>315.52959354411678</c:v>
                      </c:pt>
                      <c:pt idx="13">
                        <c:v>341.82372633945982</c:v>
                      </c:pt>
                      <c:pt idx="14">
                        <c:v>368.11785913480293</c:v>
                      </c:pt>
                      <c:pt idx="15">
                        <c:v>394.41199193014592</c:v>
                      </c:pt>
                      <c:pt idx="16">
                        <c:v>420.70612472548896</c:v>
                      </c:pt>
                      <c:pt idx="17">
                        <c:v>447.00025752083206</c:v>
                      </c:pt>
                      <c:pt idx="18">
                        <c:v>473.29439031617511</c:v>
                      </c:pt>
                      <c:pt idx="19">
                        <c:v>499.58852311151816</c:v>
                      </c:pt>
                      <c:pt idx="20">
                        <c:v>525.88265590686126</c:v>
                      </c:pt>
                      <c:pt idx="21">
                        <c:v>552.17678870220436</c:v>
                      </c:pt>
                      <c:pt idx="22">
                        <c:v>578.47092149754724</c:v>
                      </c:pt>
                      <c:pt idx="23">
                        <c:v>604.76505429289045</c:v>
                      </c:pt>
                      <c:pt idx="24">
                        <c:v>631.05918708823356</c:v>
                      </c:pt>
                      <c:pt idx="25">
                        <c:v>657.35331988357655</c:v>
                      </c:pt>
                      <c:pt idx="26">
                        <c:v>683.64745267891965</c:v>
                      </c:pt>
                      <c:pt idx="27">
                        <c:v>709.94158547426275</c:v>
                      </c:pt>
                      <c:pt idx="28">
                        <c:v>736.23571826960585</c:v>
                      </c:pt>
                      <c:pt idx="29">
                        <c:v>762.52985106494862</c:v>
                      </c:pt>
                      <c:pt idx="30">
                        <c:v>788.82398386029183</c:v>
                      </c:pt>
                      <c:pt idx="31">
                        <c:v>815.11811665563482</c:v>
                      </c:pt>
                      <c:pt idx="32">
                        <c:v>841.41224945097792</c:v>
                      </c:pt>
                      <c:pt idx="33">
                        <c:v>867.70638224632125</c:v>
                      </c:pt>
                      <c:pt idx="34">
                        <c:v>894.00051504166413</c:v>
                      </c:pt>
                      <c:pt idx="35">
                        <c:v>920.29464783700723</c:v>
                      </c:pt>
                      <c:pt idx="36">
                        <c:v>946.58878063235022</c:v>
                      </c:pt>
                      <c:pt idx="37">
                        <c:v>972.88291342769321</c:v>
                      </c:pt>
                      <c:pt idx="38">
                        <c:v>999.17704622303631</c:v>
                      </c:pt>
                      <c:pt idx="39">
                        <c:v>1025.4711790183794</c:v>
                      </c:pt>
                      <c:pt idx="40">
                        <c:v>1051.7653118137225</c:v>
                      </c:pt>
                      <c:pt idx="41">
                        <c:v>1078.0594446090656</c:v>
                      </c:pt>
                      <c:pt idx="42">
                        <c:v>1104.3535774044087</c:v>
                      </c:pt>
                      <c:pt idx="43">
                        <c:v>1130.6477101997516</c:v>
                      </c:pt>
                      <c:pt idx="44">
                        <c:v>1156.9418429950945</c:v>
                      </c:pt>
                      <c:pt idx="45">
                        <c:v>1183.2359757904378</c:v>
                      </c:pt>
                      <c:pt idx="46">
                        <c:v>1209.5301085857809</c:v>
                      </c:pt>
                      <c:pt idx="47">
                        <c:v>1235.824241381124</c:v>
                      </c:pt>
                      <c:pt idx="48">
                        <c:v>1262.1183741764671</c:v>
                      </c:pt>
                      <c:pt idx="49">
                        <c:v>1288.4125069718098</c:v>
                      </c:pt>
                      <c:pt idx="50">
                        <c:v>1314.7066397671531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63-4373-AA58-894986F56CB1}"/>
                  </c:ext>
                </c:extLst>
              </c15:ser>
            </c15:filteredScatterSeries>
          </c:ext>
        </c:extLst>
      </c:scatterChart>
      <c:valAx>
        <c:axId val="206933865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グラフ!$A$4</c:f>
              <c:strCache>
                <c:ptCount val="1"/>
                <c:pt idx="0">
                  <c:v>締め代[mm]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4079"/>
        <c:crosses val="autoZero"/>
        <c:crossBetween val="midCat"/>
      </c:valAx>
      <c:valAx>
        <c:axId val="2069334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グラフ!$E$4</c:f>
              <c:strCache>
                <c:ptCount val="1"/>
                <c:pt idx="0">
                  <c:v>圧入力[kN]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33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温度 </a:t>
            </a:r>
            <a:r>
              <a:rPr lang="en-US" altLang="ja-JP"/>
              <a:t>vs Inner</a:t>
            </a:r>
            <a:r>
              <a:rPr lang="ja-JP" altLang="en-US"/>
              <a:t>応力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4"/>
          <c:order val="14"/>
          <c:tx>
            <c:strRef>
              <c:f>グラフ!$AC$5</c:f>
              <c:strCache>
                <c:ptCount val="1"/>
                <c:pt idx="0">
                  <c:v>inner応力:Δ-30℃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グラフ!$AC$6:$AC$56</c:f>
              <c:numCache>
                <c:formatCode>0.0</c:formatCode>
                <c:ptCount val="51"/>
                <c:pt idx="0">
                  <c:v>174.47866834705596</c:v>
                </c:pt>
                <c:pt idx="1">
                  <c:v>170.70176786732947</c:v>
                </c:pt>
                <c:pt idx="2">
                  <c:v>166.9248673876227</c:v>
                </c:pt>
                <c:pt idx="3">
                  <c:v>163.14796690790604</c:v>
                </c:pt>
                <c:pt idx="4">
                  <c:v>159.37106642817957</c:v>
                </c:pt>
                <c:pt idx="5">
                  <c:v>155.59416594845314</c:v>
                </c:pt>
                <c:pt idx="6">
                  <c:v>151.81726546874634</c:v>
                </c:pt>
                <c:pt idx="7">
                  <c:v>148.04036498901991</c:v>
                </c:pt>
                <c:pt idx="8">
                  <c:v>144.26346450930328</c:v>
                </c:pt>
                <c:pt idx="9">
                  <c:v>140.48656402959651</c:v>
                </c:pt>
                <c:pt idx="10">
                  <c:v>136.70966354987988</c:v>
                </c:pt>
                <c:pt idx="11">
                  <c:v>132.93276307015338</c:v>
                </c:pt>
                <c:pt idx="12">
                  <c:v>129.15586259042692</c:v>
                </c:pt>
                <c:pt idx="13">
                  <c:v>125.37896211072015</c:v>
                </c:pt>
                <c:pt idx="14">
                  <c:v>121.60206163100355</c:v>
                </c:pt>
                <c:pt idx="15">
                  <c:v>117.82516115128692</c:v>
                </c:pt>
                <c:pt idx="16">
                  <c:v>114.04826067156047</c:v>
                </c:pt>
                <c:pt idx="17">
                  <c:v>110.27136019184384</c:v>
                </c:pt>
                <c:pt idx="18">
                  <c:v>106.49445971212722</c:v>
                </c:pt>
                <c:pt idx="19">
                  <c:v>102.71755923241059</c:v>
                </c:pt>
                <c:pt idx="20">
                  <c:v>98.940658752684143</c:v>
                </c:pt>
                <c:pt idx="21">
                  <c:v>95.163758272967513</c:v>
                </c:pt>
                <c:pt idx="22">
                  <c:v>91.386857793231201</c:v>
                </c:pt>
                <c:pt idx="23">
                  <c:v>87.609957313534281</c:v>
                </c:pt>
                <c:pt idx="24">
                  <c:v>83.833056833797983</c:v>
                </c:pt>
                <c:pt idx="25">
                  <c:v>80.056156354081352</c:v>
                </c:pt>
                <c:pt idx="26">
                  <c:v>76.279255874384418</c:v>
                </c:pt>
                <c:pt idx="27">
                  <c:v>72.502355394667802</c:v>
                </c:pt>
                <c:pt idx="28">
                  <c:v>68.725454914951172</c:v>
                </c:pt>
                <c:pt idx="29">
                  <c:v>64.948554435214874</c:v>
                </c:pt>
                <c:pt idx="30">
                  <c:v>61.171653955508084</c:v>
                </c:pt>
                <c:pt idx="31">
                  <c:v>57.394753475781627</c:v>
                </c:pt>
                <c:pt idx="32">
                  <c:v>53.617852996065011</c:v>
                </c:pt>
                <c:pt idx="33">
                  <c:v>49.840952516338547</c:v>
                </c:pt>
                <c:pt idx="34">
                  <c:v>46.064052036621923</c:v>
                </c:pt>
                <c:pt idx="35">
                  <c:v>42.287151556895466</c:v>
                </c:pt>
                <c:pt idx="36">
                  <c:v>38.510251077198525</c:v>
                </c:pt>
                <c:pt idx="37">
                  <c:v>34.733350597491743</c:v>
                </c:pt>
                <c:pt idx="38">
                  <c:v>30.956450117755445</c:v>
                </c:pt>
                <c:pt idx="39">
                  <c:v>27.179549638048659</c:v>
                </c:pt>
                <c:pt idx="40">
                  <c:v>23.402649158322198</c:v>
                </c:pt>
                <c:pt idx="41">
                  <c:v>19.625748678605582</c:v>
                </c:pt>
                <c:pt idx="42">
                  <c:v>15.848848198869277</c:v>
                </c:pt>
                <c:pt idx="43">
                  <c:v>12.071947719152657</c:v>
                </c:pt>
                <c:pt idx="44">
                  <c:v>8.2950472394360357</c:v>
                </c:pt>
                <c:pt idx="45">
                  <c:v>4.518146759719416</c:v>
                </c:pt>
                <c:pt idx="46">
                  <c:v>0.7412462800027948</c:v>
                </c:pt>
                <c:pt idx="47">
                  <c:v>-3.0356541997039854</c:v>
                </c:pt>
                <c:pt idx="48">
                  <c:v>-6.8125546794107645</c:v>
                </c:pt>
                <c:pt idx="49">
                  <c:v>-10.589455159147068</c:v>
                </c:pt>
                <c:pt idx="50">
                  <c:v>-14.366355638863688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495-4A62-9571-892853E3761F}"/>
            </c:ext>
          </c:extLst>
        </c:ser>
        <c:ser>
          <c:idx val="15"/>
          <c:order val="15"/>
          <c:tx>
            <c:strRef>
              <c:f>グラフ!$AD$5</c:f>
              <c:strCache>
                <c:ptCount val="1"/>
                <c:pt idx="0">
                  <c:v>inner応力:Δ-20℃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グラフ!$AD$6:$AD$56</c:f>
              <c:numCache>
                <c:formatCode>0.0</c:formatCode>
                <c:ptCount val="51"/>
                <c:pt idx="0">
                  <c:v>157.02780301048978</c:v>
                </c:pt>
                <c:pt idx="1">
                  <c:v>153.25090253077315</c:v>
                </c:pt>
                <c:pt idx="2">
                  <c:v>149.47400205105654</c:v>
                </c:pt>
                <c:pt idx="3">
                  <c:v>145.69710157133008</c:v>
                </c:pt>
                <c:pt idx="4">
                  <c:v>141.92020109161348</c:v>
                </c:pt>
                <c:pt idx="5">
                  <c:v>138.14330061188701</c:v>
                </c:pt>
                <c:pt idx="6">
                  <c:v>134.36640013218022</c:v>
                </c:pt>
                <c:pt idx="7">
                  <c:v>130.58949965245375</c:v>
                </c:pt>
                <c:pt idx="8">
                  <c:v>126.81259917273715</c:v>
                </c:pt>
                <c:pt idx="9">
                  <c:v>123.03569869303038</c:v>
                </c:pt>
                <c:pt idx="10">
                  <c:v>119.25879821330393</c:v>
                </c:pt>
                <c:pt idx="11">
                  <c:v>115.4818977335873</c:v>
                </c:pt>
                <c:pt idx="12">
                  <c:v>111.70499725387069</c:v>
                </c:pt>
                <c:pt idx="13">
                  <c:v>107.92809677415404</c:v>
                </c:pt>
                <c:pt idx="14">
                  <c:v>104.15119629442759</c:v>
                </c:pt>
                <c:pt idx="15">
                  <c:v>100.37429581471096</c:v>
                </c:pt>
                <c:pt idx="16">
                  <c:v>96.59739533500418</c:v>
                </c:pt>
                <c:pt idx="17">
                  <c:v>92.820494855287563</c:v>
                </c:pt>
                <c:pt idx="18">
                  <c:v>89.043594375551265</c:v>
                </c:pt>
                <c:pt idx="19">
                  <c:v>85.266693895834649</c:v>
                </c:pt>
                <c:pt idx="20">
                  <c:v>81.489793416108185</c:v>
                </c:pt>
                <c:pt idx="21">
                  <c:v>77.712892936401403</c:v>
                </c:pt>
                <c:pt idx="22">
                  <c:v>73.935992456665105</c:v>
                </c:pt>
                <c:pt idx="23">
                  <c:v>70.159091976958322</c:v>
                </c:pt>
                <c:pt idx="24">
                  <c:v>66.382191497241706</c:v>
                </c:pt>
                <c:pt idx="25">
                  <c:v>62.605291017534917</c:v>
                </c:pt>
                <c:pt idx="26">
                  <c:v>58.828390537818301</c:v>
                </c:pt>
                <c:pt idx="27">
                  <c:v>55.051490058091836</c:v>
                </c:pt>
                <c:pt idx="28">
                  <c:v>51.27458957837522</c:v>
                </c:pt>
                <c:pt idx="29">
                  <c:v>47.497689098648756</c:v>
                </c:pt>
                <c:pt idx="30">
                  <c:v>43.720788618941967</c:v>
                </c:pt>
                <c:pt idx="31">
                  <c:v>39.943888139205669</c:v>
                </c:pt>
                <c:pt idx="32">
                  <c:v>36.166987659489052</c:v>
                </c:pt>
                <c:pt idx="33">
                  <c:v>32.390087179772429</c:v>
                </c:pt>
                <c:pt idx="34">
                  <c:v>28.613186700075488</c:v>
                </c:pt>
                <c:pt idx="35">
                  <c:v>24.83628622033919</c:v>
                </c:pt>
                <c:pt idx="36">
                  <c:v>21.059385740622567</c:v>
                </c:pt>
                <c:pt idx="37">
                  <c:v>17.282485260925629</c:v>
                </c:pt>
                <c:pt idx="38">
                  <c:v>13.505584781189327</c:v>
                </c:pt>
                <c:pt idx="39">
                  <c:v>9.7286843014727058</c:v>
                </c:pt>
                <c:pt idx="40">
                  <c:v>5.9517838217462451</c:v>
                </c:pt>
                <c:pt idx="41">
                  <c:v>2.1748833420296241</c:v>
                </c:pt>
                <c:pt idx="42">
                  <c:v>-1.6020171376968373</c:v>
                </c:pt>
                <c:pt idx="43">
                  <c:v>-5.3789176174134576</c:v>
                </c:pt>
                <c:pt idx="44">
                  <c:v>-9.1558180971202372</c:v>
                </c:pt>
                <c:pt idx="45">
                  <c:v>-12.932718576836857</c:v>
                </c:pt>
                <c:pt idx="46">
                  <c:v>-16.709619056563319</c:v>
                </c:pt>
                <c:pt idx="47">
                  <c:v>-20.486519536270098</c:v>
                </c:pt>
                <c:pt idx="48">
                  <c:v>-24.263420015986718</c:v>
                </c:pt>
                <c:pt idx="49">
                  <c:v>-28.040320495723023</c:v>
                </c:pt>
                <c:pt idx="50">
                  <c:v>-31.817220975429805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495-4A62-9571-892853E3761F}"/>
            </c:ext>
          </c:extLst>
        </c:ser>
        <c:ser>
          <c:idx val="16"/>
          <c:order val="16"/>
          <c:tx>
            <c:strRef>
              <c:f>グラフ!$AE$5</c:f>
              <c:strCache>
                <c:ptCount val="1"/>
                <c:pt idx="0">
                  <c:v>inner応力:Δ-10℃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グラフ!$AE$6:$AE$56</c:f>
              <c:numCache>
                <c:formatCode>0.0</c:formatCode>
                <c:ptCount val="51"/>
                <c:pt idx="0">
                  <c:v>139.57693767392368</c:v>
                </c:pt>
                <c:pt idx="1">
                  <c:v>135.80003719419722</c:v>
                </c:pt>
                <c:pt idx="2">
                  <c:v>132.02313671449042</c:v>
                </c:pt>
                <c:pt idx="3">
                  <c:v>128.24623623476396</c:v>
                </c:pt>
                <c:pt idx="4">
                  <c:v>124.46933575504735</c:v>
                </c:pt>
                <c:pt idx="5">
                  <c:v>120.6924352753209</c:v>
                </c:pt>
                <c:pt idx="6">
                  <c:v>116.91553479561411</c:v>
                </c:pt>
                <c:pt idx="7">
                  <c:v>113.13863431588764</c:v>
                </c:pt>
                <c:pt idx="8">
                  <c:v>109.36173383616119</c:v>
                </c:pt>
                <c:pt idx="9">
                  <c:v>105.58483335646426</c:v>
                </c:pt>
                <c:pt idx="10">
                  <c:v>101.80793287674766</c:v>
                </c:pt>
                <c:pt idx="11">
                  <c:v>98.031032397021178</c:v>
                </c:pt>
                <c:pt idx="12">
                  <c:v>94.254131917294728</c:v>
                </c:pt>
                <c:pt idx="13">
                  <c:v>90.477231437578098</c:v>
                </c:pt>
                <c:pt idx="14">
                  <c:v>86.700330957871316</c:v>
                </c:pt>
                <c:pt idx="15">
                  <c:v>82.923430478154685</c:v>
                </c:pt>
                <c:pt idx="16">
                  <c:v>79.146529998428235</c:v>
                </c:pt>
                <c:pt idx="17">
                  <c:v>75.369629518711605</c:v>
                </c:pt>
                <c:pt idx="18">
                  <c:v>71.592729038975307</c:v>
                </c:pt>
                <c:pt idx="19">
                  <c:v>67.815828559268525</c:v>
                </c:pt>
                <c:pt idx="20">
                  <c:v>64.038928079542075</c:v>
                </c:pt>
                <c:pt idx="21">
                  <c:v>60.262027599825451</c:v>
                </c:pt>
                <c:pt idx="22">
                  <c:v>56.485127120108821</c:v>
                </c:pt>
                <c:pt idx="23">
                  <c:v>52.708226640411894</c:v>
                </c:pt>
                <c:pt idx="24">
                  <c:v>48.931326160675582</c:v>
                </c:pt>
                <c:pt idx="25">
                  <c:v>45.154425680958958</c:v>
                </c:pt>
                <c:pt idx="26">
                  <c:v>41.377525201242342</c:v>
                </c:pt>
                <c:pt idx="27">
                  <c:v>37.600624721525719</c:v>
                </c:pt>
                <c:pt idx="28">
                  <c:v>33.823724241809103</c:v>
                </c:pt>
                <c:pt idx="29">
                  <c:v>30.046823762072798</c:v>
                </c:pt>
                <c:pt idx="30">
                  <c:v>26.269923282366015</c:v>
                </c:pt>
                <c:pt idx="31">
                  <c:v>22.493022802639558</c:v>
                </c:pt>
                <c:pt idx="32">
                  <c:v>18.716122322942617</c:v>
                </c:pt>
                <c:pt idx="33">
                  <c:v>14.939221843216156</c:v>
                </c:pt>
                <c:pt idx="34">
                  <c:v>11.162321363499537</c:v>
                </c:pt>
                <c:pt idx="35">
                  <c:v>7.385420883773075</c:v>
                </c:pt>
                <c:pt idx="36">
                  <c:v>3.6085204040564527</c:v>
                </c:pt>
                <c:pt idx="37">
                  <c:v>-0.16838007565032631</c:v>
                </c:pt>
                <c:pt idx="38">
                  <c:v>-3.9452805553866295</c:v>
                </c:pt>
                <c:pt idx="39">
                  <c:v>-7.7221810351032483</c:v>
                </c:pt>
                <c:pt idx="40">
                  <c:v>-11.499081514819872</c:v>
                </c:pt>
                <c:pt idx="41">
                  <c:v>-15.27598199453649</c:v>
                </c:pt>
                <c:pt idx="42">
                  <c:v>-19.052882474253114</c:v>
                </c:pt>
                <c:pt idx="43">
                  <c:v>-22.82978295396973</c:v>
                </c:pt>
                <c:pt idx="44">
                  <c:v>-26.606683433686356</c:v>
                </c:pt>
                <c:pt idx="45">
                  <c:v>-30.383583913402973</c:v>
                </c:pt>
                <c:pt idx="46">
                  <c:v>-34.160484393139278</c:v>
                </c:pt>
                <c:pt idx="47">
                  <c:v>-37.937384872846053</c:v>
                </c:pt>
                <c:pt idx="48">
                  <c:v>-41.714285352552828</c:v>
                </c:pt>
                <c:pt idx="49">
                  <c:v>-45.491185832289133</c:v>
                </c:pt>
                <c:pt idx="50">
                  <c:v>-49.268086312005757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495-4A62-9571-892853E3761F}"/>
            </c:ext>
          </c:extLst>
        </c:ser>
        <c:ser>
          <c:idx val="17"/>
          <c:order val="17"/>
          <c:tx>
            <c:strRef>
              <c:f>グラフ!$AF$5</c:f>
              <c:strCache>
                <c:ptCount val="1"/>
                <c:pt idx="0">
                  <c:v>inner応力:Δ0℃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グラフ!$AF$6:$AF$56</c:f>
              <c:numCache>
                <c:formatCode>0.0</c:formatCode>
                <c:ptCount val="51"/>
                <c:pt idx="0">
                  <c:v>122.12607233735757</c:v>
                </c:pt>
                <c:pt idx="1">
                  <c:v>118.34917185763111</c:v>
                </c:pt>
                <c:pt idx="2">
                  <c:v>114.57227137792434</c:v>
                </c:pt>
                <c:pt idx="3">
                  <c:v>110.79537089819785</c:v>
                </c:pt>
                <c:pt idx="4">
                  <c:v>107.01847041848123</c:v>
                </c:pt>
                <c:pt idx="5">
                  <c:v>103.24156993875476</c:v>
                </c:pt>
                <c:pt idx="6">
                  <c:v>99.464669459038149</c:v>
                </c:pt>
                <c:pt idx="7">
                  <c:v>95.687768979321532</c:v>
                </c:pt>
                <c:pt idx="8">
                  <c:v>91.910868499604916</c:v>
                </c:pt>
                <c:pt idx="9">
                  <c:v>88.133968019898148</c:v>
                </c:pt>
                <c:pt idx="10">
                  <c:v>84.357067540171684</c:v>
                </c:pt>
                <c:pt idx="11">
                  <c:v>80.58016706044522</c:v>
                </c:pt>
                <c:pt idx="12">
                  <c:v>76.803266580738438</c:v>
                </c:pt>
                <c:pt idx="13">
                  <c:v>73.026366101021821</c:v>
                </c:pt>
                <c:pt idx="14">
                  <c:v>69.249465621295357</c:v>
                </c:pt>
                <c:pt idx="15">
                  <c:v>65.472565141578727</c:v>
                </c:pt>
                <c:pt idx="16">
                  <c:v>61.69566466185227</c:v>
                </c:pt>
                <c:pt idx="17">
                  <c:v>57.918764182145495</c:v>
                </c:pt>
                <c:pt idx="18">
                  <c:v>54.141863702409196</c:v>
                </c:pt>
                <c:pt idx="19">
                  <c:v>50.364963222692573</c:v>
                </c:pt>
                <c:pt idx="20">
                  <c:v>46.588062742985791</c:v>
                </c:pt>
                <c:pt idx="21">
                  <c:v>42.811162263279016</c:v>
                </c:pt>
                <c:pt idx="22">
                  <c:v>39.034261783542711</c:v>
                </c:pt>
                <c:pt idx="23">
                  <c:v>35.257361303835928</c:v>
                </c:pt>
                <c:pt idx="24">
                  <c:v>31.480460824099623</c:v>
                </c:pt>
                <c:pt idx="25">
                  <c:v>27.703560344392844</c:v>
                </c:pt>
                <c:pt idx="26">
                  <c:v>23.926659864676225</c:v>
                </c:pt>
                <c:pt idx="27">
                  <c:v>20.149759384949764</c:v>
                </c:pt>
                <c:pt idx="28">
                  <c:v>16.372858905233148</c:v>
                </c:pt>
                <c:pt idx="29">
                  <c:v>12.595958425506682</c:v>
                </c:pt>
                <c:pt idx="30">
                  <c:v>8.819057945819587</c:v>
                </c:pt>
                <c:pt idx="31">
                  <c:v>5.0421574660832817</c:v>
                </c:pt>
                <c:pt idx="32">
                  <c:v>1.2652569863666621</c:v>
                </c:pt>
                <c:pt idx="33">
                  <c:v>-2.5116434933499585</c:v>
                </c:pt>
                <c:pt idx="34">
                  <c:v>-6.2885439730665782</c:v>
                </c:pt>
                <c:pt idx="35">
                  <c:v>-10.065444452802883</c:v>
                </c:pt>
                <c:pt idx="36">
                  <c:v>-13.8423449325195</c:v>
                </c:pt>
                <c:pt idx="37">
                  <c:v>-17.619245412226284</c:v>
                </c:pt>
                <c:pt idx="38">
                  <c:v>-21.396145891952742</c:v>
                </c:pt>
                <c:pt idx="39">
                  <c:v>-25.173046371669365</c:v>
                </c:pt>
                <c:pt idx="40">
                  <c:v>-28.949946851376147</c:v>
                </c:pt>
                <c:pt idx="41">
                  <c:v>-32.726847331092763</c:v>
                </c:pt>
                <c:pt idx="42">
                  <c:v>-36.503747810819227</c:v>
                </c:pt>
                <c:pt idx="43">
                  <c:v>-40.280648290535851</c:v>
                </c:pt>
                <c:pt idx="44">
                  <c:v>-44.057548770262308</c:v>
                </c:pt>
                <c:pt idx="45">
                  <c:v>-47.834449249978924</c:v>
                </c:pt>
                <c:pt idx="46">
                  <c:v>-51.611349729705395</c:v>
                </c:pt>
                <c:pt idx="47">
                  <c:v>-55.388250209412178</c:v>
                </c:pt>
                <c:pt idx="48">
                  <c:v>-59.165150689128787</c:v>
                </c:pt>
                <c:pt idx="49">
                  <c:v>-62.942051168865092</c:v>
                </c:pt>
                <c:pt idx="50">
                  <c:v>-66.71895164856204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495-4A62-9571-892853E3761F}"/>
            </c:ext>
          </c:extLst>
        </c:ser>
        <c:ser>
          <c:idx val="18"/>
          <c:order val="18"/>
          <c:tx>
            <c:strRef>
              <c:f>グラフ!$AG$5</c:f>
              <c:strCache>
                <c:ptCount val="1"/>
                <c:pt idx="0">
                  <c:v>inner応力:Δ+10℃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グラフ!$AG$6:$AG$56</c:f>
              <c:numCache>
                <c:formatCode>0.0</c:formatCode>
                <c:ptCount val="51"/>
                <c:pt idx="0">
                  <c:v>104.67520700079146</c:v>
                </c:pt>
                <c:pt idx="1">
                  <c:v>100.89830652106498</c:v>
                </c:pt>
                <c:pt idx="2">
                  <c:v>97.121406041358199</c:v>
                </c:pt>
                <c:pt idx="3">
                  <c:v>93.344505561631749</c:v>
                </c:pt>
                <c:pt idx="4">
                  <c:v>89.567605081905299</c:v>
                </c:pt>
                <c:pt idx="5">
                  <c:v>85.790704602188654</c:v>
                </c:pt>
                <c:pt idx="6">
                  <c:v>82.013804122481901</c:v>
                </c:pt>
                <c:pt idx="7">
                  <c:v>78.236903642755422</c:v>
                </c:pt>
                <c:pt idx="8">
                  <c:v>74.460003163028958</c:v>
                </c:pt>
                <c:pt idx="9">
                  <c:v>70.683102683322176</c:v>
                </c:pt>
                <c:pt idx="10">
                  <c:v>66.906202203615408</c:v>
                </c:pt>
                <c:pt idx="11">
                  <c:v>63.129301723888943</c:v>
                </c:pt>
                <c:pt idx="12">
                  <c:v>59.352401244162472</c:v>
                </c:pt>
                <c:pt idx="13">
                  <c:v>55.575500764445863</c:v>
                </c:pt>
                <c:pt idx="14">
                  <c:v>51.798600284719392</c:v>
                </c:pt>
                <c:pt idx="15">
                  <c:v>48.021699805012624</c:v>
                </c:pt>
                <c:pt idx="16">
                  <c:v>44.244799325286159</c:v>
                </c:pt>
                <c:pt idx="17">
                  <c:v>40.467898845569543</c:v>
                </c:pt>
                <c:pt idx="18">
                  <c:v>36.690998365852913</c:v>
                </c:pt>
                <c:pt idx="19">
                  <c:v>32.914097886146138</c:v>
                </c:pt>
                <c:pt idx="20">
                  <c:v>29.137197406419681</c:v>
                </c:pt>
                <c:pt idx="21">
                  <c:v>25.360296926703054</c:v>
                </c:pt>
                <c:pt idx="22">
                  <c:v>21.583396446966749</c:v>
                </c:pt>
                <c:pt idx="23">
                  <c:v>17.806495967269814</c:v>
                </c:pt>
                <c:pt idx="24">
                  <c:v>14.029595487533513</c:v>
                </c:pt>
                <c:pt idx="25">
                  <c:v>10.252695007816893</c:v>
                </c:pt>
                <c:pt idx="26">
                  <c:v>6.4757945281002707</c:v>
                </c:pt>
                <c:pt idx="27">
                  <c:v>2.6988940483836505</c:v>
                </c:pt>
                <c:pt idx="28">
                  <c:v>-1.0780064313132884</c:v>
                </c:pt>
                <c:pt idx="29">
                  <c:v>-4.854906911049591</c:v>
                </c:pt>
                <c:pt idx="30">
                  <c:v>-8.6318073907563697</c:v>
                </c:pt>
                <c:pt idx="31">
                  <c:v>-12.408707870482832</c:v>
                </c:pt>
                <c:pt idx="32">
                  <c:v>-16.185608350199455</c:v>
                </c:pt>
                <c:pt idx="33">
                  <c:v>-19.962508829925913</c:v>
                </c:pt>
                <c:pt idx="34">
                  <c:v>-23.739409309642532</c:v>
                </c:pt>
                <c:pt idx="35">
                  <c:v>-27.516309789378838</c:v>
                </c:pt>
                <c:pt idx="36">
                  <c:v>-31.29321026908562</c:v>
                </c:pt>
                <c:pt idx="37">
                  <c:v>-35.070110748792402</c:v>
                </c:pt>
                <c:pt idx="38">
                  <c:v>-38.847011228509018</c:v>
                </c:pt>
                <c:pt idx="39">
                  <c:v>-42.623911708225641</c:v>
                </c:pt>
                <c:pt idx="40">
                  <c:v>-46.400812187942257</c:v>
                </c:pt>
                <c:pt idx="41">
                  <c:v>-50.177712667658881</c:v>
                </c:pt>
                <c:pt idx="42">
                  <c:v>-53.954613147395186</c:v>
                </c:pt>
                <c:pt idx="43">
                  <c:v>-57.731513627111802</c:v>
                </c:pt>
                <c:pt idx="44">
                  <c:v>-61.508414106828425</c:v>
                </c:pt>
                <c:pt idx="45">
                  <c:v>-65.285314586545041</c:v>
                </c:pt>
                <c:pt idx="46">
                  <c:v>-69.06221506628134</c:v>
                </c:pt>
                <c:pt idx="47">
                  <c:v>-72.839115545988122</c:v>
                </c:pt>
                <c:pt idx="48">
                  <c:v>-76.616016025685056</c:v>
                </c:pt>
                <c:pt idx="49">
                  <c:v>-80.39291650541152</c:v>
                </c:pt>
                <c:pt idx="50">
                  <c:v>-84.169816985128151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495-4A62-9571-892853E3761F}"/>
            </c:ext>
          </c:extLst>
        </c:ser>
        <c:ser>
          <c:idx val="19"/>
          <c:order val="19"/>
          <c:tx>
            <c:strRef>
              <c:f>グラフ!$AH$5</c:f>
              <c:strCache>
                <c:ptCount val="1"/>
                <c:pt idx="0">
                  <c:v>inner応力:Δ+20℃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グラフ!$AH$6:$AH$56</c:f>
              <c:numCache>
                <c:formatCode>0.0</c:formatCode>
                <c:ptCount val="51"/>
                <c:pt idx="0">
                  <c:v>87.224341664225321</c:v>
                </c:pt>
                <c:pt idx="1">
                  <c:v>83.447441184498871</c:v>
                </c:pt>
                <c:pt idx="2">
                  <c:v>79.670540704782255</c:v>
                </c:pt>
                <c:pt idx="3">
                  <c:v>75.893640225065639</c:v>
                </c:pt>
                <c:pt idx="4">
                  <c:v>72.116739745349022</c:v>
                </c:pt>
                <c:pt idx="5">
                  <c:v>68.339839265622558</c:v>
                </c:pt>
                <c:pt idx="6">
                  <c:v>64.562938785905928</c:v>
                </c:pt>
                <c:pt idx="7">
                  <c:v>60.786038306179478</c:v>
                </c:pt>
                <c:pt idx="8">
                  <c:v>57.009137826472688</c:v>
                </c:pt>
                <c:pt idx="9">
                  <c:v>53.232237346765913</c:v>
                </c:pt>
                <c:pt idx="10">
                  <c:v>49.455336867039456</c:v>
                </c:pt>
                <c:pt idx="11">
                  <c:v>45.678436387312978</c:v>
                </c:pt>
                <c:pt idx="12">
                  <c:v>41.901535907586521</c:v>
                </c:pt>
                <c:pt idx="13">
                  <c:v>38.124635427879738</c:v>
                </c:pt>
                <c:pt idx="14">
                  <c:v>34.347734948153288</c:v>
                </c:pt>
                <c:pt idx="15">
                  <c:v>30.570834468436662</c:v>
                </c:pt>
                <c:pt idx="16">
                  <c:v>26.793933988729886</c:v>
                </c:pt>
                <c:pt idx="17">
                  <c:v>23.017033509023108</c:v>
                </c:pt>
                <c:pt idx="18">
                  <c:v>19.240133029286802</c:v>
                </c:pt>
                <c:pt idx="19">
                  <c:v>15.463232549570183</c:v>
                </c:pt>
                <c:pt idx="20">
                  <c:v>11.686332069843722</c:v>
                </c:pt>
                <c:pt idx="21">
                  <c:v>7.9094315901369407</c:v>
                </c:pt>
                <c:pt idx="22">
                  <c:v>4.1325311104006381</c:v>
                </c:pt>
                <c:pt idx="23">
                  <c:v>0.35563063069385892</c:v>
                </c:pt>
                <c:pt idx="24">
                  <c:v>-3.4212698490424436</c:v>
                </c:pt>
                <c:pt idx="25">
                  <c:v>-7.1981703287492236</c:v>
                </c:pt>
                <c:pt idx="26">
                  <c:v>-10.97507080844616</c:v>
                </c:pt>
                <c:pt idx="27">
                  <c:v>-14.751971288172623</c:v>
                </c:pt>
                <c:pt idx="28">
                  <c:v>-18.528871767889246</c:v>
                </c:pt>
                <c:pt idx="29">
                  <c:v>-22.30577224761571</c:v>
                </c:pt>
                <c:pt idx="30">
                  <c:v>-26.082672727322482</c:v>
                </c:pt>
                <c:pt idx="31">
                  <c:v>-29.859573207058787</c:v>
                </c:pt>
                <c:pt idx="32">
                  <c:v>-33.63647368677541</c:v>
                </c:pt>
                <c:pt idx="33">
                  <c:v>-37.413374166501875</c:v>
                </c:pt>
                <c:pt idx="34">
                  <c:v>-41.19027464620865</c:v>
                </c:pt>
                <c:pt idx="35">
                  <c:v>-44.967175125944955</c:v>
                </c:pt>
                <c:pt idx="36">
                  <c:v>-48.744075605641882</c:v>
                </c:pt>
                <c:pt idx="37">
                  <c:v>-52.520976085348671</c:v>
                </c:pt>
                <c:pt idx="38">
                  <c:v>-56.297876565075128</c:v>
                </c:pt>
                <c:pt idx="39">
                  <c:v>-60.074777044791759</c:v>
                </c:pt>
                <c:pt idx="40">
                  <c:v>-63.851677524518209</c:v>
                </c:pt>
                <c:pt idx="41">
                  <c:v>-67.628578004234825</c:v>
                </c:pt>
                <c:pt idx="42">
                  <c:v>-71.405478483961289</c:v>
                </c:pt>
                <c:pt idx="43">
                  <c:v>-75.182378963677905</c:v>
                </c:pt>
                <c:pt idx="44">
                  <c:v>-78.959279443404384</c:v>
                </c:pt>
                <c:pt idx="45">
                  <c:v>-82.736179923121</c:v>
                </c:pt>
                <c:pt idx="46">
                  <c:v>-86.513080402837616</c:v>
                </c:pt>
                <c:pt idx="47">
                  <c:v>-90.289980882534564</c:v>
                </c:pt>
                <c:pt idx="48">
                  <c:v>-94.066881362251152</c:v>
                </c:pt>
                <c:pt idx="49">
                  <c:v>-97.843781841987493</c:v>
                </c:pt>
                <c:pt idx="50">
                  <c:v>-101.62068232169426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495-4A62-9571-892853E3761F}"/>
            </c:ext>
          </c:extLst>
        </c:ser>
        <c:ser>
          <c:idx val="20"/>
          <c:order val="20"/>
          <c:tx>
            <c:strRef>
              <c:f>グラフ!$AI$5</c:f>
              <c:strCache>
                <c:ptCount val="1"/>
                <c:pt idx="0">
                  <c:v>inner応力:Δ+30℃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グラフ!$AI$6:$AI$56</c:f>
              <c:numCache>
                <c:formatCode>0.0</c:formatCode>
                <c:ptCount val="51"/>
                <c:pt idx="0">
                  <c:v>69.773476327649377</c:v>
                </c:pt>
                <c:pt idx="1">
                  <c:v>65.99657584793276</c:v>
                </c:pt>
                <c:pt idx="2">
                  <c:v>62.219675368225978</c:v>
                </c:pt>
                <c:pt idx="3">
                  <c:v>58.442774888499521</c:v>
                </c:pt>
                <c:pt idx="4">
                  <c:v>54.665874408773057</c:v>
                </c:pt>
                <c:pt idx="5">
                  <c:v>50.8889739290466</c:v>
                </c:pt>
                <c:pt idx="6">
                  <c:v>47.112073449349658</c:v>
                </c:pt>
                <c:pt idx="7">
                  <c:v>43.335172969623194</c:v>
                </c:pt>
                <c:pt idx="8">
                  <c:v>39.55827248989673</c:v>
                </c:pt>
                <c:pt idx="9">
                  <c:v>35.781372010189955</c:v>
                </c:pt>
                <c:pt idx="10">
                  <c:v>32.004471530463491</c:v>
                </c:pt>
                <c:pt idx="11">
                  <c:v>28.227571050746867</c:v>
                </c:pt>
                <c:pt idx="12">
                  <c:v>24.450670571020414</c:v>
                </c:pt>
                <c:pt idx="13">
                  <c:v>20.673770091303791</c:v>
                </c:pt>
                <c:pt idx="14">
                  <c:v>16.896869611597012</c:v>
                </c:pt>
                <c:pt idx="15">
                  <c:v>13.119969131890233</c:v>
                </c:pt>
                <c:pt idx="16">
                  <c:v>9.3430686521637707</c:v>
                </c:pt>
                <c:pt idx="17">
                  <c:v>5.5661681724471501</c:v>
                </c:pt>
                <c:pt idx="18">
                  <c:v>1.7892676927108471</c:v>
                </c:pt>
                <c:pt idx="19">
                  <c:v>-1.9876327869959323</c:v>
                </c:pt>
                <c:pt idx="20">
                  <c:v>-5.7645332667223945</c:v>
                </c:pt>
                <c:pt idx="21">
                  <c:v>-9.5414337464390151</c:v>
                </c:pt>
                <c:pt idx="22">
                  <c:v>-13.318334226175315</c:v>
                </c:pt>
                <c:pt idx="23">
                  <c:v>-17.095234705872254</c:v>
                </c:pt>
                <c:pt idx="24">
                  <c:v>-20.872135185588874</c:v>
                </c:pt>
                <c:pt idx="25">
                  <c:v>-24.649035665305501</c:v>
                </c:pt>
                <c:pt idx="26">
                  <c:v>-28.425936145022121</c:v>
                </c:pt>
                <c:pt idx="27">
                  <c:v>-32.202836624738737</c:v>
                </c:pt>
                <c:pt idx="28">
                  <c:v>-35.979737104455353</c:v>
                </c:pt>
                <c:pt idx="29">
                  <c:v>-39.756637584191658</c:v>
                </c:pt>
                <c:pt idx="30">
                  <c:v>-43.533538063898447</c:v>
                </c:pt>
                <c:pt idx="31">
                  <c:v>-47.310438543634746</c:v>
                </c:pt>
                <c:pt idx="32">
                  <c:v>-51.087339023341521</c:v>
                </c:pt>
                <c:pt idx="33">
                  <c:v>-54.864239503067992</c:v>
                </c:pt>
                <c:pt idx="34">
                  <c:v>-58.641139982764933</c:v>
                </c:pt>
                <c:pt idx="35">
                  <c:v>-62.418040462501232</c:v>
                </c:pt>
                <c:pt idx="36">
                  <c:v>-66.194940942208007</c:v>
                </c:pt>
                <c:pt idx="37">
                  <c:v>-69.971841421914789</c:v>
                </c:pt>
                <c:pt idx="38">
                  <c:v>-73.748741901651073</c:v>
                </c:pt>
                <c:pt idx="39">
                  <c:v>-77.525642381367703</c:v>
                </c:pt>
                <c:pt idx="40">
                  <c:v>-81.302542861084333</c:v>
                </c:pt>
                <c:pt idx="41">
                  <c:v>-85.079443340800964</c:v>
                </c:pt>
                <c:pt idx="42">
                  <c:v>-88.856343820537248</c:v>
                </c:pt>
                <c:pt idx="43">
                  <c:v>-92.633244300253864</c:v>
                </c:pt>
                <c:pt idx="44">
                  <c:v>-96.41014477996066</c:v>
                </c:pt>
                <c:pt idx="45">
                  <c:v>-100.18704525966743</c:v>
                </c:pt>
                <c:pt idx="46">
                  <c:v>-103.96394573940374</c:v>
                </c:pt>
                <c:pt idx="47">
                  <c:v>-107.74084621911051</c:v>
                </c:pt>
                <c:pt idx="48">
                  <c:v>-111.51774669881728</c:v>
                </c:pt>
                <c:pt idx="49">
                  <c:v>-115.29464717855359</c:v>
                </c:pt>
                <c:pt idx="50">
                  <c:v>-119.07154765827023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495-4A62-9571-892853E3761F}"/>
            </c:ext>
          </c:extLst>
        </c:ser>
        <c:ser>
          <c:idx val="21"/>
          <c:order val="21"/>
          <c:tx>
            <c:strRef>
              <c:f>グラフ!$AJ$5</c:f>
              <c:strCache>
                <c:ptCount val="1"/>
                <c:pt idx="0">
                  <c:v>inner降伏点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グラフ!$AJ$6:$AJ$56</c:f>
              <c:numCache>
                <c:formatCode>0.0</c:formatCode>
                <c:ptCount val="51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345</c:v>
                </c:pt>
                <c:pt idx="22">
                  <c:v>345</c:v>
                </c:pt>
                <c:pt idx="23">
                  <c:v>345</c:v>
                </c:pt>
                <c:pt idx="24">
                  <c:v>345</c:v>
                </c:pt>
                <c:pt idx="25">
                  <c:v>345</c:v>
                </c:pt>
                <c:pt idx="26">
                  <c:v>345</c:v>
                </c:pt>
                <c:pt idx="27">
                  <c:v>345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345</c:v>
                </c:pt>
                <c:pt idx="32">
                  <c:v>345</c:v>
                </c:pt>
                <c:pt idx="33">
                  <c:v>345</c:v>
                </c:pt>
                <c:pt idx="34">
                  <c:v>345</c:v>
                </c:pt>
                <c:pt idx="35">
                  <c:v>345</c:v>
                </c:pt>
                <c:pt idx="36">
                  <c:v>345</c:v>
                </c:pt>
                <c:pt idx="37">
                  <c:v>345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345</c:v>
                </c:pt>
                <c:pt idx="43">
                  <c:v>345</c:v>
                </c:pt>
                <c:pt idx="44">
                  <c:v>345</c:v>
                </c:pt>
                <c:pt idx="45">
                  <c:v>345</c:v>
                </c:pt>
                <c:pt idx="46">
                  <c:v>345</c:v>
                </c:pt>
                <c:pt idx="47">
                  <c:v>345</c:v>
                </c:pt>
                <c:pt idx="48">
                  <c:v>345</c:v>
                </c:pt>
                <c:pt idx="49">
                  <c:v>345</c:v>
                </c:pt>
                <c:pt idx="50">
                  <c:v>345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D495-4A62-9571-892853E3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19104"/>
        <c:axId val="1878401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グラフ!$O$5</c15:sqref>
                        </c15:formulaRef>
                      </c:ext>
                    </c:extLst>
                    <c:strCache>
                      <c:ptCount val="1"/>
                      <c:pt idx="0">
                        <c:v>締め代：Δ-30℃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グラフ!$O$6:$O$56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6.2989174999998454E-2</c:v>
                      </c:pt>
                      <c:pt idx="1">
                        <c:v>6.162566249999557E-2</c:v>
                      </c:pt>
                      <c:pt idx="2">
                        <c:v>6.0262149999999792E-2</c:v>
                      </c:pt>
                      <c:pt idx="3">
                        <c:v>5.8898637500000461E-2</c:v>
                      </c:pt>
                      <c:pt idx="4">
                        <c:v>5.7535124999997578E-2</c:v>
                      </c:pt>
                      <c:pt idx="5">
                        <c:v>5.6171612499994694E-2</c:v>
                      </c:pt>
                      <c:pt idx="6">
                        <c:v>5.4808099999998916E-2</c:v>
                      </c:pt>
                      <c:pt idx="7">
                        <c:v>5.3444587499996032E-2</c:v>
                      </c:pt>
                      <c:pt idx="8">
                        <c:v>5.2081074999996702E-2</c:v>
                      </c:pt>
                      <c:pt idx="9">
                        <c:v>5.0717562500000923E-2</c:v>
                      </c:pt>
                      <c:pt idx="10">
                        <c:v>4.9354050000001592E-2</c:v>
                      </c:pt>
                      <c:pt idx="11">
                        <c:v>4.7990537499998709E-2</c:v>
                      </c:pt>
                      <c:pt idx="12">
                        <c:v>4.6627024999995825E-2</c:v>
                      </c:pt>
                      <c:pt idx="13">
                        <c:v>4.5263512500000047E-2</c:v>
                      </c:pt>
                      <c:pt idx="14">
                        <c:v>4.3900000000000716E-2</c:v>
                      </c:pt>
                      <c:pt idx="15">
                        <c:v>4.2536487500001385E-2</c:v>
                      </c:pt>
                      <c:pt idx="16">
                        <c:v>4.1172974999998502E-2</c:v>
                      </c:pt>
                      <c:pt idx="17">
                        <c:v>3.9809462499999171E-2</c:v>
                      </c:pt>
                      <c:pt idx="18">
                        <c:v>3.844594999999984E-2</c:v>
                      </c:pt>
                      <c:pt idx="19">
                        <c:v>3.7082437500000509E-2</c:v>
                      </c:pt>
                      <c:pt idx="20">
                        <c:v>3.5718924999997625E-2</c:v>
                      </c:pt>
                      <c:pt idx="21">
                        <c:v>3.4355412499998295E-2</c:v>
                      </c:pt>
                      <c:pt idx="22">
                        <c:v>3.2991899999991858E-2</c:v>
                      </c:pt>
                      <c:pt idx="23">
                        <c:v>3.1628387499999633E-2</c:v>
                      </c:pt>
                      <c:pt idx="24">
                        <c:v>3.0264874999993197E-2</c:v>
                      </c:pt>
                      <c:pt idx="25">
                        <c:v>2.8901362499993866E-2</c:v>
                      </c:pt>
                      <c:pt idx="26">
                        <c:v>2.753785000000164E-2</c:v>
                      </c:pt>
                      <c:pt idx="27">
                        <c:v>2.6174337500002309E-2</c:v>
                      </c:pt>
                      <c:pt idx="28">
                        <c:v>2.4810825000002978E-2</c:v>
                      </c:pt>
                      <c:pt idx="29">
                        <c:v>2.3447312499996542E-2</c:v>
                      </c:pt>
                      <c:pt idx="30">
                        <c:v>2.2083800000000764E-2</c:v>
                      </c:pt>
                      <c:pt idx="31">
                        <c:v>2.072028749999788E-2</c:v>
                      </c:pt>
                      <c:pt idx="32">
                        <c:v>1.9356774999998549E-2</c:v>
                      </c:pt>
                      <c:pt idx="33">
                        <c:v>1.7993262499995666E-2</c:v>
                      </c:pt>
                      <c:pt idx="34">
                        <c:v>1.6629749999996335E-2</c:v>
                      </c:pt>
                      <c:pt idx="35">
                        <c:v>1.5266237499993451E-2</c:v>
                      </c:pt>
                      <c:pt idx="36">
                        <c:v>1.3902725000001226E-2</c:v>
                      </c:pt>
                      <c:pt idx="37">
                        <c:v>1.2539212500005448E-2</c:v>
                      </c:pt>
                      <c:pt idx="38">
                        <c:v>1.1175699999999011E-2</c:v>
                      </c:pt>
                      <c:pt idx="39">
                        <c:v>9.8121875000032333E-3</c:v>
                      </c:pt>
                      <c:pt idx="40">
                        <c:v>8.4486750000003497E-3</c:v>
                      </c:pt>
                      <c:pt idx="41">
                        <c:v>7.0851625000010188E-3</c:v>
                      </c:pt>
                      <c:pt idx="42">
                        <c:v>5.7216499999945825E-3</c:v>
                      </c:pt>
                      <c:pt idx="43">
                        <c:v>4.3581374999952516E-3</c:v>
                      </c:pt>
                      <c:pt idx="44">
                        <c:v>2.9946249999959207E-3</c:v>
                      </c:pt>
                      <c:pt idx="45">
                        <c:v>1.6311124999965898E-3</c:v>
                      </c:pt>
                      <c:pt idx="46">
                        <c:v>2.6759999999725892E-4</c:v>
                      </c:pt>
                      <c:pt idx="47">
                        <c:v>-1.0959124999985193E-3</c:v>
                      </c:pt>
                      <c:pt idx="48">
                        <c:v>-2.4594249999942974E-3</c:v>
                      </c:pt>
                      <c:pt idx="49">
                        <c:v>-3.8229375000007337E-3</c:v>
                      </c:pt>
                      <c:pt idx="50">
                        <c:v>-5.1864500000000646E-3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495-4A62-9571-892853E376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グラフ!$P$5</c15:sqref>
                        </c15:formulaRef>
                      </c:ext>
                    </c:extLst>
                    <c:strCache>
                      <c:ptCount val="1"/>
                      <c:pt idx="0">
                        <c:v>締め代：Δ-20℃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グラフ!$P$6:$P$56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5.6689174999998926E-2</c:v>
                      </c:pt>
                      <c:pt idx="1">
                        <c:v>5.5325662499999595E-2</c:v>
                      </c:pt>
                      <c:pt idx="2">
                        <c:v>5.3962150000000264E-2</c:v>
                      </c:pt>
                      <c:pt idx="3">
                        <c:v>5.259863749999738E-2</c:v>
                      </c:pt>
                      <c:pt idx="4">
                        <c:v>5.123512499999805E-2</c:v>
                      </c:pt>
                      <c:pt idx="5">
                        <c:v>4.9871612499995166E-2</c:v>
                      </c:pt>
                      <c:pt idx="6">
                        <c:v>4.8508099999999388E-2</c:v>
                      </c:pt>
                      <c:pt idx="7">
                        <c:v>4.7144587499996504E-2</c:v>
                      </c:pt>
                      <c:pt idx="8">
                        <c:v>4.5781074999997173E-2</c:v>
                      </c:pt>
                      <c:pt idx="9">
                        <c:v>4.4417562500001395E-2</c:v>
                      </c:pt>
                      <c:pt idx="10">
                        <c:v>4.3054049999998512E-2</c:v>
                      </c:pt>
                      <c:pt idx="11">
                        <c:v>4.1690537499999181E-2</c:v>
                      </c:pt>
                      <c:pt idx="12">
                        <c:v>4.032702499999985E-2</c:v>
                      </c:pt>
                      <c:pt idx="13">
                        <c:v>3.8963512500000519E-2</c:v>
                      </c:pt>
                      <c:pt idx="14">
                        <c:v>3.7599999999997635E-2</c:v>
                      </c:pt>
                      <c:pt idx="15">
                        <c:v>3.6236487499998304E-2</c:v>
                      </c:pt>
                      <c:pt idx="16">
                        <c:v>3.4872975000002526E-2</c:v>
                      </c:pt>
                      <c:pt idx="17">
                        <c:v>3.3509462500003195E-2</c:v>
                      </c:pt>
                      <c:pt idx="18">
                        <c:v>3.2145949999996759E-2</c:v>
                      </c:pt>
                      <c:pt idx="19">
                        <c:v>3.0782437499997428E-2</c:v>
                      </c:pt>
                      <c:pt idx="20">
                        <c:v>2.9418924999994545E-2</c:v>
                      </c:pt>
                      <c:pt idx="21">
                        <c:v>2.8055412499998766E-2</c:v>
                      </c:pt>
                      <c:pt idx="22">
                        <c:v>2.669189999999233E-2</c:v>
                      </c:pt>
                      <c:pt idx="23">
                        <c:v>2.5328387499996552E-2</c:v>
                      </c:pt>
                      <c:pt idx="24">
                        <c:v>2.3964874999997221E-2</c:v>
                      </c:pt>
                      <c:pt idx="25">
                        <c:v>2.2601362500001443E-2</c:v>
                      </c:pt>
                      <c:pt idx="26">
                        <c:v>2.1237850000002112E-2</c:v>
                      </c:pt>
                      <c:pt idx="27">
                        <c:v>1.9874337499999228E-2</c:v>
                      </c:pt>
                      <c:pt idx="28">
                        <c:v>1.8510824999999897E-2</c:v>
                      </c:pt>
                      <c:pt idx="29">
                        <c:v>1.7147312499997014E-2</c:v>
                      </c:pt>
                      <c:pt idx="30">
                        <c:v>1.5783800000001236E-2</c:v>
                      </c:pt>
                      <c:pt idx="31">
                        <c:v>1.4420287499994799E-2</c:v>
                      </c:pt>
                      <c:pt idx="32">
                        <c:v>1.3056774999995469E-2</c:v>
                      </c:pt>
                      <c:pt idx="33">
                        <c:v>1.1693262499996138E-2</c:v>
                      </c:pt>
                      <c:pt idx="34">
                        <c:v>1.0329750000003912E-2</c:v>
                      </c:pt>
                      <c:pt idx="35">
                        <c:v>8.9662374999974759E-3</c:v>
                      </c:pt>
                      <c:pt idx="36">
                        <c:v>7.602724999998145E-3</c:v>
                      </c:pt>
                      <c:pt idx="37">
                        <c:v>6.2392125000059195E-3</c:v>
                      </c:pt>
                      <c:pt idx="38">
                        <c:v>4.8756999999994832E-3</c:v>
                      </c:pt>
                      <c:pt idx="39">
                        <c:v>3.5121875000001523E-3</c:v>
                      </c:pt>
                      <c:pt idx="40">
                        <c:v>2.1486749999972687E-3</c:v>
                      </c:pt>
                      <c:pt idx="41">
                        <c:v>7.8516249999793786E-4</c:v>
                      </c:pt>
                      <c:pt idx="42">
                        <c:v>-5.7835000000494574E-4</c:v>
                      </c:pt>
                      <c:pt idx="43">
                        <c:v>-1.9418625000042766E-3</c:v>
                      </c:pt>
                      <c:pt idx="44">
                        <c:v>-3.3053750000000548E-3</c:v>
                      </c:pt>
                      <c:pt idx="45">
                        <c:v>-4.6688874999993857E-3</c:v>
                      </c:pt>
                      <c:pt idx="46">
                        <c:v>-6.0324000000022693E-3</c:v>
                      </c:pt>
                      <c:pt idx="47">
                        <c:v>-7.3959124999980475E-3</c:v>
                      </c:pt>
                      <c:pt idx="48">
                        <c:v>-8.7594249999973783E-3</c:v>
                      </c:pt>
                      <c:pt idx="49">
                        <c:v>-1.0122937500003815E-2</c:v>
                      </c:pt>
                      <c:pt idx="50">
                        <c:v>-1.1486449999999593E-2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95-4A62-9571-892853E3761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グラフ!$Q$5</c15:sqref>
                        </c15:formulaRef>
                      </c:ext>
                    </c:extLst>
                    <c:strCache>
                      <c:ptCount val="1"/>
                      <c:pt idx="0">
                        <c:v>締め代：Δ-10℃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グラフ!$Q$6:$Q$56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5.0389174999999398E-2</c:v>
                      </c:pt>
                      <c:pt idx="1">
                        <c:v>4.9025662499996514E-2</c:v>
                      </c:pt>
                      <c:pt idx="2">
                        <c:v>4.7662150000000736E-2</c:v>
                      </c:pt>
                      <c:pt idx="3">
                        <c:v>4.6298637499997852E-2</c:v>
                      </c:pt>
                      <c:pt idx="4">
                        <c:v>4.4935124999998521E-2</c:v>
                      </c:pt>
                      <c:pt idx="5">
                        <c:v>4.3571612499995638E-2</c:v>
                      </c:pt>
                      <c:pt idx="6">
                        <c:v>4.220809999999986E-2</c:v>
                      </c:pt>
                      <c:pt idx="7">
                        <c:v>4.0844587499996976E-2</c:v>
                      </c:pt>
                      <c:pt idx="8">
                        <c:v>3.9481074999994092E-2</c:v>
                      </c:pt>
                      <c:pt idx="9">
                        <c:v>3.8117562500001867E-2</c:v>
                      </c:pt>
                      <c:pt idx="10">
                        <c:v>3.6754050000002536E-2</c:v>
                      </c:pt>
                      <c:pt idx="11">
                        <c:v>3.5390537499999652E-2</c:v>
                      </c:pt>
                      <c:pt idx="12">
                        <c:v>3.4027024999996769E-2</c:v>
                      </c:pt>
                      <c:pt idx="13">
                        <c:v>3.2663512499997438E-2</c:v>
                      </c:pt>
                      <c:pt idx="14">
                        <c:v>3.130000000000166E-2</c:v>
                      </c:pt>
                      <c:pt idx="15">
                        <c:v>2.9936487500002329E-2</c:v>
                      </c:pt>
                      <c:pt idx="16">
                        <c:v>2.8572974999999445E-2</c:v>
                      </c:pt>
                      <c:pt idx="17">
                        <c:v>2.7209462500000114E-2</c:v>
                      </c:pt>
                      <c:pt idx="18">
                        <c:v>2.5845949999993678E-2</c:v>
                      </c:pt>
                      <c:pt idx="19">
                        <c:v>2.44824374999979E-2</c:v>
                      </c:pt>
                      <c:pt idx="20">
                        <c:v>2.3118924999995016E-2</c:v>
                      </c:pt>
                      <c:pt idx="21">
                        <c:v>2.1755412499995685E-2</c:v>
                      </c:pt>
                      <c:pt idx="22">
                        <c:v>2.0391899999996355E-2</c:v>
                      </c:pt>
                      <c:pt idx="23">
                        <c:v>1.9028387500004129E-2</c:v>
                      </c:pt>
                      <c:pt idx="24">
                        <c:v>1.7664874999997693E-2</c:v>
                      </c:pt>
                      <c:pt idx="25">
                        <c:v>1.6301362499998362E-2</c:v>
                      </c:pt>
                      <c:pt idx="26">
                        <c:v>1.4937849999999031E-2</c:v>
                      </c:pt>
                      <c:pt idx="27">
                        <c:v>1.35743374999997E-2</c:v>
                      </c:pt>
                      <c:pt idx="28">
                        <c:v>1.2210825000000369E-2</c:v>
                      </c:pt>
                      <c:pt idx="29">
                        <c:v>1.0847312499993933E-2</c:v>
                      </c:pt>
                      <c:pt idx="30">
                        <c:v>9.4837999999981548E-3</c:v>
                      </c:pt>
                      <c:pt idx="31">
                        <c:v>8.1202874999952712E-3</c:v>
                      </c:pt>
                      <c:pt idx="32">
                        <c:v>6.7567750000030458E-3</c:v>
                      </c:pt>
                      <c:pt idx="33">
                        <c:v>5.3932625000001622E-3</c:v>
                      </c:pt>
                      <c:pt idx="34">
                        <c:v>4.0297500000008313E-3</c:v>
                      </c:pt>
                      <c:pt idx="35">
                        <c:v>2.6662374999979477E-3</c:v>
                      </c:pt>
                      <c:pt idx="36">
                        <c:v>1.3027249999986168E-3</c:v>
                      </c:pt>
                      <c:pt idx="37">
                        <c:v>-6.0787499997161376E-5</c:v>
                      </c:pt>
                      <c:pt idx="38">
                        <c:v>-1.4243000000035977E-3</c:v>
                      </c:pt>
                      <c:pt idx="39">
                        <c:v>-2.7878125000029286E-3</c:v>
                      </c:pt>
                      <c:pt idx="40">
                        <c:v>-4.1513250000022595E-3</c:v>
                      </c:pt>
                      <c:pt idx="41">
                        <c:v>-5.5148375000015903E-3</c:v>
                      </c:pt>
                      <c:pt idx="42">
                        <c:v>-6.8783500000009212E-3</c:v>
                      </c:pt>
                      <c:pt idx="43">
                        <c:v>-8.2418625000002521E-3</c:v>
                      </c:pt>
                      <c:pt idx="44">
                        <c:v>-9.605374999999583E-3</c:v>
                      </c:pt>
                      <c:pt idx="45">
                        <c:v>-1.0968887499998914E-2</c:v>
                      </c:pt>
                      <c:pt idx="46">
                        <c:v>-1.233240000000535E-2</c:v>
                      </c:pt>
                      <c:pt idx="47">
                        <c:v>-1.3695912500001128E-2</c:v>
                      </c:pt>
                      <c:pt idx="48">
                        <c:v>-1.5059424999996907E-2</c:v>
                      </c:pt>
                      <c:pt idx="49">
                        <c:v>-1.6422937500003343E-2</c:v>
                      </c:pt>
                      <c:pt idx="50">
                        <c:v>-1.7786450000002674E-2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95-4A62-9571-892853E3761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グラフ!$R$5</c15:sqref>
                        </c15:formulaRef>
                      </c:ext>
                    </c:extLst>
                    <c:strCache>
                      <c:ptCount val="1"/>
                      <c:pt idx="0">
                        <c:v>締め代：Δ0℃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グラフ!$R$6:$R$56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4.4089174999999869E-2</c:v>
                      </c:pt>
                      <c:pt idx="1">
                        <c:v>4.2725662499996986E-2</c:v>
                      </c:pt>
                      <c:pt idx="2">
                        <c:v>4.1362150000001208E-2</c:v>
                      </c:pt>
                      <c:pt idx="3">
                        <c:v>3.9998637499998324E-2</c:v>
                      </c:pt>
                      <c:pt idx="4">
                        <c:v>3.8635124999998993E-2</c:v>
                      </c:pt>
                      <c:pt idx="5">
                        <c:v>3.727161249999611E-2</c:v>
                      </c:pt>
                      <c:pt idx="6">
                        <c:v>3.5908099999996779E-2</c:v>
                      </c:pt>
                      <c:pt idx="7">
                        <c:v>3.4544587499997448E-2</c:v>
                      </c:pt>
                      <c:pt idx="8">
                        <c:v>3.3181074999998117E-2</c:v>
                      </c:pt>
                      <c:pt idx="9">
                        <c:v>3.1817562500002339E-2</c:v>
                      </c:pt>
                      <c:pt idx="10">
                        <c:v>3.0454049999999455E-2</c:v>
                      </c:pt>
                      <c:pt idx="11">
                        <c:v>2.9090537499996572E-2</c:v>
                      </c:pt>
                      <c:pt idx="12">
                        <c:v>2.7727025000000793E-2</c:v>
                      </c:pt>
                      <c:pt idx="13">
                        <c:v>2.6363512500001463E-2</c:v>
                      </c:pt>
                      <c:pt idx="14">
                        <c:v>2.4999999999998579E-2</c:v>
                      </c:pt>
                      <c:pt idx="15">
                        <c:v>2.3636487499999248E-2</c:v>
                      </c:pt>
                      <c:pt idx="16">
                        <c:v>2.2272974999996364E-2</c:v>
                      </c:pt>
                      <c:pt idx="17">
                        <c:v>2.0909462500000586E-2</c:v>
                      </c:pt>
                      <c:pt idx="18">
                        <c:v>1.954594999999415E-2</c:v>
                      </c:pt>
                      <c:pt idx="19">
                        <c:v>1.8182437499994819E-2</c:v>
                      </c:pt>
                      <c:pt idx="20">
                        <c:v>1.6818924999999041E-2</c:v>
                      </c:pt>
                      <c:pt idx="21">
                        <c:v>1.5455412500003263E-2</c:v>
                      </c:pt>
                      <c:pt idx="22">
                        <c:v>1.4091899999996826E-2</c:v>
                      </c:pt>
                      <c:pt idx="23">
                        <c:v>1.2728387500001048E-2</c:v>
                      </c:pt>
                      <c:pt idx="24">
                        <c:v>1.1364874999994612E-2</c:v>
                      </c:pt>
                      <c:pt idx="25">
                        <c:v>1.0001362499998834E-2</c:v>
                      </c:pt>
                      <c:pt idx="26">
                        <c:v>8.6378499999995029E-3</c:v>
                      </c:pt>
                      <c:pt idx="27">
                        <c:v>7.2743374999966193E-3</c:v>
                      </c:pt>
                      <c:pt idx="28">
                        <c:v>5.9108249999972884E-3</c:v>
                      </c:pt>
                      <c:pt idx="29">
                        <c:v>4.5473124999944048E-3</c:v>
                      </c:pt>
                      <c:pt idx="30">
                        <c:v>3.183800000005732E-3</c:v>
                      </c:pt>
                      <c:pt idx="31">
                        <c:v>1.8202874999992957E-3</c:v>
                      </c:pt>
                      <c:pt idx="32">
                        <c:v>4.5677499999996485E-4</c:v>
                      </c:pt>
                      <c:pt idx="33">
                        <c:v>-9.0673749999936604E-4</c:v>
                      </c:pt>
                      <c:pt idx="34">
                        <c:v>-2.2702499999986969E-3</c:v>
                      </c:pt>
                      <c:pt idx="35">
                        <c:v>-3.6337625000051332E-3</c:v>
                      </c:pt>
                      <c:pt idx="36">
                        <c:v>-4.9972750000044641E-3</c:v>
                      </c:pt>
                      <c:pt idx="37">
                        <c:v>-6.3607875000002423E-3</c:v>
                      </c:pt>
                      <c:pt idx="38">
                        <c:v>-7.7243000000031259E-3</c:v>
                      </c:pt>
                      <c:pt idx="39">
                        <c:v>-9.0878125000024568E-3</c:v>
                      </c:pt>
                      <c:pt idx="40">
                        <c:v>-1.0451324999998235E-2</c:v>
                      </c:pt>
                      <c:pt idx="41">
                        <c:v>-1.1814837499997566E-2</c:v>
                      </c:pt>
                      <c:pt idx="42">
                        <c:v>-1.3178350000000449E-2</c:v>
                      </c:pt>
                      <c:pt idx="43">
                        <c:v>-1.454186249999978E-2</c:v>
                      </c:pt>
                      <c:pt idx="44">
                        <c:v>-1.5905375000002664E-2</c:v>
                      </c:pt>
                      <c:pt idx="45">
                        <c:v>-1.7268887500001995E-2</c:v>
                      </c:pt>
                      <c:pt idx="46">
                        <c:v>-1.8632400000004878E-2</c:v>
                      </c:pt>
                      <c:pt idx="47">
                        <c:v>-1.9995912500000657E-2</c:v>
                      </c:pt>
                      <c:pt idx="48">
                        <c:v>-2.1359424999999987E-2</c:v>
                      </c:pt>
                      <c:pt idx="49">
                        <c:v>-2.2722937500006424E-2</c:v>
                      </c:pt>
                      <c:pt idx="50">
                        <c:v>-2.4086449999998649E-2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95-4A62-9571-892853E3761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グラフ!$S$5</c15:sqref>
                        </c15:formulaRef>
                      </c:ext>
                    </c:extLst>
                    <c:strCache>
                      <c:ptCount val="1"/>
                      <c:pt idx="0">
                        <c:v>締め代：Δ+10℃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グラフ!$S$6:$S$56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3.7789175000000341E-2</c:v>
                      </c:pt>
                      <c:pt idx="1">
                        <c:v>3.6425662499997458E-2</c:v>
                      </c:pt>
                      <c:pt idx="2">
                        <c:v>3.5062150000001679E-2</c:v>
                      </c:pt>
                      <c:pt idx="3">
                        <c:v>3.3698637499998796E-2</c:v>
                      </c:pt>
                      <c:pt idx="4">
                        <c:v>3.2335124999995912E-2</c:v>
                      </c:pt>
                      <c:pt idx="5">
                        <c:v>3.0971612499996581E-2</c:v>
                      </c:pt>
                      <c:pt idx="6">
                        <c:v>2.9608100000000803E-2</c:v>
                      </c:pt>
                      <c:pt idx="7">
                        <c:v>2.824458749999792E-2</c:v>
                      </c:pt>
                      <c:pt idx="8">
                        <c:v>2.6881074999995036E-2</c:v>
                      </c:pt>
                      <c:pt idx="9">
                        <c:v>2.5517562499999258E-2</c:v>
                      </c:pt>
                      <c:pt idx="10">
                        <c:v>2.415405000000348E-2</c:v>
                      </c:pt>
                      <c:pt idx="11">
                        <c:v>2.2790537500000596E-2</c:v>
                      </c:pt>
                      <c:pt idx="12">
                        <c:v>2.1427024999997712E-2</c:v>
                      </c:pt>
                      <c:pt idx="13">
                        <c:v>2.0063512499998382E-2</c:v>
                      </c:pt>
                      <c:pt idx="14">
                        <c:v>1.8699999999995498E-2</c:v>
                      </c:pt>
                      <c:pt idx="15">
                        <c:v>1.733648749999972E-2</c:v>
                      </c:pt>
                      <c:pt idx="16">
                        <c:v>1.5972974999996836E-2</c:v>
                      </c:pt>
                      <c:pt idx="17">
                        <c:v>1.4609462499997505E-2</c:v>
                      </c:pt>
                      <c:pt idx="18">
                        <c:v>1.3245949999998174E-2</c:v>
                      </c:pt>
                      <c:pt idx="19">
                        <c:v>1.1882437500002396E-2</c:v>
                      </c:pt>
                      <c:pt idx="20">
                        <c:v>1.0518924999999513E-2</c:v>
                      </c:pt>
                      <c:pt idx="21">
                        <c:v>9.1554125000001818E-3</c:v>
                      </c:pt>
                      <c:pt idx="22">
                        <c:v>7.7918999999937455E-3</c:v>
                      </c:pt>
                      <c:pt idx="23">
                        <c:v>6.42838750000152E-3</c:v>
                      </c:pt>
                      <c:pt idx="24">
                        <c:v>5.0648749999950837E-3</c:v>
                      </c:pt>
                      <c:pt idx="25">
                        <c:v>3.7013624999957528E-3</c:v>
                      </c:pt>
                      <c:pt idx="26">
                        <c:v>2.337849999996422E-3</c:v>
                      </c:pt>
                      <c:pt idx="27">
                        <c:v>9.7433749999709107E-4</c:v>
                      </c:pt>
                      <c:pt idx="28">
                        <c:v>-3.8917499999513439E-4</c:v>
                      </c:pt>
                      <c:pt idx="29">
                        <c:v>-1.7526875000015707E-3</c:v>
                      </c:pt>
                      <c:pt idx="30">
                        <c:v>-3.1161999999973489E-3</c:v>
                      </c:pt>
                      <c:pt idx="31">
                        <c:v>-4.4797125000002325E-3</c:v>
                      </c:pt>
                      <c:pt idx="32">
                        <c:v>-5.8432249999995634E-3</c:v>
                      </c:pt>
                      <c:pt idx="33">
                        <c:v>-7.206737500002447E-3</c:v>
                      </c:pt>
                      <c:pt idx="34">
                        <c:v>-8.5702500000017778E-3</c:v>
                      </c:pt>
                      <c:pt idx="35">
                        <c:v>-9.9337625000082141E-3</c:v>
                      </c:pt>
                      <c:pt idx="36">
                        <c:v>-1.1297275000003992E-2</c:v>
                      </c:pt>
                      <c:pt idx="37">
                        <c:v>-1.266078749999977E-2</c:v>
                      </c:pt>
                      <c:pt idx="38">
                        <c:v>-1.4024299999999101E-2</c:v>
                      </c:pt>
                      <c:pt idx="39">
                        <c:v>-1.5387812499998432E-2</c:v>
                      </c:pt>
                      <c:pt idx="40">
                        <c:v>-1.6751324999997763E-2</c:v>
                      </c:pt>
                      <c:pt idx="41">
                        <c:v>-1.8114837499997094E-2</c:v>
                      </c:pt>
                      <c:pt idx="42">
                        <c:v>-1.947835000000353E-2</c:v>
                      </c:pt>
                      <c:pt idx="43">
                        <c:v>-2.0841862500002861E-2</c:v>
                      </c:pt>
                      <c:pt idx="44">
                        <c:v>-2.2205375000002192E-2</c:v>
                      </c:pt>
                      <c:pt idx="45">
                        <c:v>-2.3568887500001523E-2</c:v>
                      </c:pt>
                      <c:pt idx="46">
                        <c:v>-2.4932400000007959E-2</c:v>
                      </c:pt>
                      <c:pt idx="47">
                        <c:v>-2.6295912500003737E-2</c:v>
                      </c:pt>
                      <c:pt idx="48">
                        <c:v>-2.7659424999995963E-2</c:v>
                      </c:pt>
                      <c:pt idx="49">
                        <c:v>-2.9022937499998847E-2</c:v>
                      </c:pt>
                      <c:pt idx="50">
                        <c:v>-3.0386449999998177E-2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95-4A62-9571-892853E3761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グラフ!$T$5</c15:sqref>
                        </c15:formulaRef>
                      </c:ext>
                    </c:extLst>
                    <c:strCache>
                      <c:ptCount val="1"/>
                      <c:pt idx="0">
                        <c:v>締め代：Δ+20℃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グラフ!$T$6:$T$56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3.1489175000000813E-2</c:v>
                      </c:pt>
                      <c:pt idx="1">
                        <c:v>3.0125662499997929E-2</c:v>
                      </c:pt>
                      <c:pt idx="2">
                        <c:v>2.8762149999998599E-2</c:v>
                      </c:pt>
                      <c:pt idx="3">
                        <c:v>2.7398637499999268E-2</c:v>
                      </c:pt>
                      <c:pt idx="4">
                        <c:v>2.6035124999999937E-2</c:v>
                      </c:pt>
                      <c:pt idx="5">
                        <c:v>2.4671612499997053E-2</c:v>
                      </c:pt>
                      <c:pt idx="6">
                        <c:v>2.3308099999997722E-2</c:v>
                      </c:pt>
                      <c:pt idx="7">
                        <c:v>2.1944587499994839E-2</c:v>
                      </c:pt>
                      <c:pt idx="8">
                        <c:v>2.0581074999999061E-2</c:v>
                      </c:pt>
                      <c:pt idx="9">
                        <c:v>1.9217562500003282E-2</c:v>
                      </c:pt>
                      <c:pt idx="10">
                        <c:v>1.7854050000000399E-2</c:v>
                      </c:pt>
                      <c:pt idx="11">
                        <c:v>1.6490537499997515E-2</c:v>
                      </c:pt>
                      <c:pt idx="12">
                        <c:v>1.5127024999994632E-2</c:v>
                      </c:pt>
                      <c:pt idx="13">
                        <c:v>1.3763512499998853E-2</c:v>
                      </c:pt>
                      <c:pt idx="14">
                        <c:v>1.239999999999597E-2</c:v>
                      </c:pt>
                      <c:pt idx="15">
                        <c:v>1.1036487499996639E-2</c:v>
                      </c:pt>
                      <c:pt idx="16">
                        <c:v>9.6729750000008607E-3</c:v>
                      </c:pt>
                      <c:pt idx="17">
                        <c:v>8.3094625000050826E-3</c:v>
                      </c:pt>
                      <c:pt idx="18">
                        <c:v>6.9459499999986463E-3</c:v>
                      </c:pt>
                      <c:pt idx="19">
                        <c:v>5.5824374999993154E-3</c:v>
                      </c:pt>
                      <c:pt idx="20">
                        <c:v>4.2189249999964318E-3</c:v>
                      </c:pt>
                      <c:pt idx="21">
                        <c:v>2.8554125000006536E-3</c:v>
                      </c:pt>
                      <c:pt idx="22">
                        <c:v>1.4918999999942173E-3</c:v>
                      </c:pt>
                      <c:pt idx="23">
                        <c:v>1.2838749999843913E-4</c:v>
                      </c:pt>
                      <c:pt idx="24">
                        <c:v>-1.2351250000079972E-3</c:v>
                      </c:pt>
                      <c:pt idx="25">
                        <c:v>-2.5986375000037754E-3</c:v>
                      </c:pt>
                      <c:pt idx="26">
                        <c:v>-3.9621499999960008E-3</c:v>
                      </c:pt>
                      <c:pt idx="27">
                        <c:v>-5.3256624999988844E-3</c:v>
                      </c:pt>
                      <c:pt idx="28">
                        <c:v>-6.6891749999982153E-3</c:v>
                      </c:pt>
                      <c:pt idx="29">
                        <c:v>-8.0526875000010989E-3</c:v>
                      </c:pt>
                      <c:pt idx="30">
                        <c:v>-9.4161999999968771E-3</c:v>
                      </c:pt>
                      <c:pt idx="31">
                        <c:v>-1.0779712500003313E-2</c:v>
                      </c:pt>
                      <c:pt idx="32">
                        <c:v>-1.2143225000002644E-2</c:v>
                      </c:pt>
                      <c:pt idx="33">
                        <c:v>-1.3506737500005528E-2</c:v>
                      </c:pt>
                      <c:pt idx="34">
                        <c:v>-1.4870250000001306E-2</c:v>
                      </c:pt>
                      <c:pt idx="35">
                        <c:v>-1.6233762500007742E-2</c:v>
                      </c:pt>
                      <c:pt idx="36">
                        <c:v>-1.7597274999999968E-2</c:v>
                      </c:pt>
                      <c:pt idx="37">
                        <c:v>-1.8960787499995746E-2</c:v>
                      </c:pt>
                      <c:pt idx="38">
                        <c:v>-2.032429999999863E-2</c:v>
                      </c:pt>
                      <c:pt idx="39">
                        <c:v>-2.168781249999796E-2</c:v>
                      </c:pt>
                      <c:pt idx="40">
                        <c:v>-2.3051325000000844E-2</c:v>
                      </c:pt>
                      <c:pt idx="41">
                        <c:v>-2.4414837500000175E-2</c:v>
                      </c:pt>
                      <c:pt idx="42">
                        <c:v>-2.5778350000003059E-2</c:v>
                      </c:pt>
                      <c:pt idx="43">
                        <c:v>-2.7141862500002389E-2</c:v>
                      </c:pt>
                      <c:pt idx="44">
                        <c:v>-2.8505375000005273E-2</c:v>
                      </c:pt>
                      <c:pt idx="45">
                        <c:v>-2.9868887500004604E-2</c:v>
                      </c:pt>
                      <c:pt idx="46">
                        <c:v>-3.1232400000003935E-2</c:v>
                      </c:pt>
                      <c:pt idx="47">
                        <c:v>-3.259591249999616E-2</c:v>
                      </c:pt>
                      <c:pt idx="48">
                        <c:v>-3.3959424999995491E-2</c:v>
                      </c:pt>
                      <c:pt idx="49">
                        <c:v>-3.5322937500001927E-2</c:v>
                      </c:pt>
                      <c:pt idx="50">
                        <c:v>-3.6686449999997706E-2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95-4A62-9571-892853E3761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グラフ!$U$5</c15:sqref>
                        </c15:formulaRef>
                      </c:ext>
                    </c:extLst>
                    <c:strCache>
                      <c:ptCount val="1"/>
                      <c:pt idx="0">
                        <c:v>締め代：Δ+30℃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グラフ!$U$6:$U$56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2.5189174999997732E-2</c:v>
                      </c:pt>
                      <c:pt idx="1">
                        <c:v>2.3825662499998401E-2</c:v>
                      </c:pt>
                      <c:pt idx="2">
                        <c:v>2.2462150000002623E-2</c:v>
                      </c:pt>
                      <c:pt idx="3">
                        <c:v>2.1098637499999739E-2</c:v>
                      </c:pt>
                      <c:pt idx="4">
                        <c:v>1.9735124999996856E-2</c:v>
                      </c:pt>
                      <c:pt idx="5">
                        <c:v>1.8371612499993972E-2</c:v>
                      </c:pt>
                      <c:pt idx="6">
                        <c:v>1.7008100000001747E-2</c:v>
                      </c:pt>
                      <c:pt idx="7">
                        <c:v>1.5644587499998863E-2</c:v>
                      </c:pt>
                      <c:pt idx="8">
                        <c:v>1.428107499999598E-2</c:v>
                      </c:pt>
                      <c:pt idx="9">
                        <c:v>1.2917562500000201E-2</c:v>
                      </c:pt>
                      <c:pt idx="10">
                        <c:v>1.1554049999997318E-2</c:v>
                      </c:pt>
                      <c:pt idx="11">
                        <c:v>1.0190537499997987E-2</c:v>
                      </c:pt>
                      <c:pt idx="12">
                        <c:v>8.8270249999951034E-3</c:v>
                      </c:pt>
                      <c:pt idx="13">
                        <c:v>7.4635124999957725E-3</c:v>
                      </c:pt>
                      <c:pt idx="14">
                        <c:v>6.0999999999999943E-3</c:v>
                      </c:pt>
                      <c:pt idx="15">
                        <c:v>4.7364875000042161E-3</c:v>
                      </c:pt>
                      <c:pt idx="16">
                        <c:v>3.3729750000013325E-3</c:v>
                      </c:pt>
                      <c:pt idx="17">
                        <c:v>2.0094625000020017E-3</c:v>
                      </c:pt>
                      <c:pt idx="18">
                        <c:v>6.4594999999556535E-4</c:v>
                      </c:pt>
                      <c:pt idx="19">
                        <c:v>-7.1756250000021282E-4</c:v>
                      </c:pt>
                      <c:pt idx="20">
                        <c:v>-2.0810750000030964E-3</c:v>
                      </c:pt>
                      <c:pt idx="21">
                        <c:v>-3.4445875000024273E-3</c:v>
                      </c:pt>
                      <c:pt idx="22">
                        <c:v>-4.8081000000088636E-3</c:v>
                      </c:pt>
                      <c:pt idx="23">
                        <c:v>-6.1716125000010891E-3</c:v>
                      </c:pt>
                      <c:pt idx="24">
                        <c:v>-7.53512500000042E-3</c:v>
                      </c:pt>
                      <c:pt idx="25">
                        <c:v>-8.8986374999997508E-3</c:v>
                      </c:pt>
                      <c:pt idx="26">
                        <c:v>-1.0262149999999082E-2</c:v>
                      </c:pt>
                      <c:pt idx="27">
                        <c:v>-1.1625662499998413E-2</c:v>
                      </c:pt>
                      <c:pt idx="28">
                        <c:v>-1.2989174999997743E-2</c:v>
                      </c:pt>
                      <c:pt idx="29">
                        <c:v>-1.435268750000418E-2</c:v>
                      </c:pt>
                      <c:pt idx="30">
                        <c:v>-1.5716199999999958E-2</c:v>
                      </c:pt>
                      <c:pt idx="31">
                        <c:v>-1.7079712500006394E-2</c:v>
                      </c:pt>
                      <c:pt idx="32">
                        <c:v>-1.8443225000002172E-2</c:v>
                      </c:pt>
                      <c:pt idx="33">
                        <c:v>-1.9806737500005056E-2</c:v>
                      </c:pt>
                      <c:pt idx="34">
                        <c:v>-2.1170249999997282E-2</c:v>
                      </c:pt>
                      <c:pt idx="35">
                        <c:v>-2.2533762500003718E-2</c:v>
                      </c:pt>
                      <c:pt idx="36">
                        <c:v>-2.3897274999999496E-2</c:v>
                      </c:pt>
                      <c:pt idx="37">
                        <c:v>-2.5260787499995274E-2</c:v>
                      </c:pt>
                      <c:pt idx="38">
                        <c:v>-2.662430000000171E-2</c:v>
                      </c:pt>
                      <c:pt idx="39">
                        <c:v>-2.7987812500001041E-2</c:v>
                      </c:pt>
                      <c:pt idx="40">
                        <c:v>-2.9351325000000372E-2</c:v>
                      </c:pt>
                      <c:pt idx="41">
                        <c:v>-3.0714837499999703E-2</c:v>
                      </c:pt>
                      <c:pt idx="42">
                        <c:v>-3.2078350000006139E-2</c:v>
                      </c:pt>
                      <c:pt idx="43">
                        <c:v>-3.344186250000547E-2</c:v>
                      </c:pt>
                      <c:pt idx="44">
                        <c:v>-3.4805375000001249E-2</c:v>
                      </c:pt>
                      <c:pt idx="45">
                        <c:v>-3.6168887499997027E-2</c:v>
                      </c:pt>
                      <c:pt idx="46">
                        <c:v>-3.7532400000003463E-2</c:v>
                      </c:pt>
                      <c:pt idx="47">
                        <c:v>-3.8895912499999241E-2</c:v>
                      </c:pt>
                      <c:pt idx="48">
                        <c:v>-4.0259424999995019E-2</c:v>
                      </c:pt>
                      <c:pt idx="49">
                        <c:v>-4.1622937500001456E-2</c:v>
                      </c:pt>
                      <c:pt idx="50">
                        <c:v>-4.2986450000000787E-2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95-4A62-9571-892853E3761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グラフ!$V$5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グラフ!$V$6:$V$56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65.159818559125597</c:v>
                      </c:pt>
                      <c:pt idx="1">
                        <c:v>63.74931862634682</c:v>
                      </c:pt>
                      <c:pt idx="2">
                        <c:v>62.338818693575412</c:v>
                      </c:pt>
                      <c:pt idx="3">
                        <c:v>60.928318760800316</c:v>
                      </c:pt>
                      <c:pt idx="4">
                        <c:v>59.517818828021554</c:v>
                      </c:pt>
                      <c:pt idx="5">
                        <c:v>58.107318895242791</c:v>
                      </c:pt>
                      <c:pt idx="6">
                        <c:v>56.696818962471376</c:v>
                      </c:pt>
                      <c:pt idx="7">
                        <c:v>55.286319029692613</c:v>
                      </c:pt>
                      <c:pt idx="8">
                        <c:v>53.875819096917525</c:v>
                      </c:pt>
                      <c:pt idx="9">
                        <c:v>52.465319164146116</c:v>
                      </c:pt>
                      <c:pt idx="10">
                        <c:v>51.054819231371027</c:v>
                      </c:pt>
                      <c:pt idx="11">
                        <c:v>49.644319298592258</c:v>
                      </c:pt>
                      <c:pt idx="12">
                        <c:v>48.233819365813488</c:v>
                      </c:pt>
                      <c:pt idx="13">
                        <c:v>46.82331943304208</c:v>
                      </c:pt>
                      <c:pt idx="14">
                        <c:v>45.412819500266991</c:v>
                      </c:pt>
                      <c:pt idx="15">
                        <c:v>44.002319567491902</c:v>
                      </c:pt>
                      <c:pt idx="16">
                        <c:v>42.59181963471314</c:v>
                      </c:pt>
                      <c:pt idx="17">
                        <c:v>41.181319701938051</c:v>
                      </c:pt>
                      <c:pt idx="18">
                        <c:v>39.770819769162962</c:v>
                      </c:pt>
                      <c:pt idx="19">
                        <c:v>38.360319836387873</c:v>
                      </c:pt>
                      <c:pt idx="20">
                        <c:v>36.949819903609111</c:v>
                      </c:pt>
                      <c:pt idx="21">
                        <c:v>35.539319970834022</c:v>
                      </c:pt>
                      <c:pt idx="22">
                        <c:v>34.128820038051579</c:v>
                      </c:pt>
                      <c:pt idx="23">
                        <c:v>32.718320105283844</c:v>
                      </c:pt>
                      <c:pt idx="24">
                        <c:v>31.307820172501405</c:v>
                      </c:pt>
                      <c:pt idx="25">
                        <c:v>29.897320239726316</c:v>
                      </c:pt>
                      <c:pt idx="26">
                        <c:v>28.486820306958577</c:v>
                      </c:pt>
                      <c:pt idx="27">
                        <c:v>27.076320374183489</c:v>
                      </c:pt>
                      <c:pt idx="28">
                        <c:v>25.6658204414084</c:v>
                      </c:pt>
                      <c:pt idx="29">
                        <c:v>24.255320508625957</c:v>
                      </c:pt>
                      <c:pt idx="30">
                        <c:v>22.844820575854545</c:v>
                      </c:pt>
                      <c:pt idx="31">
                        <c:v>21.434320643075782</c:v>
                      </c:pt>
                      <c:pt idx="32">
                        <c:v>20.023820710300694</c:v>
                      </c:pt>
                      <c:pt idx="33">
                        <c:v>18.613320777521928</c:v>
                      </c:pt>
                      <c:pt idx="34">
                        <c:v>17.202820844746839</c:v>
                      </c:pt>
                      <c:pt idx="35">
                        <c:v>15.792320911968076</c:v>
                      </c:pt>
                      <c:pt idx="36">
                        <c:v>14.381820979200338</c:v>
                      </c:pt>
                      <c:pt idx="37">
                        <c:v>12.971321046428923</c:v>
                      </c:pt>
                      <c:pt idx="38">
                        <c:v>11.560821113646485</c:v>
                      </c:pt>
                      <c:pt idx="39">
                        <c:v>10.15032118087507</c:v>
                      </c:pt>
                      <c:pt idx="40">
                        <c:v>8.7398212480963053</c:v>
                      </c:pt>
                      <c:pt idx="41">
                        <c:v>7.3293213153212173</c:v>
                      </c:pt>
                      <c:pt idx="42">
                        <c:v>5.9188213825387779</c:v>
                      </c:pt>
                      <c:pt idx="43">
                        <c:v>4.5083214497636899</c:v>
                      </c:pt>
                      <c:pt idx="44">
                        <c:v>3.0978215169886005</c:v>
                      </c:pt>
                      <c:pt idx="45">
                        <c:v>1.6873215842135119</c:v>
                      </c:pt>
                      <c:pt idx="46">
                        <c:v>0.27682165143842297</c:v>
                      </c:pt>
                      <c:pt idx="47">
                        <c:v>-1.1336782813329909</c:v>
                      </c:pt>
                      <c:pt idx="48">
                        <c:v>-2.5441782141044045</c:v>
                      </c:pt>
                      <c:pt idx="49">
                        <c:v>-3.9546781468868435</c:v>
                      </c:pt>
                      <c:pt idx="50">
                        <c:v>-5.3651780796619324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95-4A62-9571-892853E3761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グラフ!$W$5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グラフ!$W$6:$W$56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58.642716899634557</c:v>
                      </c:pt>
                      <c:pt idx="1">
                        <c:v>57.232216966859468</c:v>
                      </c:pt>
                      <c:pt idx="2">
                        <c:v>55.821717034084379</c:v>
                      </c:pt>
                      <c:pt idx="3">
                        <c:v>54.411217101305617</c:v>
                      </c:pt>
                      <c:pt idx="4">
                        <c:v>53.000717168530528</c:v>
                      </c:pt>
                      <c:pt idx="5">
                        <c:v>51.590217235751766</c:v>
                      </c:pt>
                      <c:pt idx="6">
                        <c:v>50.17971730298035</c:v>
                      </c:pt>
                      <c:pt idx="7">
                        <c:v>48.769217370201588</c:v>
                      </c:pt>
                      <c:pt idx="8">
                        <c:v>47.358717437426499</c:v>
                      </c:pt>
                      <c:pt idx="9">
                        <c:v>45.948217504655091</c:v>
                      </c:pt>
                      <c:pt idx="10">
                        <c:v>44.537717571876328</c:v>
                      </c:pt>
                      <c:pt idx="11">
                        <c:v>43.127217639101239</c:v>
                      </c:pt>
                      <c:pt idx="12">
                        <c:v>41.716717706326151</c:v>
                      </c:pt>
                      <c:pt idx="13">
                        <c:v>40.306217773551055</c:v>
                      </c:pt>
                      <c:pt idx="14">
                        <c:v>38.895717840772292</c:v>
                      </c:pt>
                      <c:pt idx="15">
                        <c:v>37.485217907997203</c:v>
                      </c:pt>
                      <c:pt idx="16">
                        <c:v>36.074717975225788</c:v>
                      </c:pt>
                      <c:pt idx="17">
                        <c:v>34.664218042450699</c:v>
                      </c:pt>
                      <c:pt idx="18">
                        <c:v>33.253718109668263</c:v>
                      </c:pt>
                      <c:pt idx="19">
                        <c:v>31.843218176893174</c:v>
                      </c:pt>
                      <c:pt idx="20">
                        <c:v>30.432718244114412</c:v>
                      </c:pt>
                      <c:pt idx="21">
                        <c:v>29.022218311342996</c:v>
                      </c:pt>
                      <c:pt idx="22">
                        <c:v>27.611718378560557</c:v>
                      </c:pt>
                      <c:pt idx="23">
                        <c:v>26.201218445789141</c:v>
                      </c:pt>
                      <c:pt idx="24">
                        <c:v>24.790718513014053</c:v>
                      </c:pt>
                      <c:pt idx="25">
                        <c:v>23.380218580242641</c:v>
                      </c:pt>
                      <c:pt idx="26">
                        <c:v>21.969718647467552</c:v>
                      </c:pt>
                      <c:pt idx="27">
                        <c:v>20.559218714688789</c:v>
                      </c:pt>
                      <c:pt idx="28">
                        <c:v>19.148718781913701</c:v>
                      </c:pt>
                      <c:pt idx="29">
                        <c:v>17.738218849134935</c:v>
                      </c:pt>
                      <c:pt idx="30">
                        <c:v>16.327718916363519</c:v>
                      </c:pt>
                      <c:pt idx="31">
                        <c:v>14.917218983581082</c:v>
                      </c:pt>
                      <c:pt idx="32">
                        <c:v>13.506719050805993</c:v>
                      </c:pt>
                      <c:pt idx="33">
                        <c:v>12.096219118030904</c:v>
                      </c:pt>
                      <c:pt idx="34">
                        <c:v>10.685719185263165</c:v>
                      </c:pt>
                      <c:pt idx="35">
                        <c:v>9.275219252480726</c:v>
                      </c:pt>
                      <c:pt idx="36">
                        <c:v>7.8647193197056371</c:v>
                      </c:pt>
                      <c:pt idx="37">
                        <c:v>6.4542193869378988</c:v>
                      </c:pt>
                      <c:pt idx="38">
                        <c:v>5.0437194541554602</c:v>
                      </c:pt>
                      <c:pt idx="39">
                        <c:v>3.6332195213803713</c:v>
                      </c:pt>
                      <c:pt idx="40">
                        <c:v>2.2227195886016071</c:v>
                      </c:pt>
                      <c:pt idx="41">
                        <c:v>0.81221965582651823</c:v>
                      </c:pt>
                      <c:pt idx="42">
                        <c:v>-0.59828027695224573</c:v>
                      </c:pt>
                      <c:pt idx="43">
                        <c:v>-2.0087802097273344</c:v>
                      </c:pt>
                      <c:pt idx="44">
                        <c:v>-3.419280142498748</c:v>
                      </c:pt>
                      <c:pt idx="45">
                        <c:v>-4.8297800752738365</c:v>
                      </c:pt>
                      <c:pt idx="46">
                        <c:v>-6.2402800080526006</c:v>
                      </c:pt>
                      <c:pt idx="47">
                        <c:v>-7.6507799408240142</c:v>
                      </c:pt>
                      <c:pt idx="48">
                        <c:v>-9.0612798735991031</c:v>
                      </c:pt>
                      <c:pt idx="49">
                        <c:v>-10.471779806381543</c:v>
                      </c:pt>
                      <c:pt idx="50">
                        <c:v>-11.882279739152956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95-4A62-9571-892853E3761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グラフ!$X$5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グラフ!$X$6:$X$56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52.125615240143539</c:v>
                      </c:pt>
                      <c:pt idx="1">
                        <c:v>50.715115307364769</c:v>
                      </c:pt>
                      <c:pt idx="2">
                        <c:v>49.304615374593354</c:v>
                      </c:pt>
                      <c:pt idx="3">
                        <c:v>47.894115441814591</c:v>
                      </c:pt>
                      <c:pt idx="4">
                        <c:v>46.483615509039502</c:v>
                      </c:pt>
                      <c:pt idx="5">
                        <c:v>45.07311557626074</c:v>
                      </c:pt>
                      <c:pt idx="6">
                        <c:v>43.662615643489325</c:v>
                      </c:pt>
                      <c:pt idx="7">
                        <c:v>42.252115710710562</c:v>
                      </c:pt>
                      <c:pt idx="8">
                        <c:v>40.8416157779318</c:v>
                      </c:pt>
                      <c:pt idx="9">
                        <c:v>39.431115845164065</c:v>
                      </c:pt>
                      <c:pt idx="10">
                        <c:v>38.020615912388976</c:v>
                      </c:pt>
                      <c:pt idx="11">
                        <c:v>36.610115979610214</c:v>
                      </c:pt>
                      <c:pt idx="12">
                        <c:v>35.199616046831451</c:v>
                      </c:pt>
                      <c:pt idx="13">
                        <c:v>33.789116114056363</c:v>
                      </c:pt>
                      <c:pt idx="14">
                        <c:v>32.378616181284947</c:v>
                      </c:pt>
                      <c:pt idx="15">
                        <c:v>30.968116248509855</c:v>
                      </c:pt>
                      <c:pt idx="16">
                        <c:v>29.557616315731092</c:v>
                      </c:pt>
                      <c:pt idx="17">
                        <c:v>28.147116382956003</c:v>
                      </c:pt>
                      <c:pt idx="18">
                        <c:v>26.73661645017356</c:v>
                      </c:pt>
                      <c:pt idx="19">
                        <c:v>25.326116517402149</c:v>
                      </c:pt>
                      <c:pt idx="20">
                        <c:v>23.915616584623386</c:v>
                      </c:pt>
                      <c:pt idx="21">
                        <c:v>22.505116651848297</c:v>
                      </c:pt>
                      <c:pt idx="22">
                        <c:v>21.094616719073208</c:v>
                      </c:pt>
                      <c:pt idx="23">
                        <c:v>19.68411678630547</c:v>
                      </c:pt>
                      <c:pt idx="24">
                        <c:v>18.273616853523031</c:v>
                      </c:pt>
                      <c:pt idx="25">
                        <c:v>16.863116920747938</c:v>
                      </c:pt>
                      <c:pt idx="26">
                        <c:v>15.452616987972853</c:v>
                      </c:pt>
                      <c:pt idx="27">
                        <c:v>14.042117055197762</c:v>
                      </c:pt>
                      <c:pt idx="28">
                        <c:v>12.631617122422675</c:v>
                      </c:pt>
                      <c:pt idx="29">
                        <c:v>11.221117189640236</c:v>
                      </c:pt>
                      <c:pt idx="30">
                        <c:v>9.8106172568688219</c:v>
                      </c:pt>
                      <c:pt idx="31">
                        <c:v>8.4001173240900577</c:v>
                      </c:pt>
                      <c:pt idx="32">
                        <c:v>6.9896173913223185</c:v>
                      </c:pt>
                      <c:pt idx="33">
                        <c:v>5.5791174585435552</c:v>
                      </c:pt>
                      <c:pt idx="34">
                        <c:v>4.1686175257684663</c:v>
                      </c:pt>
                      <c:pt idx="35">
                        <c:v>2.7581175929897026</c:v>
                      </c:pt>
                      <c:pt idx="36">
                        <c:v>1.3476176602146135</c:v>
                      </c:pt>
                      <c:pt idx="37">
                        <c:v>-6.2882272556800109E-2</c:v>
                      </c:pt>
                      <c:pt idx="38">
                        <c:v>-1.4733822053392394</c:v>
                      </c:pt>
                      <c:pt idx="39">
                        <c:v>-2.8838821381143278</c:v>
                      </c:pt>
                      <c:pt idx="40">
                        <c:v>-4.2943820708894176</c:v>
                      </c:pt>
                      <c:pt idx="41">
                        <c:v>-5.7048820036645056</c:v>
                      </c:pt>
                      <c:pt idx="42">
                        <c:v>-7.1153819364395945</c:v>
                      </c:pt>
                      <c:pt idx="43">
                        <c:v>-8.5258818692146825</c:v>
                      </c:pt>
                      <c:pt idx="44">
                        <c:v>-9.9363818019897732</c:v>
                      </c:pt>
                      <c:pt idx="45">
                        <c:v>-11.34688173476486</c:v>
                      </c:pt>
                      <c:pt idx="46">
                        <c:v>-12.7573816675473</c:v>
                      </c:pt>
                      <c:pt idx="47">
                        <c:v>-14.167881600318713</c:v>
                      </c:pt>
                      <c:pt idx="48">
                        <c:v>-15.578381533090127</c:v>
                      </c:pt>
                      <c:pt idx="49">
                        <c:v>-16.988881465872566</c:v>
                      </c:pt>
                      <c:pt idx="50">
                        <c:v>-18.399381398647655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95-4A62-9571-892853E3761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グラフ!$Y$5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グラフ!$Y$6:$Y$56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45.608513580652513</c:v>
                      </c:pt>
                      <c:pt idx="1">
                        <c:v>44.198013647873751</c:v>
                      </c:pt>
                      <c:pt idx="2">
                        <c:v>42.787513715102335</c:v>
                      </c:pt>
                      <c:pt idx="3">
                        <c:v>41.377013782323566</c:v>
                      </c:pt>
                      <c:pt idx="4">
                        <c:v>39.966513849548477</c:v>
                      </c:pt>
                      <c:pt idx="5">
                        <c:v>38.556013916769714</c:v>
                      </c:pt>
                      <c:pt idx="6">
                        <c:v>37.145513983994626</c:v>
                      </c:pt>
                      <c:pt idx="7">
                        <c:v>35.735014051219537</c:v>
                      </c:pt>
                      <c:pt idx="8">
                        <c:v>34.324514118444455</c:v>
                      </c:pt>
                      <c:pt idx="9">
                        <c:v>32.914014185673039</c:v>
                      </c:pt>
                      <c:pt idx="10">
                        <c:v>31.503514252894277</c:v>
                      </c:pt>
                      <c:pt idx="11">
                        <c:v>30.093014320115511</c:v>
                      </c:pt>
                      <c:pt idx="12">
                        <c:v>28.682514387344099</c:v>
                      </c:pt>
                      <c:pt idx="13">
                        <c:v>27.27201445456901</c:v>
                      </c:pt>
                      <c:pt idx="14">
                        <c:v>25.861514521790244</c:v>
                      </c:pt>
                      <c:pt idx="15">
                        <c:v>24.451014589015156</c:v>
                      </c:pt>
                      <c:pt idx="16">
                        <c:v>23.040514656236393</c:v>
                      </c:pt>
                      <c:pt idx="17">
                        <c:v>21.630014723464978</c:v>
                      </c:pt>
                      <c:pt idx="18">
                        <c:v>20.219514790682538</c:v>
                      </c:pt>
                      <c:pt idx="19">
                        <c:v>18.809014857907449</c:v>
                      </c:pt>
                      <c:pt idx="20">
                        <c:v>17.398514925136034</c:v>
                      </c:pt>
                      <c:pt idx="21">
                        <c:v>15.988014992364624</c:v>
                      </c:pt>
                      <c:pt idx="22">
                        <c:v>14.577515059582183</c:v>
                      </c:pt>
                      <c:pt idx="23">
                        <c:v>13.167015126810769</c:v>
                      </c:pt>
                      <c:pt idx="24">
                        <c:v>11.75651519402833</c:v>
                      </c:pt>
                      <c:pt idx="25">
                        <c:v>10.346015261256916</c:v>
                      </c:pt>
                      <c:pt idx="26">
                        <c:v>8.9355153284818272</c:v>
                      </c:pt>
                      <c:pt idx="27">
                        <c:v>7.5250153957030639</c:v>
                      </c:pt>
                      <c:pt idx="28">
                        <c:v>6.1145154629279759</c:v>
                      </c:pt>
                      <c:pt idx="29">
                        <c:v>4.7040155301492108</c:v>
                      </c:pt>
                      <c:pt idx="30">
                        <c:v>3.2935155973851482</c:v>
                      </c:pt>
                      <c:pt idx="31">
                        <c:v>1.8830156646027087</c:v>
                      </c:pt>
                      <c:pt idx="32">
                        <c:v>0.47251573182762008</c:v>
                      </c:pt>
                      <c:pt idx="33">
                        <c:v>-0.9379842009474687</c:v>
                      </c:pt>
                      <c:pt idx="34">
                        <c:v>-2.3484841337225575</c:v>
                      </c:pt>
                      <c:pt idx="35">
                        <c:v>-3.7589840665049965</c:v>
                      </c:pt>
                      <c:pt idx="36">
                        <c:v>-5.169483999280085</c:v>
                      </c:pt>
                      <c:pt idx="37">
                        <c:v>-6.5799839320514995</c:v>
                      </c:pt>
                      <c:pt idx="38">
                        <c:v>-7.9904838648302627</c:v>
                      </c:pt>
                      <c:pt idx="39">
                        <c:v>-9.4009837976053525</c:v>
                      </c:pt>
                      <c:pt idx="40">
                        <c:v>-10.811483730376766</c:v>
                      </c:pt>
                      <c:pt idx="41">
                        <c:v>-12.221983663151855</c:v>
                      </c:pt>
                      <c:pt idx="42">
                        <c:v>-13.632483595930619</c:v>
                      </c:pt>
                      <c:pt idx="43">
                        <c:v>-15.042983528705708</c:v>
                      </c:pt>
                      <c:pt idx="44">
                        <c:v>-16.45348346148447</c:v>
                      </c:pt>
                      <c:pt idx="45">
                        <c:v>-17.863983394259559</c:v>
                      </c:pt>
                      <c:pt idx="46">
                        <c:v>-19.274483327038325</c:v>
                      </c:pt>
                      <c:pt idx="47">
                        <c:v>-20.684983259809741</c:v>
                      </c:pt>
                      <c:pt idx="48">
                        <c:v>-22.095483192584826</c:v>
                      </c:pt>
                      <c:pt idx="49">
                        <c:v>-23.505983125367266</c:v>
                      </c:pt>
                      <c:pt idx="50">
                        <c:v>-24.916483058135004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95-4A62-9571-892853E3761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グラフ!$Z$5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グラフ!$Z$6:$Z$56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39.091411921161487</c:v>
                      </c:pt>
                      <c:pt idx="1">
                        <c:v>37.680911988382725</c:v>
                      </c:pt>
                      <c:pt idx="2">
                        <c:v>36.27041205561131</c:v>
                      </c:pt>
                      <c:pt idx="3">
                        <c:v>34.859912122832547</c:v>
                      </c:pt>
                      <c:pt idx="4">
                        <c:v>33.449412190053785</c:v>
                      </c:pt>
                      <c:pt idx="5">
                        <c:v>32.038912257278689</c:v>
                      </c:pt>
                      <c:pt idx="6">
                        <c:v>30.628412324507284</c:v>
                      </c:pt>
                      <c:pt idx="7">
                        <c:v>29.217912391728518</c:v>
                      </c:pt>
                      <c:pt idx="8">
                        <c:v>27.807412458949752</c:v>
                      </c:pt>
                      <c:pt idx="9">
                        <c:v>26.396912526178337</c:v>
                      </c:pt>
                      <c:pt idx="10">
                        <c:v>24.986412593406925</c:v>
                      </c:pt>
                      <c:pt idx="11">
                        <c:v>23.575912660628163</c:v>
                      </c:pt>
                      <c:pt idx="12">
                        <c:v>22.165412727849397</c:v>
                      </c:pt>
                      <c:pt idx="13">
                        <c:v>20.754912795074311</c:v>
                      </c:pt>
                      <c:pt idx="14">
                        <c:v>19.344412862295542</c:v>
                      </c:pt>
                      <c:pt idx="15">
                        <c:v>17.933912929524134</c:v>
                      </c:pt>
                      <c:pt idx="16">
                        <c:v>16.523412996745368</c:v>
                      </c:pt>
                      <c:pt idx="17">
                        <c:v>15.112913063970279</c:v>
                      </c:pt>
                      <c:pt idx="18">
                        <c:v>13.70241313119519</c:v>
                      </c:pt>
                      <c:pt idx="19">
                        <c:v>12.291913198423776</c:v>
                      </c:pt>
                      <c:pt idx="20">
                        <c:v>10.881413265645014</c:v>
                      </c:pt>
                      <c:pt idx="21">
                        <c:v>9.4709133328699231</c:v>
                      </c:pt>
                      <c:pt idx="22">
                        <c:v>8.0604134000874836</c:v>
                      </c:pt>
                      <c:pt idx="23">
                        <c:v>6.6499134673197462</c:v>
                      </c:pt>
                      <c:pt idx="24">
                        <c:v>5.2394135345373067</c:v>
                      </c:pt>
                      <c:pt idx="25">
                        <c:v>3.8289136017622183</c:v>
                      </c:pt>
                      <c:pt idx="26">
                        <c:v>2.418413668987129</c:v>
                      </c:pt>
                      <c:pt idx="27">
                        <c:v>1.0079137362120403</c:v>
                      </c:pt>
                      <c:pt idx="28">
                        <c:v>-0.40258619655569833</c:v>
                      </c:pt>
                      <c:pt idx="29">
                        <c:v>-1.8130861293381375</c:v>
                      </c:pt>
                      <c:pt idx="30">
                        <c:v>-3.2235860621095509</c:v>
                      </c:pt>
                      <c:pt idx="31">
                        <c:v>-4.6340859948883146</c:v>
                      </c:pt>
                      <c:pt idx="32">
                        <c:v>-6.0445859276634044</c:v>
                      </c:pt>
                      <c:pt idx="33">
                        <c:v>-7.4550858604421677</c:v>
                      </c:pt>
                      <c:pt idx="34">
                        <c:v>-8.8655857932172566</c:v>
                      </c:pt>
                      <c:pt idx="35">
                        <c:v>-10.276085725999696</c:v>
                      </c:pt>
                      <c:pt idx="36">
                        <c:v>-11.68658565877111</c:v>
                      </c:pt>
                      <c:pt idx="37">
                        <c:v>-13.097085591542523</c:v>
                      </c:pt>
                      <c:pt idx="38">
                        <c:v>-14.507585524317612</c:v>
                      </c:pt>
                      <c:pt idx="39">
                        <c:v>-15.918085457092701</c:v>
                      </c:pt>
                      <c:pt idx="40">
                        <c:v>-17.32858538986779</c:v>
                      </c:pt>
                      <c:pt idx="41">
                        <c:v>-18.739085322642879</c:v>
                      </c:pt>
                      <c:pt idx="42">
                        <c:v>-20.149585255425318</c:v>
                      </c:pt>
                      <c:pt idx="43">
                        <c:v>-21.560085188200407</c:v>
                      </c:pt>
                      <c:pt idx="44">
                        <c:v>-22.970585120975496</c:v>
                      </c:pt>
                      <c:pt idx="45">
                        <c:v>-24.381085053750585</c:v>
                      </c:pt>
                      <c:pt idx="46">
                        <c:v>-25.791584986533021</c:v>
                      </c:pt>
                      <c:pt idx="47">
                        <c:v>-27.202084919304436</c:v>
                      </c:pt>
                      <c:pt idx="48">
                        <c:v>-28.612584852072175</c:v>
                      </c:pt>
                      <c:pt idx="49">
                        <c:v>-30.023084784850937</c:v>
                      </c:pt>
                      <c:pt idx="50">
                        <c:v>-31.433584717626029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95-4A62-9571-892853E3761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グラフ!$AA$5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グラフ!$AA$6:$AA$56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32.574310261670462</c:v>
                      </c:pt>
                      <c:pt idx="1">
                        <c:v>31.163810328891699</c:v>
                      </c:pt>
                      <c:pt idx="2">
                        <c:v>29.753310396116614</c:v>
                      </c:pt>
                      <c:pt idx="3">
                        <c:v>28.342810463341525</c:v>
                      </c:pt>
                      <c:pt idx="4">
                        <c:v>26.932310530566436</c:v>
                      </c:pt>
                      <c:pt idx="5">
                        <c:v>25.52181059778767</c:v>
                      </c:pt>
                      <c:pt idx="6">
                        <c:v>24.111310665012581</c:v>
                      </c:pt>
                      <c:pt idx="7">
                        <c:v>22.700810732233819</c:v>
                      </c:pt>
                      <c:pt idx="8">
                        <c:v>21.290310799462404</c:v>
                      </c:pt>
                      <c:pt idx="9">
                        <c:v>19.879810866690992</c:v>
                      </c:pt>
                      <c:pt idx="10">
                        <c:v>18.469310933912229</c:v>
                      </c:pt>
                      <c:pt idx="11">
                        <c:v>17.05881100113346</c:v>
                      </c:pt>
                      <c:pt idx="12">
                        <c:v>15.648311068354698</c:v>
                      </c:pt>
                      <c:pt idx="13">
                        <c:v>14.237811135583284</c:v>
                      </c:pt>
                      <c:pt idx="14">
                        <c:v>12.827311202804522</c:v>
                      </c:pt>
                      <c:pt idx="15">
                        <c:v>11.416811270029431</c:v>
                      </c:pt>
                      <c:pt idx="16">
                        <c:v>10.006311337258019</c:v>
                      </c:pt>
                      <c:pt idx="17">
                        <c:v>8.5958114044866054</c:v>
                      </c:pt>
                      <c:pt idx="18">
                        <c:v>7.185311471704166</c:v>
                      </c:pt>
                      <c:pt idx="19">
                        <c:v>5.7748115389290771</c:v>
                      </c:pt>
                      <c:pt idx="20">
                        <c:v>4.3643116061503138</c:v>
                      </c:pt>
                      <c:pt idx="21">
                        <c:v>2.9538116733788993</c:v>
                      </c:pt>
                      <c:pt idx="22">
                        <c:v>1.5433117405964603</c:v>
                      </c:pt>
                      <c:pt idx="23">
                        <c:v>0.13281180782504667</c:v>
                      </c:pt>
                      <c:pt idx="24">
                        <c:v>-1.2776881249573924</c:v>
                      </c:pt>
                      <c:pt idx="25">
                        <c:v>-2.6881880577288064</c:v>
                      </c:pt>
                      <c:pt idx="26">
                        <c:v>-4.0986879904965443</c:v>
                      </c:pt>
                      <c:pt idx="27">
                        <c:v>-5.5091879232753085</c:v>
                      </c:pt>
                      <c:pt idx="28">
                        <c:v>-6.9196878560503974</c:v>
                      </c:pt>
                      <c:pt idx="29">
                        <c:v>-8.3301877888291624</c:v>
                      </c:pt>
                      <c:pt idx="30">
                        <c:v>-9.7406877216005743</c:v>
                      </c:pt>
                      <c:pt idx="31">
                        <c:v>-11.151187654383014</c:v>
                      </c:pt>
                      <c:pt idx="32">
                        <c:v>-12.561687587158104</c:v>
                      </c:pt>
                      <c:pt idx="33">
                        <c:v>-13.972187519936867</c:v>
                      </c:pt>
                      <c:pt idx="34">
                        <c:v>-15.382687452708282</c:v>
                      </c:pt>
                      <c:pt idx="35">
                        <c:v>-16.793187385490722</c:v>
                      </c:pt>
                      <c:pt idx="36">
                        <c:v>-18.203687318258456</c:v>
                      </c:pt>
                      <c:pt idx="37">
                        <c:v>-19.614187251029872</c:v>
                      </c:pt>
                      <c:pt idx="38">
                        <c:v>-21.024687183808634</c:v>
                      </c:pt>
                      <c:pt idx="39">
                        <c:v>-22.435187116583727</c:v>
                      </c:pt>
                      <c:pt idx="40">
                        <c:v>-23.845687049362489</c:v>
                      </c:pt>
                      <c:pt idx="41">
                        <c:v>-25.256186982137578</c:v>
                      </c:pt>
                      <c:pt idx="42">
                        <c:v>-26.66668691491634</c:v>
                      </c:pt>
                      <c:pt idx="43">
                        <c:v>-28.077186847691429</c:v>
                      </c:pt>
                      <c:pt idx="44">
                        <c:v>-29.487686780470195</c:v>
                      </c:pt>
                      <c:pt idx="45">
                        <c:v>-30.898186713245284</c:v>
                      </c:pt>
                      <c:pt idx="46">
                        <c:v>-32.308686646020369</c:v>
                      </c:pt>
                      <c:pt idx="47">
                        <c:v>-33.719186578788111</c:v>
                      </c:pt>
                      <c:pt idx="48">
                        <c:v>-35.129686511563193</c:v>
                      </c:pt>
                      <c:pt idx="49">
                        <c:v>-36.540186444345643</c:v>
                      </c:pt>
                      <c:pt idx="50">
                        <c:v>-37.950686377117052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95-4A62-9571-892853E3761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グラフ!$AB$5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グラフ!$AB$6:$AB$56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26.057208602175766</c:v>
                      </c:pt>
                      <c:pt idx="1">
                        <c:v>24.646708669400677</c:v>
                      </c:pt>
                      <c:pt idx="2">
                        <c:v>23.236208736629262</c:v>
                      </c:pt>
                      <c:pt idx="3">
                        <c:v>21.8257088038505</c:v>
                      </c:pt>
                      <c:pt idx="4">
                        <c:v>20.415208871071737</c:v>
                      </c:pt>
                      <c:pt idx="5">
                        <c:v>19.004708938292971</c:v>
                      </c:pt>
                      <c:pt idx="6">
                        <c:v>17.594209005525233</c:v>
                      </c:pt>
                      <c:pt idx="7">
                        <c:v>16.183709072746467</c:v>
                      </c:pt>
                      <c:pt idx="8">
                        <c:v>14.773209139967705</c:v>
                      </c:pt>
                      <c:pt idx="9">
                        <c:v>13.362709207196291</c:v>
                      </c:pt>
                      <c:pt idx="10">
                        <c:v>11.952209274417529</c:v>
                      </c:pt>
                      <c:pt idx="11">
                        <c:v>10.541709341642438</c:v>
                      </c:pt>
                      <c:pt idx="12">
                        <c:v>9.1312094088636755</c:v>
                      </c:pt>
                      <c:pt idx="13">
                        <c:v>7.7207094760885857</c:v>
                      </c:pt>
                      <c:pt idx="14">
                        <c:v>6.3102095433171721</c:v>
                      </c:pt>
                      <c:pt idx="15">
                        <c:v>4.8997096105457594</c:v>
                      </c:pt>
                      <c:pt idx="16">
                        <c:v>3.4892096777669948</c:v>
                      </c:pt>
                      <c:pt idx="17">
                        <c:v>2.0787097449919059</c:v>
                      </c:pt>
                      <c:pt idx="18">
                        <c:v>0.66820981220946685</c:v>
                      </c:pt>
                      <c:pt idx="19">
                        <c:v>-0.74229012056194676</c:v>
                      </c:pt>
                      <c:pt idx="20">
                        <c:v>-2.1527900533407109</c:v>
                      </c:pt>
                      <c:pt idx="21">
                        <c:v>-3.5632899861157998</c:v>
                      </c:pt>
                      <c:pt idx="22">
                        <c:v>-4.9737899188982384</c:v>
                      </c:pt>
                      <c:pt idx="23">
                        <c:v>-6.3842898516659767</c:v>
                      </c:pt>
                      <c:pt idx="24">
                        <c:v>-7.7947897844410656</c:v>
                      </c:pt>
                      <c:pt idx="25">
                        <c:v>-9.2052897172161554</c:v>
                      </c:pt>
                      <c:pt idx="26">
                        <c:v>-10.615789649991244</c:v>
                      </c:pt>
                      <c:pt idx="27">
                        <c:v>-12.026289582766333</c:v>
                      </c:pt>
                      <c:pt idx="28">
                        <c:v>-13.43678951554142</c:v>
                      </c:pt>
                      <c:pt idx="29">
                        <c:v>-14.84728944832386</c:v>
                      </c:pt>
                      <c:pt idx="30">
                        <c:v>-16.257789381095275</c:v>
                      </c:pt>
                      <c:pt idx="31">
                        <c:v>-17.668289313877715</c:v>
                      </c:pt>
                      <c:pt idx="32">
                        <c:v>-19.078789246649126</c:v>
                      </c:pt>
                      <c:pt idx="33">
                        <c:v>-20.489289179427892</c:v>
                      </c:pt>
                      <c:pt idx="34">
                        <c:v>-21.899789112195631</c:v>
                      </c:pt>
                      <c:pt idx="35">
                        <c:v>-23.31028904497807</c:v>
                      </c:pt>
                      <c:pt idx="36">
                        <c:v>-24.720788977749482</c:v>
                      </c:pt>
                      <c:pt idx="37">
                        <c:v>-26.131288910520897</c:v>
                      </c:pt>
                      <c:pt idx="38">
                        <c:v>-27.541788843303333</c:v>
                      </c:pt>
                      <c:pt idx="39">
                        <c:v>-28.952288776078422</c:v>
                      </c:pt>
                      <c:pt idx="40">
                        <c:v>-30.362788708853515</c:v>
                      </c:pt>
                      <c:pt idx="41">
                        <c:v>-31.773288641628604</c:v>
                      </c:pt>
                      <c:pt idx="42">
                        <c:v>-33.183788574411039</c:v>
                      </c:pt>
                      <c:pt idx="43">
                        <c:v>-34.594288507186128</c:v>
                      </c:pt>
                      <c:pt idx="44">
                        <c:v>-36.004788439957544</c:v>
                      </c:pt>
                      <c:pt idx="45">
                        <c:v>-37.415288372728959</c:v>
                      </c:pt>
                      <c:pt idx="46">
                        <c:v>-38.825788305511395</c:v>
                      </c:pt>
                      <c:pt idx="47">
                        <c:v>-40.23628823828281</c:v>
                      </c:pt>
                      <c:pt idx="48">
                        <c:v>-41.646788171054219</c:v>
                      </c:pt>
                      <c:pt idx="49">
                        <c:v>-43.057288103836662</c:v>
                      </c:pt>
                      <c:pt idx="50">
                        <c:v>-44.467788036611758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95-4A62-9571-892853E3761F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グラフ!$AK$5</c15:sqref>
                        </c15:formulaRef>
                      </c:ext>
                    </c:extLst>
                    <c:strCache>
                      <c:ptCount val="1"/>
                      <c:pt idx="0">
                        <c:v>outer応力:Δ-30℃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グラフ!$AK$6:$AK$56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178.51300530432499</c:v>
                      </c:pt>
                      <c:pt idx="1">
                        <c:v>174.64877444012433</c:v>
                      </c:pt>
                      <c:pt idx="2">
                        <c:v>170.78454357594384</c:v>
                      </c:pt>
                      <c:pt idx="3">
                        <c:v>166.92031271175327</c:v>
                      </c:pt>
                      <c:pt idx="4">
                        <c:v>163.05608184755266</c:v>
                      </c:pt>
                      <c:pt idx="5">
                        <c:v>159.19185098335205</c:v>
                      </c:pt>
                      <c:pt idx="6">
                        <c:v>155.32762011917157</c:v>
                      </c:pt>
                      <c:pt idx="7">
                        <c:v>151.46338925497093</c:v>
                      </c:pt>
                      <c:pt idx="8">
                        <c:v>147.59915839078039</c:v>
                      </c:pt>
                      <c:pt idx="9">
                        <c:v>143.73492752659993</c:v>
                      </c:pt>
                      <c:pt idx="10">
                        <c:v>139.87069666240939</c:v>
                      </c:pt>
                      <c:pt idx="11">
                        <c:v>136.00646579820875</c:v>
                      </c:pt>
                      <c:pt idx="12">
                        <c:v>132.14223493400809</c:v>
                      </c:pt>
                      <c:pt idx="13">
                        <c:v>128.27800406982763</c:v>
                      </c:pt>
                      <c:pt idx="14">
                        <c:v>124.41377320563709</c:v>
                      </c:pt>
                      <c:pt idx="15">
                        <c:v>120.54954234144654</c:v>
                      </c:pt>
                      <c:pt idx="16">
                        <c:v>116.6853114772459</c:v>
                      </c:pt>
                      <c:pt idx="17">
                        <c:v>112.82108061305536</c:v>
                      </c:pt>
                      <c:pt idx="18">
                        <c:v>108.95684974886481</c:v>
                      </c:pt>
                      <c:pt idx="19">
                        <c:v>105.09261888467427</c:v>
                      </c:pt>
                      <c:pt idx="20">
                        <c:v>101.22838802047364</c:v>
                      </c:pt>
                      <c:pt idx="21">
                        <c:v>97.364157156283099</c:v>
                      </c:pt>
                      <c:pt idx="22">
                        <c:v>93.499926292072388</c:v>
                      </c:pt>
                      <c:pt idx="23">
                        <c:v>89.635695427901993</c:v>
                      </c:pt>
                      <c:pt idx="24">
                        <c:v>85.771464563691296</c:v>
                      </c:pt>
                      <c:pt idx="25">
                        <c:v>81.90723369950075</c:v>
                      </c:pt>
                      <c:pt idx="26">
                        <c:v>78.043002835330341</c:v>
                      </c:pt>
                      <c:pt idx="27">
                        <c:v>74.178771971139781</c:v>
                      </c:pt>
                      <c:pt idx="28">
                        <c:v>70.314541106949235</c:v>
                      </c:pt>
                      <c:pt idx="29">
                        <c:v>66.450310242738539</c:v>
                      </c:pt>
                      <c:pt idx="30">
                        <c:v>62.586079378558054</c:v>
                      </c:pt>
                      <c:pt idx="31">
                        <c:v>58.72184851435744</c:v>
                      </c:pt>
                      <c:pt idx="32">
                        <c:v>54.85761765016688</c:v>
                      </c:pt>
                      <c:pt idx="33">
                        <c:v>50.993386785966258</c:v>
                      </c:pt>
                      <c:pt idx="34">
                        <c:v>47.129155921775713</c:v>
                      </c:pt>
                      <c:pt idx="35">
                        <c:v>43.264925057575091</c:v>
                      </c:pt>
                      <c:pt idx="36">
                        <c:v>39.400694193404675</c:v>
                      </c:pt>
                      <c:pt idx="37">
                        <c:v>35.53646332922419</c:v>
                      </c:pt>
                      <c:pt idx="38">
                        <c:v>31.672232465013501</c:v>
                      </c:pt>
                      <c:pt idx="39">
                        <c:v>27.808001600833016</c:v>
                      </c:pt>
                      <c:pt idx="40">
                        <c:v>23.943770736632395</c:v>
                      </c:pt>
                      <c:pt idx="41">
                        <c:v>20.079539872441845</c:v>
                      </c:pt>
                      <c:pt idx="42">
                        <c:v>16.215309008231156</c:v>
                      </c:pt>
                      <c:pt idx="43">
                        <c:v>12.351078144040606</c:v>
                      </c:pt>
                      <c:pt idx="44">
                        <c:v>8.4868472798500534</c:v>
                      </c:pt>
                      <c:pt idx="45">
                        <c:v>4.6226164156595022</c:v>
                      </c:pt>
                      <c:pt idx="46">
                        <c:v>0.75838555146895015</c:v>
                      </c:pt>
                      <c:pt idx="47">
                        <c:v>-3.1058453127115335</c:v>
                      </c:pt>
                      <c:pt idx="48">
                        <c:v>-6.9700761768920172</c:v>
                      </c:pt>
                      <c:pt idx="49">
                        <c:v>-10.834307041102706</c:v>
                      </c:pt>
                      <c:pt idx="50">
                        <c:v>-14.698537905293255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95-4A62-9571-892853E3761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グラフ!$AL$5</c15:sqref>
                        </c15:formulaRef>
                      </c:ext>
                    </c:extLst>
                    <c:strCache>
                      <c:ptCount val="1"/>
                      <c:pt idx="0">
                        <c:v>outer応力:Δ-20℃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グラフ!$AL$6:$AL$56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160.65863693996405</c:v>
                      </c:pt>
                      <c:pt idx="1">
                        <c:v>156.79440607577351</c:v>
                      </c:pt>
                      <c:pt idx="2">
                        <c:v>152.93017521158296</c:v>
                      </c:pt>
                      <c:pt idx="3">
                        <c:v>149.06594434738233</c:v>
                      </c:pt>
                      <c:pt idx="4">
                        <c:v>145.20171348319178</c:v>
                      </c:pt>
                      <c:pt idx="5">
                        <c:v>141.33748261899117</c:v>
                      </c:pt>
                      <c:pt idx="6">
                        <c:v>137.47325175481069</c:v>
                      </c:pt>
                      <c:pt idx="7">
                        <c:v>133.60902089061008</c:v>
                      </c:pt>
                      <c:pt idx="8">
                        <c:v>129.74479002641951</c:v>
                      </c:pt>
                      <c:pt idx="9">
                        <c:v>125.88055916223905</c:v>
                      </c:pt>
                      <c:pt idx="10">
                        <c:v>122.01632829803845</c:v>
                      </c:pt>
                      <c:pt idx="11">
                        <c:v>118.1520974338479</c:v>
                      </c:pt>
                      <c:pt idx="12">
                        <c:v>114.28786656965733</c:v>
                      </c:pt>
                      <c:pt idx="13">
                        <c:v>110.42363570546676</c:v>
                      </c:pt>
                      <c:pt idx="14">
                        <c:v>106.55940484126614</c:v>
                      </c:pt>
                      <c:pt idx="15">
                        <c:v>102.6951739770756</c:v>
                      </c:pt>
                      <c:pt idx="16">
                        <c:v>98.830943112895099</c:v>
                      </c:pt>
                      <c:pt idx="17">
                        <c:v>94.966712248704553</c:v>
                      </c:pt>
                      <c:pt idx="18">
                        <c:v>91.102481384493871</c:v>
                      </c:pt>
                      <c:pt idx="19">
                        <c:v>87.238250520303325</c:v>
                      </c:pt>
                      <c:pt idx="20">
                        <c:v>83.374019656102703</c:v>
                      </c:pt>
                      <c:pt idx="21">
                        <c:v>79.509788791922219</c:v>
                      </c:pt>
                      <c:pt idx="22">
                        <c:v>75.645557927711522</c:v>
                      </c:pt>
                      <c:pt idx="23">
                        <c:v>71.781327063531037</c:v>
                      </c:pt>
                      <c:pt idx="24">
                        <c:v>67.917096199340492</c:v>
                      </c:pt>
                      <c:pt idx="25">
                        <c:v>64.052865335160007</c:v>
                      </c:pt>
                      <c:pt idx="26">
                        <c:v>60.188634470969461</c:v>
                      </c:pt>
                      <c:pt idx="27">
                        <c:v>56.32440360676884</c:v>
                      </c:pt>
                      <c:pt idx="28">
                        <c:v>52.460172742578294</c:v>
                      </c:pt>
                      <c:pt idx="29">
                        <c:v>48.595941878377666</c:v>
                      </c:pt>
                      <c:pt idx="30">
                        <c:v>44.731711014197181</c:v>
                      </c:pt>
                      <c:pt idx="31">
                        <c:v>40.867480149986498</c:v>
                      </c:pt>
                      <c:pt idx="32">
                        <c:v>37.003249285795945</c:v>
                      </c:pt>
                      <c:pt idx="33">
                        <c:v>33.139018421605392</c:v>
                      </c:pt>
                      <c:pt idx="34">
                        <c:v>29.27478755743498</c:v>
                      </c:pt>
                      <c:pt idx="35">
                        <c:v>25.410556693224287</c:v>
                      </c:pt>
                      <c:pt idx="36">
                        <c:v>21.546325829033734</c:v>
                      </c:pt>
                      <c:pt idx="37">
                        <c:v>17.682094964863321</c:v>
                      </c:pt>
                      <c:pt idx="38">
                        <c:v>13.817864100652633</c:v>
                      </c:pt>
                      <c:pt idx="39">
                        <c:v>9.9536332364620801</c:v>
                      </c:pt>
                      <c:pt idx="40">
                        <c:v>6.0894023722614605</c:v>
                      </c:pt>
                      <c:pt idx="41">
                        <c:v>2.225171508070908</c:v>
                      </c:pt>
                      <c:pt idx="42">
                        <c:v>-1.639059356129712</c:v>
                      </c:pt>
                      <c:pt idx="43">
                        <c:v>-5.5032902203202632</c:v>
                      </c:pt>
                      <c:pt idx="44">
                        <c:v>-9.3675210845007459</c:v>
                      </c:pt>
                      <c:pt idx="45">
                        <c:v>-13.231751948691297</c:v>
                      </c:pt>
                      <c:pt idx="46">
                        <c:v>-17.095982812891918</c:v>
                      </c:pt>
                      <c:pt idx="47">
                        <c:v>-20.960213677072399</c:v>
                      </c:pt>
                      <c:pt idx="48">
                        <c:v>-24.824444541262952</c:v>
                      </c:pt>
                      <c:pt idx="49">
                        <c:v>-28.688675405473646</c:v>
                      </c:pt>
                      <c:pt idx="50">
                        <c:v>-32.552906269654123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95-4A62-9571-892853E3761F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グラフ!$AM$5</c15:sqref>
                        </c15:formulaRef>
                      </c:ext>
                    </c:extLst>
                    <c:strCache>
                      <c:ptCount val="1"/>
                      <c:pt idx="0">
                        <c:v>outer応力:Δ-10℃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グラフ!$AM$6:$AM$56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142.8042685756032</c:v>
                      </c:pt>
                      <c:pt idx="1">
                        <c:v>138.94003771140257</c:v>
                      </c:pt>
                      <c:pt idx="2">
                        <c:v>135.07580684722208</c:v>
                      </c:pt>
                      <c:pt idx="3">
                        <c:v>131.21157598302148</c:v>
                      </c:pt>
                      <c:pt idx="4">
                        <c:v>127.34734511883092</c:v>
                      </c:pt>
                      <c:pt idx="5">
                        <c:v>123.48311425463031</c:v>
                      </c:pt>
                      <c:pt idx="6">
                        <c:v>119.61888339044982</c:v>
                      </c:pt>
                      <c:pt idx="7">
                        <c:v>115.7546525262492</c:v>
                      </c:pt>
                      <c:pt idx="8">
                        <c:v>111.89042166204858</c:v>
                      </c:pt>
                      <c:pt idx="9">
                        <c:v>108.02619079787817</c:v>
                      </c:pt>
                      <c:pt idx="10">
                        <c:v>104.16195993368763</c:v>
                      </c:pt>
                      <c:pt idx="11">
                        <c:v>100.297729069487</c:v>
                      </c:pt>
                      <c:pt idx="12">
                        <c:v>96.433498205286398</c:v>
                      </c:pt>
                      <c:pt idx="13">
                        <c:v>92.569267341095838</c:v>
                      </c:pt>
                      <c:pt idx="14">
                        <c:v>88.705036476915353</c:v>
                      </c:pt>
                      <c:pt idx="15">
                        <c:v>84.840805612724793</c:v>
                      </c:pt>
                      <c:pt idx="16">
                        <c:v>80.976574748524172</c:v>
                      </c:pt>
                      <c:pt idx="17">
                        <c:v>77.112343884333626</c:v>
                      </c:pt>
                      <c:pt idx="18">
                        <c:v>73.248113020122929</c:v>
                      </c:pt>
                      <c:pt idx="19">
                        <c:v>69.383882155942445</c:v>
                      </c:pt>
                      <c:pt idx="20">
                        <c:v>65.519651291741837</c:v>
                      </c:pt>
                      <c:pt idx="21">
                        <c:v>61.655420427551277</c:v>
                      </c:pt>
                      <c:pt idx="22">
                        <c:v>57.791189563360732</c:v>
                      </c:pt>
                      <c:pt idx="23">
                        <c:v>53.926958699190315</c:v>
                      </c:pt>
                      <c:pt idx="24">
                        <c:v>50.062727834979626</c:v>
                      </c:pt>
                      <c:pt idx="25">
                        <c:v>46.198496970789066</c:v>
                      </c:pt>
                      <c:pt idx="26">
                        <c:v>42.33426610659852</c:v>
                      </c:pt>
                      <c:pt idx="27">
                        <c:v>38.470035242407967</c:v>
                      </c:pt>
                      <c:pt idx="28">
                        <c:v>34.605804378217421</c:v>
                      </c:pt>
                      <c:pt idx="29">
                        <c:v>30.741573514006731</c:v>
                      </c:pt>
                      <c:pt idx="30">
                        <c:v>26.877342649826247</c:v>
                      </c:pt>
                      <c:pt idx="31">
                        <c:v>23.013111785625625</c:v>
                      </c:pt>
                      <c:pt idx="32">
                        <c:v>19.148880921455209</c:v>
                      </c:pt>
                      <c:pt idx="33">
                        <c:v>15.28465005725459</c:v>
                      </c:pt>
                      <c:pt idx="34">
                        <c:v>11.420419193064038</c:v>
                      </c:pt>
                      <c:pt idx="35">
                        <c:v>7.5561883288634188</c:v>
                      </c:pt>
                      <c:pt idx="36">
                        <c:v>3.6919574646728663</c:v>
                      </c:pt>
                      <c:pt idx="37">
                        <c:v>-0.17227339950761678</c:v>
                      </c:pt>
                      <c:pt idx="38">
                        <c:v>-4.0365042637183057</c:v>
                      </c:pt>
                      <c:pt idx="39">
                        <c:v>-7.9007351279088569</c:v>
                      </c:pt>
                      <c:pt idx="40">
                        <c:v>-11.764965992099411</c:v>
                      </c:pt>
                      <c:pt idx="41">
                        <c:v>-15.629196856289958</c:v>
                      </c:pt>
                      <c:pt idx="42">
                        <c:v>-19.493427720480511</c:v>
                      </c:pt>
                      <c:pt idx="43">
                        <c:v>-23.357658584671061</c:v>
                      </c:pt>
                      <c:pt idx="44">
                        <c:v>-27.221889448861617</c:v>
                      </c:pt>
                      <c:pt idx="45">
                        <c:v>-31.08612031305217</c:v>
                      </c:pt>
                      <c:pt idx="46">
                        <c:v>-34.95035117726286</c:v>
                      </c:pt>
                      <c:pt idx="47">
                        <c:v>-38.814582041443337</c:v>
                      </c:pt>
                      <c:pt idx="48">
                        <c:v>-42.678812905623822</c:v>
                      </c:pt>
                      <c:pt idx="49">
                        <c:v>-46.543043769834512</c:v>
                      </c:pt>
                      <c:pt idx="50">
                        <c:v>-50.407274634025065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495-4A62-9571-892853E3761F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グラフ!$AN$5</c15:sqref>
                        </c15:formulaRef>
                      </c:ext>
                    </c:extLst>
                    <c:strCache>
                      <c:ptCount val="1"/>
                      <c:pt idx="0">
                        <c:v>outer応力:Δ0℃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グラフ!$AN$6:$AN$56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124.94990021124234</c:v>
                      </c:pt>
                      <c:pt idx="1">
                        <c:v>121.08566934704173</c:v>
                      </c:pt>
                      <c:pt idx="2">
                        <c:v>117.22143848286125</c:v>
                      </c:pt>
                      <c:pt idx="3">
                        <c:v>113.35720761866061</c:v>
                      </c:pt>
                      <c:pt idx="4">
                        <c:v>109.49297675447005</c:v>
                      </c:pt>
                      <c:pt idx="5">
                        <c:v>105.62874589026944</c:v>
                      </c:pt>
                      <c:pt idx="6">
                        <c:v>101.76451502607888</c:v>
                      </c:pt>
                      <c:pt idx="7">
                        <c:v>97.900284161888337</c:v>
                      </c:pt>
                      <c:pt idx="8">
                        <c:v>94.036053297697791</c:v>
                      </c:pt>
                      <c:pt idx="9">
                        <c:v>90.171822433517306</c:v>
                      </c:pt>
                      <c:pt idx="10">
                        <c:v>86.307591569316685</c:v>
                      </c:pt>
                      <c:pt idx="11">
                        <c:v>82.443360705116064</c:v>
                      </c:pt>
                      <c:pt idx="12">
                        <c:v>78.579129840935579</c:v>
                      </c:pt>
                      <c:pt idx="13">
                        <c:v>74.714898976745033</c:v>
                      </c:pt>
                      <c:pt idx="14">
                        <c:v>70.850668112544412</c:v>
                      </c:pt>
                      <c:pt idx="15">
                        <c:v>66.986437248353852</c:v>
                      </c:pt>
                      <c:pt idx="16">
                        <c:v>63.122206384153252</c:v>
                      </c:pt>
                      <c:pt idx="17">
                        <c:v>59.257975519972753</c:v>
                      </c:pt>
                      <c:pt idx="18">
                        <c:v>55.39374465576207</c:v>
                      </c:pt>
                      <c:pt idx="19">
                        <c:v>51.529513791571517</c:v>
                      </c:pt>
                      <c:pt idx="20">
                        <c:v>47.665282927391026</c:v>
                      </c:pt>
                      <c:pt idx="21">
                        <c:v>43.801052063210548</c:v>
                      </c:pt>
                      <c:pt idx="22">
                        <c:v>39.936821198999858</c:v>
                      </c:pt>
                      <c:pt idx="23">
                        <c:v>36.072590334819374</c:v>
                      </c:pt>
                      <c:pt idx="24">
                        <c:v>32.208359470608684</c:v>
                      </c:pt>
                      <c:pt idx="25">
                        <c:v>28.344128606428203</c:v>
                      </c:pt>
                      <c:pt idx="26">
                        <c:v>24.47989774223765</c:v>
                      </c:pt>
                      <c:pt idx="27">
                        <c:v>20.615666878037032</c:v>
                      </c:pt>
                      <c:pt idx="28">
                        <c:v>16.75143601384648</c:v>
                      </c:pt>
                      <c:pt idx="29">
                        <c:v>12.887205149645858</c:v>
                      </c:pt>
                      <c:pt idx="30">
                        <c:v>9.0229742854855139</c:v>
                      </c:pt>
                      <c:pt idx="31">
                        <c:v>5.1587434212748242</c:v>
                      </c:pt>
                      <c:pt idx="32">
                        <c:v>1.294512557084273</c:v>
                      </c:pt>
                      <c:pt idx="33">
                        <c:v>-2.5697183071062786</c:v>
                      </c:pt>
                      <c:pt idx="34">
                        <c:v>-6.4339491712968311</c:v>
                      </c:pt>
                      <c:pt idx="35">
                        <c:v>-10.298180035507519</c:v>
                      </c:pt>
                      <c:pt idx="36">
                        <c:v>-14.16241089969807</c:v>
                      </c:pt>
                      <c:pt idx="37">
                        <c:v>-18.026641763878555</c:v>
                      </c:pt>
                      <c:pt idx="38">
                        <c:v>-21.890872628079173</c:v>
                      </c:pt>
                      <c:pt idx="39">
                        <c:v>-25.755103492269729</c:v>
                      </c:pt>
                      <c:pt idx="40">
                        <c:v>-29.619334356450214</c:v>
                      </c:pt>
                      <c:pt idx="41">
                        <c:v>-33.483565220640763</c:v>
                      </c:pt>
                      <c:pt idx="42">
                        <c:v>-37.347796084841384</c:v>
                      </c:pt>
                      <c:pt idx="43">
                        <c:v>-41.212026949031937</c:v>
                      </c:pt>
                      <c:pt idx="44">
                        <c:v>-45.076257813232552</c:v>
                      </c:pt>
                      <c:pt idx="45">
                        <c:v>-48.940488677423104</c:v>
                      </c:pt>
                      <c:pt idx="46">
                        <c:v>-52.804719541623726</c:v>
                      </c:pt>
                      <c:pt idx="47">
                        <c:v>-56.668950405804217</c:v>
                      </c:pt>
                      <c:pt idx="48">
                        <c:v>-60.533181269994763</c:v>
                      </c:pt>
                      <c:pt idx="49">
                        <c:v>-64.397412134205439</c:v>
                      </c:pt>
                      <c:pt idx="50">
                        <c:v>-68.261642998375862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495-4A62-9571-892853E3761F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グラフ!$AO$5</c15:sqref>
                        </c15:formulaRef>
                      </c:ext>
                    </c:extLst>
                    <c:strCache>
                      <c:ptCount val="1"/>
                      <c:pt idx="0">
                        <c:v>outer応力:Δ+10℃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グラフ!$AO$6:$AO$56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107.09553184688147</c:v>
                      </c:pt>
                      <c:pt idx="1">
                        <c:v>103.23130098268085</c:v>
                      </c:pt>
                      <c:pt idx="2">
                        <c:v>99.367070118500365</c:v>
                      </c:pt>
                      <c:pt idx="3">
                        <c:v>95.502839254299744</c:v>
                      </c:pt>
                      <c:pt idx="4">
                        <c:v>91.638608390099137</c:v>
                      </c:pt>
                      <c:pt idx="5">
                        <c:v>87.774377525908562</c:v>
                      </c:pt>
                      <c:pt idx="6">
                        <c:v>83.910146661728106</c:v>
                      </c:pt>
                      <c:pt idx="7">
                        <c:v>80.045915797527485</c:v>
                      </c:pt>
                      <c:pt idx="8">
                        <c:v>76.181684933326849</c:v>
                      </c:pt>
                      <c:pt idx="9">
                        <c:v>72.317454069146365</c:v>
                      </c:pt>
                      <c:pt idx="10">
                        <c:v>68.45322320496588</c:v>
                      </c:pt>
                      <c:pt idx="11">
                        <c:v>64.588992340765259</c:v>
                      </c:pt>
                      <c:pt idx="12">
                        <c:v>60.724761476564645</c:v>
                      </c:pt>
                      <c:pt idx="13">
                        <c:v>56.860530612374099</c:v>
                      </c:pt>
                      <c:pt idx="14">
                        <c:v>52.996299748173463</c:v>
                      </c:pt>
                      <c:pt idx="15">
                        <c:v>49.132068883993</c:v>
                      </c:pt>
                      <c:pt idx="16">
                        <c:v>45.267838019792372</c:v>
                      </c:pt>
                      <c:pt idx="17">
                        <c:v>41.403607155601819</c:v>
                      </c:pt>
                      <c:pt idx="18">
                        <c:v>37.539376291411266</c:v>
                      </c:pt>
                      <c:pt idx="19">
                        <c:v>33.675145427230788</c:v>
                      </c:pt>
                      <c:pt idx="20">
                        <c:v>29.810914563030163</c:v>
                      </c:pt>
                      <c:pt idx="21">
                        <c:v>25.94668369883961</c:v>
                      </c:pt>
                      <c:pt idx="22">
                        <c:v>22.082452834628917</c:v>
                      </c:pt>
                      <c:pt idx="23">
                        <c:v>18.218221970458508</c:v>
                      </c:pt>
                      <c:pt idx="24">
                        <c:v>14.353991106247818</c:v>
                      </c:pt>
                      <c:pt idx="25">
                        <c:v>10.489760242057267</c:v>
                      </c:pt>
                      <c:pt idx="26">
                        <c:v>6.6255293778667141</c:v>
                      </c:pt>
                      <c:pt idx="27">
                        <c:v>2.761298513676163</c:v>
                      </c:pt>
                      <c:pt idx="28">
                        <c:v>-1.1029323504942521</c:v>
                      </c:pt>
                      <c:pt idx="29">
                        <c:v>-4.9671632147049412</c:v>
                      </c:pt>
                      <c:pt idx="30">
                        <c:v>-8.8313940788854239</c:v>
                      </c:pt>
                      <c:pt idx="31">
                        <c:v>-12.695624943086044</c:v>
                      </c:pt>
                      <c:pt idx="32">
                        <c:v>-16.559855807276598</c:v>
                      </c:pt>
                      <c:pt idx="33">
                        <c:v>-20.424086671477216</c:v>
                      </c:pt>
                      <c:pt idx="34">
                        <c:v>-24.288317535667769</c:v>
                      </c:pt>
                      <c:pt idx="35">
                        <c:v>-28.152548399878462</c:v>
                      </c:pt>
                      <c:pt idx="36">
                        <c:v>-32.01677926405894</c:v>
                      </c:pt>
                      <c:pt idx="37">
                        <c:v>-35.881010128239424</c:v>
                      </c:pt>
                      <c:pt idx="38">
                        <c:v>-39.745240992429977</c:v>
                      </c:pt>
                      <c:pt idx="39">
                        <c:v>-43.609471856620523</c:v>
                      </c:pt>
                      <c:pt idx="40">
                        <c:v>-47.473702720811076</c:v>
                      </c:pt>
                      <c:pt idx="41">
                        <c:v>-51.337933585001629</c:v>
                      </c:pt>
                      <c:pt idx="42">
                        <c:v>-55.202164449212319</c:v>
                      </c:pt>
                      <c:pt idx="43">
                        <c:v>-59.066395313402865</c:v>
                      </c:pt>
                      <c:pt idx="44">
                        <c:v>-62.930626177593425</c:v>
                      </c:pt>
                      <c:pt idx="45">
                        <c:v>-66.79485704178397</c:v>
                      </c:pt>
                      <c:pt idx="46">
                        <c:v>-70.659087905994653</c:v>
                      </c:pt>
                      <c:pt idx="47">
                        <c:v>-74.523318770175138</c:v>
                      </c:pt>
                      <c:pt idx="48">
                        <c:v>-78.387549634345561</c:v>
                      </c:pt>
                      <c:pt idx="49">
                        <c:v>-82.251780498546168</c:v>
                      </c:pt>
                      <c:pt idx="50">
                        <c:v>-86.116011362736728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495-4A62-9571-892853E3761F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グラフ!$AP$5</c15:sqref>
                        </c15:formulaRef>
                      </c:ext>
                    </c:extLst>
                    <c:strCache>
                      <c:ptCount val="1"/>
                      <c:pt idx="0">
                        <c:v>outer応力:Δ+20℃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グラフ!$AP$6:$AP$56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89.241163482520591</c:v>
                      </c:pt>
                      <c:pt idx="1">
                        <c:v>85.376932618319984</c:v>
                      </c:pt>
                      <c:pt idx="2">
                        <c:v>81.512701754129438</c:v>
                      </c:pt>
                      <c:pt idx="3">
                        <c:v>77.648470889938892</c:v>
                      </c:pt>
                      <c:pt idx="4">
                        <c:v>73.784240025748332</c:v>
                      </c:pt>
                      <c:pt idx="5">
                        <c:v>69.920009161547711</c:v>
                      </c:pt>
                      <c:pt idx="6">
                        <c:v>66.055778297357151</c:v>
                      </c:pt>
                      <c:pt idx="7">
                        <c:v>62.191547433156536</c:v>
                      </c:pt>
                      <c:pt idx="8">
                        <c:v>58.327316568976052</c:v>
                      </c:pt>
                      <c:pt idx="9">
                        <c:v>54.463085704795567</c:v>
                      </c:pt>
                      <c:pt idx="10">
                        <c:v>50.598854840594953</c:v>
                      </c:pt>
                      <c:pt idx="11">
                        <c:v>46.734623976394317</c:v>
                      </c:pt>
                      <c:pt idx="12">
                        <c:v>42.870393112193703</c:v>
                      </c:pt>
                      <c:pt idx="13">
                        <c:v>39.006162248013219</c:v>
                      </c:pt>
                      <c:pt idx="14">
                        <c:v>35.141931383812604</c:v>
                      </c:pt>
                      <c:pt idx="15">
                        <c:v>31.277700519622044</c:v>
                      </c:pt>
                      <c:pt idx="16">
                        <c:v>27.41346965544157</c:v>
                      </c:pt>
                      <c:pt idx="17">
                        <c:v>23.549238791261086</c:v>
                      </c:pt>
                      <c:pt idx="18">
                        <c:v>19.685007927050396</c:v>
                      </c:pt>
                      <c:pt idx="19">
                        <c:v>15.820777062859845</c:v>
                      </c:pt>
                      <c:pt idx="20">
                        <c:v>11.956546198659225</c:v>
                      </c:pt>
                      <c:pt idx="21">
                        <c:v>8.0923153344787409</c:v>
                      </c:pt>
                      <c:pt idx="22">
                        <c:v>4.228084470268052</c:v>
                      </c:pt>
                      <c:pt idx="23">
                        <c:v>0.36385360608756895</c:v>
                      </c:pt>
                      <c:pt idx="24">
                        <c:v>-3.5003772581231196</c:v>
                      </c:pt>
                      <c:pt idx="25">
                        <c:v>-7.3646081223036033</c:v>
                      </c:pt>
                      <c:pt idx="26">
                        <c:v>-11.228838986474017</c:v>
                      </c:pt>
                      <c:pt idx="27">
                        <c:v>-15.093069850674638</c:v>
                      </c:pt>
                      <c:pt idx="28">
                        <c:v>-18.957300714865188</c:v>
                      </c:pt>
                      <c:pt idx="29">
                        <c:v>-22.821531579065812</c:v>
                      </c:pt>
                      <c:pt idx="30">
                        <c:v>-26.685762443246293</c:v>
                      </c:pt>
                      <c:pt idx="31">
                        <c:v>-30.549993307456976</c:v>
                      </c:pt>
                      <c:pt idx="32">
                        <c:v>-34.41422417164754</c:v>
                      </c:pt>
                      <c:pt idx="33">
                        <c:v>-38.278455035848154</c:v>
                      </c:pt>
                      <c:pt idx="34">
                        <c:v>-42.142685900028646</c:v>
                      </c:pt>
                      <c:pt idx="35">
                        <c:v>-46.006916764239335</c:v>
                      </c:pt>
                      <c:pt idx="36">
                        <c:v>-49.871147628409737</c:v>
                      </c:pt>
                      <c:pt idx="37">
                        <c:v>-53.735378492590222</c:v>
                      </c:pt>
                      <c:pt idx="38">
                        <c:v>-57.599609356790836</c:v>
                      </c:pt>
                      <c:pt idx="39">
                        <c:v>-61.463840220981396</c:v>
                      </c:pt>
                      <c:pt idx="40">
                        <c:v>-65.328071085182017</c:v>
                      </c:pt>
                      <c:pt idx="41">
                        <c:v>-69.192301949372563</c:v>
                      </c:pt>
                      <c:pt idx="42">
                        <c:v>-73.056532813573185</c:v>
                      </c:pt>
                      <c:pt idx="43">
                        <c:v>-76.92076367776373</c:v>
                      </c:pt>
                      <c:pt idx="44">
                        <c:v>-80.784994541964366</c:v>
                      </c:pt>
                      <c:pt idx="45">
                        <c:v>-84.649225406154912</c:v>
                      </c:pt>
                      <c:pt idx="46">
                        <c:v>-88.513456270345458</c:v>
                      </c:pt>
                      <c:pt idx="47">
                        <c:v>-92.377687134515881</c:v>
                      </c:pt>
                      <c:pt idx="48">
                        <c:v>-96.241917998706413</c:v>
                      </c:pt>
                      <c:pt idx="49">
                        <c:v>-100.10614886291714</c:v>
                      </c:pt>
                      <c:pt idx="50">
                        <c:v>-103.97037972709759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495-4A62-9571-892853E3761F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グラフ!$AQ$5</c15:sqref>
                        </c15:formulaRef>
                      </c:ext>
                    </c:extLst>
                    <c:strCache>
                      <c:ptCount val="1"/>
                      <c:pt idx="0">
                        <c:v>outer応力:Δ+30℃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グラフ!$AQ$6:$AQ$56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71.386795118149664</c:v>
                      </c:pt>
                      <c:pt idx="1">
                        <c:v>67.522564253959118</c:v>
                      </c:pt>
                      <c:pt idx="2">
                        <c:v>63.658333389778633</c:v>
                      </c:pt>
                      <c:pt idx="3">
                        <c:v>59.794102525578012</c:v>
                      </c:pt>
                      <c:pt idx="4">
                        <c:v>55.929871661377391</c:v>
                      </c:pt>
                      <c:pt idx="5">
                        <c:v>52.065640797176769</c:v>
                      </c:pt>
                      <c:pt idx="6">
                        <c:v>48.201409933006353</c:v>
                      </c:pt>
                      <c:pt idx="7">
                        <c:v>44.337179068805732</c:v>
                      </c:pt>
                      <c:pt idx="8">
                        <c:v>40.47294820460511</c:v>
                      </c:pt>
                      <c:pt idx="9">
                        <c:v>36.608717340424626</c:v>
                      </c:pt>
                      <c:pt idx="10">
                        <c:v>32.744486476224012</c:v>
                      </c:pt>
                      <c:pt idx="11">
                        <c:v>28.880255612033455</c:v>
                      </c:pt>
                      <c:pt idx="12">
                        <c:v>25.016024747832841</c:v>
                      </c:pt>
                      <c:pt idx="13">
                        <c:v>21.151793883642288</c:v>
                      </c:pt>
                      <c:pt idx="14">
                        <c:v>17.2875630194618</c:v>
                      </c:pt>
                      <c:pt idx="15">
                        <c:v>13.423332155281322</c:v>
                      </c:pt>
                      <c:pt idx="16">
                        <c:v>9.5591012910806992</c:v>
                      </c:pt>
                      <c:pt idx="17">
                        <c:v>5.6948704268901471</c:v>
                      </c:pt>
                      <c:pt idx="18">
                        <c:v>1.8306395626794587</c:v>
                      </c:pt>
                      <c:pt idx="19">
                        <c:v>-2.0335913015010245</c:v>
                      </c:pt>
                      <c:pt idx="20">
                        <c:v>-5.897822165701645</c:v>
                      </c:pt>
                      <c:pt idx="21">
                        <c:v>-9.762053029892197</c:v>
                      </c:pt>
                      <c:pt idx="22">
                        <c:v>-13.626283894102885</c:v>
                      </c:pt>
                      <c:pt idx="23">
                        <c:v>-17.490514758273299</c:v>
                      </c:pt>
                      <c:pt idx="24">
                        <c:v>-21.354745622463852</c:v>
                      </c:pt>
                      <c:pt idx="25">
                        <c:v>-25.218976486654405</c:v>
                      </c:pt>
                      <c:pt idx="26">
                        <c:v>-29.083207350844955</c:v>
                      </c:pt>
                      <c:pt idx="27">
                        <c:v>-32.947438215035504</c:v>
                      </c:pt>
                      <c:pt idx="28">
                        <c:v>-36.811669079226057</c:v>
                      </c:pt>
                      <c:pt idx="29">
                        <c:v>-40.67589994343674</c:v>
                      </c:pt>
                      <c:pt idx="30">
                        <c:v>-44.540130807617231</c:v>
                      </c:pt>
                      <c:pt idx="31">
                        <c:v>-48.404361671827921</c:v>
                      </c:pt>
                      <c:pt idx="32">
                        <c:v>-52.268592536008406</c:v>
                      </c:pt>
                      <c:pt idx="33">
                        <c:v>-56.132823400209027</c:v>
                      </c:pt>
                      <c:pt idx="34">
                        <c:v>-59.997054264379443</c:v>
                      </c:pt>
                      <c:pt idx="35">
                        <c:v>-63.861285128590133</c:v>
                      </c:pt>
                      <c:pt idx="36">
                        <c:v>-67.72551599277061</c:v>
                      </c:pt>
                      <c:pt idx="37">
                        <c:v>-71.589746856951095</c:v>
                      </c:pt>
                      <c:pt idx="38">
                        <c:v>-75.453977721161777</c:v>
                      </c:pt>
                      <c:pt idx="39">
                        <c:v>-79.318208585352323</c:v>
                      </c:pt>
                      <c:pt idx="40">
                        <c:v>-83.182439449542898</c:v>
                      </c:pt>
                      <c:pt idx="41">
                        <c:v>-87.046670313733443</c:v>
                      </c:pt>
                      <c:pt idx="42">
                        <c:v>-90.910901177944126</c:v>
                      </c:pt>
                      <c:pt idx="43">
                        <c:v>-94.775132042134672</c:v>
                      </c:pt>
                      <c:pt idx="44">
                        <c:v>-98.639362906315156</c:v>
                      </c:pt>
                      <c:pt idx="45">
                        <c:v>-102.50359377049566</c:v>
                      </c:pt>
                      <c:pt idx="46">
                        <c:v>-106.36782463470632</c:v>
                      </c:pt>
                      <c:pt idx="47">
                        <c:v>-110.23205549888682</c:v>
                      </c:pt>
                      <c:pt idx="48">
                        <c:v>-114.09628636306729</c:v>
                      </c:pt>
                      <c:pt idx="49">
                        <c:v>-117.96051722727799</c:v>
                      </c:pt>
                      <c:pt idx="50">
                        <c:v>-121.82474809146856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7C-403A-A721-D0AAAC5FC3C2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グラフ!$AR$5</c15:sqref>
                        </c15:formulaRef>
                      </c:ext>
                    </c:extLst>
                    <c:strCache>
                      <c:ptCount val="1"/>
                      <c:pt idx="0">
                        <c:v>outer降伏点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グラフ!$AR$6:$AR$56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  <c:pt idx="31">
                        <c:v>150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150</c:v>
                      </c:pt>
                      <c:pt idx="41">
                        <c:v>150</c:v>
                      </c:pt>
                      <c:pt idx="42">
                        <c:v>150</c:v>
                      </c:pt>
                      <c:pt idx="43">
                        <c:v>150</c:v>
                      </c:pt>
                      <c:pt idx="44">
                        <c:v>150</c:v>
                      </c:pt>
                      <c:pt idx="45">
                        <c:v>150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7C-403A-A721-D0AAAC5FC3C2}"/>
                  </c:ext>
                </c:extLst>
              </c15:ser>
            </c15:filteredScatterSeries>
          </c:ext>
        </c:extLst>
      </c:scatterChart>
      <c:valAx>
        <c:axId val="1878419104"/>
        <c:scaling>
          <c:orientation val="minMax"/>
          <c:max val="20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グラフ!$N$5</c:f>
              <c:strCache>
                <c:ptCount val="1"/>
                <c:pt idx="0">
                  <c:v>inner温度[℃]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401216"/>
        <c:crosses val="autoZero"/>
        <c:crossBetween val="midCat"/>
      </c:valAx>
      <c:valAx>
        <c:axId val="187840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グラフ!$AC$4</c:f>
              <c:strCache>
                <c:ptCount val="1"/>
                <c:pt idx="0">
                  <c:v>inner応力[MPa]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419104"/>
        <c:crossesAt val="-1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温度</a:t>
            </a:r>
            <a:r>
              <a:rPr lang="en-US" altLang="ja-JP"/>
              <a:t>vs</a:t>
            </a:r>
            <a:r>
              <a:rPr lang="ja-JP" altLang="en-US"/>
              <a:t>応力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グラフ!$V$5</c:f>
              <c:strCache>
                <c:ptCount val="1"/>
                <c:pt idx="0">
                  <c:v>半径方向応力:Δ-30℃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グラフ!$V$6:$V$56</c:f>
              <c:numCache>
                <c:formatCode>0.0</c:formatCode>
                <c:ptCount val="51"/>
                <c:pt idx="0">
                  <c:v>65.159818559125597</c:v>
                </c:pt>
                <c:pt idx="1">
                  <c:v>63.74931862634682</c:v>
                </c:pt>
                <c:pt idx="2">
                  <c:v>62.338818693575412</c:v>
                </c:pt>
                <c:pt idx="3">
                  <c:v>60.928318760800316</c:v>
                </c:pt>
                <c:pt idx="4">
                  <c:v>59.517818828021554</c:v>
                </c:pt>
                <c:pt idx="5">
                  <c:v>58.107318895242791</c:v>
                </c:pt>
                <c:pt idx="6">
                  <c:v>56.696818962471376</c:v>
                </c:pt>
                <c:pt idx="7">
                  <c:v>55.286319029692613</c:v>
                </c:pt>
                <c:pt idx="8">
                  <c:v>53.875819096917525</c:v>
                </c:pt>
                <c:pt idx="9">
                  <c:v>52.465319164146116</c:v>
                </c:pt>
                <c:pt idx="10">
                  <c:v>51.054819231371027</c:v>
                </c:pt>
                <c:pt idx="11">
                  <c:v>49.644319298592258</c:v>
                </c:pt>
                <c:pt idx="12">
                  <c:v>48.233819365813488</c:v>
                </c:pt>
                <c:pt idx="13">
                  <c:v>46.82331943304208</c:v>
                </c:pt>
                <c:pt idx="14">
                  <c:v>45.412819500266991</c:v>
                </c:pt>
                <c:pt idx="15">
                  <c:v>44.002319567491902</c:v>
                </c:pt>
                <c:pt idx="16">
                  <c:v>42.59181963471314</c:v>
                </c:pt>
                <c:pt idx="17">
                  <c:v>41.181319701938051</c:v>
                </c:pt>
                <c:pt idx="18">
                  <c:v>39.770819769162962</c:v>
                </c:pt>
                <c:pt idx="19">
                  <c:v>38.360319836387873</c:v>
                </c:pt>
                <c:pt idx="20">
                  <c:v>36.949819903609111</c:v>
                </c:pt>
                <c:pt idx="21">
                  <c:v>35.539319970834022</c:v>
                </c:pt>
                <c:pt idx="22">
                  <c:v>34.128820038051579</c:v>
                </c:pt>
                <c:pt idx="23">
                  <c:v>32.718320105283844</c:v>
                </c:pt>
                <c:pt idx="24">
                  <c:v>31.307820172501405</c:v>
                </c:pt>
                <c:pt idx="25">
                  <c:v>29.897320239726316</c:v>
                </c:pt>
                <c:pt idx="26">
                  <c:v>28.486820306958577</c:v>
                </c:pt>
                <c:pt idx="27">
                  <c:v>27.076320374183489</c:v>
                </c:pt>
                <c:pt idx="28">
                  <c:v>25.6658204414084</c:v>
                </c:pt>
                <c:pt idx="29">
                  <c:v>24.255320508625957</c:v>
                </c:pt>
                <c:pt idx="30">
                  <c:v>22.844820575854545</c:v>
                </c:pt>
                <c:pt idx="31">
                  <c:v>21.434320643075782</c:v>
                </c:pt>
                <c:pt idx="32">
                  <c:v>20.023820710300694</c:v>
                </c:pt>
                <c:pt idx="33">
                  <c:v>18.613320777521928</c:v>
                </c:pt>
                <c:pt idx="34">
                  <c:v>17.202820844746839</c:v>
                </c:pt>
                <c:pt idx="35">
                  <c:v>15.792320911968076</c:v>
                </c:pt>
                <c:pt idx="36">
                  <c:v>14.381820979200338</c:v>
                </c:pt>
                <c:pt idx="37">
                  <c:v>12.971321046428923</c:v>
                </c:pt>
                <c:pt idx="38">
                  <c:v>11.560821113646485</c:v>
                </c:pt>
                <c:pt idx="39">
                  <c:v>10.15032118087507</c:v>
                </c:pt>
                <c:pt idx="40">
                  <c:v>8.7398212480963053</c:v>
                </c:pt>
                <c:pt idx="41">
                  <c:v>7.3293213153212173</c:v>
                </c:pt>
                <c:pt idx="42">
                  <c:v>5.9188213825387779</c:v>
                </c:pt>
                <c:pt idx="43">
                  <c:v>4.5083214497636899</c:v>
                </c:pt>
                <c:pt idx="44">
                  <c:v>3.0978215169886005</c:v>
                </c:pt>
                <c:pt idx="45">
                  <c:v>1.6873215842135119</c:v>
                </c:pt>
                <c:pt idx="46">
                  <c:v>0.27682165143842297</c:v>
                </c:pt>
                <c:pt idx="47">
                  <c:v>-1.1336782813329909</c:v>
                </c:pt>
                <c:pt idx="48">
                  <c:v>-2.5441782141044045</c:v>
                </c:pt>
                <c:pt idx="49">
                  <c:v>-3.9546781468868435</c:v>
                </c:pt>
                <c:pt idx="50">
                  <c:v>-5.3651780796619324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10B-40E1-A458-CF55F8F74358}"/>
            </c:ext>
          </c:extLst>
        </c:ser>
        <c:ser>
          <c:idx val="8"/>
          <c:order val="8"/>
          <c:tx>
            <c:strRef>
              <c:f>グラフ!$W$5</c:f>
              <c:strCache>
                <c:ptCount val="1"/>
                <c:pt idx="0">
                  <c:v>半径方向応力:Δ-20℃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グラフ!$W$6:$W$56</c:f>
              <c:numCache>
                <c:formatCode>0.0</c:formatCode>
                <c:ptCount val="51"/>
                <c:pt idx="0">
                  <c:v>58.642716899634557</c:v>
                </c:pt>
                <c:pt idx="1">
                  <c:v>57.232216966859468</c:v>
                </c:pt>
                <c:pt idx="2">
                  <c:v>55.821717034084379</c:v>
                </c:pt>
                <c:pt idx="3">
                  <c:v>54.411217101305617</c:v>
                </c:pt>
                <c:pt idx="4">
                  <c:v>53.000717168530528</c:v>
                </c:pt>
                <c:pt idx="5">
                  <c:v>51.590217235751766</c:v>
                </c:pt>
                <c:pt idx="6">
                  <c:v>50.17971730298035</c:v>
                </c:pt>
                <c:pt idx="7">
                  <c:v>48.769217370201588</c:v>
                </c:pt>
                <c:pt idx="8">
                  <c:v>47.358717437426499</c:v>
                </c:pt>
                <c:pt idx="9">
                  <c:v>45.948217504655091</c:v>
                </c:pt>
                <c:pt idx="10">
                  <c:v>44.537717571876328</c:v>
                </c:pt>
                <c:pt idx="11">
                  <c:v>43.127217639101239</c:v>
                </c:pt>
                <c:pt idx="12">
                  <c:v>41.716717706326151</c:v>
                </c:pt>
                <c:pt idx="13">
                  <c:v>40.306217773551055</c:v>
                </c:pt>
                <c:pt idx="14">
                  <c:v>38.895717840772292</c:v>
                </c:pt>
                <c:pt idx="15">
                  <c:v>37.485217907997203</c:v>
                </c:pt>
                <c:pt idx="16">
                  <c:v>36.074717975225788</c:v>
                </c:pt>
                <c:pt idx="17">
                  <c:v>34.664218042450699</c:v>
                </c:pt>
                <c:pt idx="18">
                  <c:v>33.253718109668263</c:v>
                </c:pt>
                <c:pt idx="19">
                  <c:v>31.843218176893174</c:v>
                </c:pt>
                <c:pt idx="20">
                  <c:v>30.432718244114412</c:v>
                </c:pt>
                <c:pt idx="21">
                  <c:v>29.022218311342996</c:v>
                </c:pt>
                <c:pt idx="22">
                  <c:v>27.611718378560557</c:v>
                </c:pt>
                <c:pt idx="23">
                  <c:v>26.201218445789141</c:v>
                </c:pt>
                <c:pt idx="24">
                  <c:v>24.790718513014053</c:v>
                </c:pt>
                <c:pt idx="25">
                  <c:v>23.380218580242641</c:v>
                </c:pt>
                <c:pt idx="26">
                  <c:v>21.969718647467552</c:v>
                </c:pt>
                <c:pt idx="27">
                  <c:v>20.559218714688789</c:v>
                </c:pt>
                <c:pt idx="28">
                  <c:v>19.148718781913701</c:v>
                </c:pt>
                <c:pt idx="29">
                  <c:v>17.738218849134935</c:v>
                </c:pt>
                <c:pt idx="30">
                  <c:v>16.327718916363519</c:v>
                </c:pt>
                <c:pt idx="31">
                  <c:v>14.917218983581082</c:v>
                </c:pt>
                <c:pt idx="32">
                  <c:v>13.506719050805993</c:v>
                </c:pt>
                <c:pt idx="33">
                  <c:v>12.096219118030904</c:v>
                </c:pt>
                <c:pt idx="34">
                  <c:v>10.685719185263165</c:v>
                </c:pt>
                <c:pt idx="35">
                  <c:v>9.275219252480726</c:v>
                </c:pt>
                <c:pt idx="36">
                  <c:v>7.8647193197056371</c:v>
                </c:pt>
                <c:pt idx="37">
                  <c:v>6.4542193869378988</c:v>
                </c:pt>
                <c:pt idx="38">
                  <c:v>5.0437194541554602</c:v>
                </c:pt>
                <c:pt idx="39">
                  <c:v>3.6332195213803713</c:v>
                </c:pt>
                <c:pt idx="40">
                  <c:v>2.2227195886016071</c:v>
                </c:pt>
                <c:pt idx="41">
                  <c:v>0.81221965582651823</c:v>
                </c:pt>
                <c:pt idx="42">
                  <c:v>-0.59828027695224573</c:v>
                </c:pt>
                <c:pt idx="43">
                  <c:v>-2.0087802097273344</c:v>
                </c:pt>
                <c:pt idx="44">
                  <c:v>-3.419280142498748</c:v>
                </c:pt>
                <c:pt idx="45">
                  <c:v>-4.8297800752738365</c:v>
                </c:pt>
                <c:pt idx="46">
                  <c:v>-6.2402800080526006</c:v>
                </c:pt>
                <c:pt idx="47">
                  <c:v>-7.6507799408240142</c:v>
                </c:pt>
                <c:pt idx="48">
                  <c:v>-9.0612798735991031</c:v>
                </c:pt>
                <c:pt idx="49">
                  <c:v>-10.471779806381543</c:v>
                </c:pt>
                <c:pt idx="50">
                  <c:v>-11.882279739152956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10B-40E1-A458-CF55F8F74358}"/>
            </c:ext>
          </c:extLst>
        </c:ser>
        <c:ser>
          <c:idx val="9"/>
          <c:order val="9"/>
          <c:tx>
            <c:strRef>
              <c:f>グラフ!$X$5</c:f>
              <c:strCache>
                <c:ptCount val="1"/>
                <c:pt idx="0">
                  <c:v>半径方向応力:Δ-10℃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グラフ!$X$6:$X$56</c:f>
              <c:numCache>
                <c:formatCode>0.0</c:formatCode>
                <c:ptCount val="51"/>
                <c:pt idx="0">
                  <c:v>52.125615240143539</c:v>
                </c:pt>
                <c:pt idx="1">
                  <c:v>50.715115307364769</c:v>
                </c:pt>
                <c:pt idx="2">
                  <c:v>49.304615374593354</c:v>
                </c:pt>
                <c:pt idx="3">
                  <c:v>47.894115441814591</c:v>
                </c:pt>
                <c:pt idx="4">
                  <c:v>46.483615509039502</c:v>
                </c:pt>
                <c:pt idx="5">
                  <c:v>45.07311557626074</c:v>
                </c:pt>
                <c:pt idx="6">
                  <c:v>43.662615643489325</c:v>
                </c:pt>
                <c:pt idx="7">
                  <c:v>42.252115710710562</c:v>
                </c:pt>
                <c:pt idx="8">
                  <c:v>40.8416157779318</c:v>
                </c:pt>
                <c:pt idx="9">
                  <c:v>39.431115845164065</c:v>
                </c:pt>
                <c:pt idx="10">
                  <c:v>38.020615912388976</c:v>
                </c:pt>
                <c:pt idx="11">
                  <c:v>36.610115979610214</c:v>
                </c:pt>
                <c:pt idx="12">
                  <c:v>35.199616046831451</c:v>
                </c:pt>
                <c:pt idx="13">
                  <c:v>33.789116114056363</c:v>
                </c:pt>
                <c:pt idx="14">
                  <c:v>32.378616181284947</c:v>
                </c:pt>
                <c:pt idx="15">
                  <c:v>30.968116248509855</c:v>
                </c:pt>
                <c:pt idx="16">
                  <c:v>29.557616315731092</c:v>
                </c:pt>
                <c:pt idx="17">
                  <c:v>28.147116382956003</c:v>
                </c:pt>
                <c:pt idx="18">
                  <c:v>26.73661645017356</c:v>
                </c:pt>
                <c:pt idx="19">
                  <c:v>25.326116517402149</c:v>
                </c:pt>
                <c:pt idx="20">
                  <c:v>23.915616584623386</c:v>
                </c:pt>
                <c:pt idx="21">
                  <c:v>22.505116651848297</c:v>
                </c:pt>
                <c:pt idx="22">
                  <c:v>21.094616719073208</c:v>
                </c:pt>
                <c:pt idx="23">
                  <c:v>19.68411678630547</c:v>
                </c:pt>
                <c:pt idx="24">
                  <c:v>18.273616853523031</c:v>
                </c:pt>
                <c:pt idx="25">
                  <c:v>16.863116920747938</c:v>
                </c:pt>
                <c:pt idx="26">
                  <c:v>15.452616987972853</c:v>
                </c:pt>
                <c:pt idx="27">
                  <c:v>14.042117055197762</c:v>
                </c:pt>
                <c:pt idx="28">
                  <c:v>12.631617122422675</c:v>
                </c:pt>
                <c:pt idx="29">
                  <c:v>11.221117189640236</c:v>
                </c:pt>
                <c:pt idx="30">
                  <c:v>9.8106172568688219</c:v>
                </c:pt>
                <c:pt idx="31">
                  <c:v>8.4001173240900577</c:v>
                </c:pt>
                <c:pt idx="32">
                  <c:v>6.9896173913223185</c:v>
                </c:pt>
                <c:pt idx="33">
                  <c:v>5.5791174585435552</c:v>
                </c:pt>
                <c:pt idx="34">
                  <c:v>4.1686175257684663</c:v>
                </c:pt>
                <c:pt idx="35">
                  <c:v>2.7581175929897026</c:v>
                </c:pt>
                <c:pt idx="36">
                  <c:v>1.3476176602146135</c:v>
                </c:pt>
                <c:pt idx="37">
                  <c:v>-6.2882272556800109E-2</c:v>
                </c:pt>
                <c:pt idx="38">
                  <c:v>-1.4733822053392394</c:v>
                </c:pt>
                <c:pt idx="39">
                  <c:v>-2.8838821381143278</c:v>
                </c:pt>
                <c:pt idx="40">
                  <c:v>-4.2943820708894176</c:v>
                </c:pt>
                <c:pt idx="41">
                  <c:v>-5.7048820036645056</c:v>
                </c:pt>
                <c:pt idx="42">
                  <c:v>-7.1153819364395945</c:v>
                </c:pt>
                <c:pt idx="43">
                  <c:v>-8.5258818692146825</c:v>
                </c:pt>
                <c:pt idx="44">
                  <c:v>-9.9363818019897732</c:v>
                </c:pt>
                <c:pt idx="45">
                  <c:v>-11.34688173476486</c:v>
                </c:pt>
                <c:pt idx="46">
                  <c:v>-12.7573816675473</c:v>
                </c:pt>
                <c:pt idx="47">
                  <c:v>-14.167881600318713</c:v>
                </c:pt>
                <c:pt idx="48">
                  <c:v>-15.578381533090127</c:v>
                </c:pt>
                <c:pt idx="49">
                  <c:v>-16.988881465872566</c:v>
                </c:pt>
                <c:pt idx="50">
                  <c:v>-18.399381398647655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10B-40E1-A458-CF55F8F74358}"/>
            </c:ext>
          </c:extLst>
        </c:ser>
        <c:ser>
          <c:idx val="10"/>
          <c:order val="10"/>
          <c:tx>
            <c:strRef>
              <c:f>グラフ!$Y$5</c:f>
              <c:strCache>
                <c:ptCount val="1"/>
                <c:pt idx="0">
                  <c:v>半径方向応力:Δ0℃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グラフ!$Y$6:$Y$56</c:f>
              <c:numCache>
                <c:formatCode>0.0</c:formatCode>
                <c:ptCount val="51"/>
                <c:pt idx="0">
                  <c:v>45.608513580652513</c:v>
                </c:pt>
                <c:pt idx="1">
                  <c:v>44.198013647873751</c:v>
                </c:pt>
                <c:pt idx="2">
                  <c:v>42.787513715102335</c:v>
                </c:pt>
                <c:pt idx="3">
                  <c:v>41.377013782323566</c:v>
                </c:pt>
                <c:pt idx="4">
                  <c:v>39.966513849548477</c:v>
                </c:pt>
                <c:pt idx="5">
                  <c:v>38.556013916769714</c:v>
                </c:pt>
                <c:pt idx="6">
                  <c:v>37.145513983994626</c:v>
                </c:pt>
                <c:pt idx="7">
                  <c:v>35.735014051219537</c:v>
                </c:pt>
                <c:pt idx="8">
                  <c:v>34.324514118444455</c:v>
                </c:pt>
                <c:pt idx="9">
                  <c:v>32.914014185673039</c:v>
                </c:pt>
                <c:pt idx="10">
                  <c:v>31.503514252894277</c:v>
                </c:pt>
                <c:pt idx="11">
                  <c:v>30.093014320115511</c:v>
                </c:pt>
                <c:pt idx="12">
                  <c:v>28.682514387344099</c:v>
                </c:pt>
                <c:pt idx="13">
                  <c:v>27.27201445456901</c:v>
                </c:pt>
                <c:pt idx="14">
                  <c:v>25.861514521790244</c:v>
                </c:pt>
                <c:pt idx="15">
                  <c:v>24.451014589015156</c:v>
                </c:pt>
                <c:pt idx="16">
                  <c:v>23.040514656236393</c:v>
                </c:pt>
                <c:pt idx="17">
                  <c:v>21.630014723464978</c:v>
                </c:pt>
                <c:pt idx="18">
                  <c:v>20.219514790682538</c:v>
                </c:pt>
                <c:pt idx="19">
                  <c:v>18.809014857907449</c:v>
                </c:pt>
                <c:pt idx="20">
                  <c:v>17.398514925136034</c:v>
                </c:pt>
                <c:pt idx="21">
                  <c:v>15.988014992364624</c:v>
                </c:pt>
                <c:pt idx="22">
                  <c:v>14.577515059582183</c:v>
                </c:pt>
                <c:pt idx="23">
                  <c:v>13.167015126810769</c:v>
                </c:pt>
                <c:pt idx="24">
                  <c:v>11.75651519402833</c:v>
                </c:pt>
                <c:pt idx="25">
                  <c:v>10.346015261256916</c:v>
                </c:pt>
                <c:pt idx="26">
                  <c:v>8.9355153284818272</c:v>
                </c:pt>
                <c:pt idx="27">
                  <c:v>7.5250153957030639</c:v>
                </c:pt>
                <c:pt idx="28">
                  <c:v>6.1145154629279759</c:v>
                </c:pt>
                <c:pt idx="29">
                  <c:v>4.7040155301492108</c:v>
                </c:pt>
                <c:pt idx="30">
                  <c:v>3.2935155973851482</c:v>
                </c:pt>
                <c:pt idx="31">
                  <c:v>1.8830156646027087</c:v>
                </c:pt>
                <c:pt idx="32">
                  <c:v>0.47251573182762008</c:v>
                </c:pt>
                <c:pt idx="33">
                  <c:v>-0.9379842009474687</c:v>
                </c:pt>
                <c:pt idx="34">
                  <c:v>-2.3484841337225575</c:v>
                </c:pt>
                <c:pt idx="35">
                  <c:v>-3.7589840665049965</c:v>
                </c:pt>
                <c:pt idx="36">
                  <c:v>-5.169483999280085</c:v>
                </c:pt>
                <c:pt idx="37">
                  <c:v>-6.5799839320514995</c:v>
                </c:pt>
                <c:pt idx="38">
                  <c:v>-7.9904838648302627</c:v>
                </c:pt>
                <c:pt idx="39">
                  <c:v>-9.4009837976053525</c:v>
                </c:pt>
                <c:pt idx="40">
                  <c:v>-10.811483730376766</c:v>
                </c:pt>
                <c:pt idx="41">
                  <c:v>-12.221983663151855</c:v>
                </c:pt>
                <c:pt idx="42">
                  <c:v>-13.632483595930619</c:v>
                </c:pt>
                <c:pt idx="43">
                  <c:v>-15.042983528705708</c:v>
                </c:pt>
                <c:pt idx="44">
                  <c:v>-16.45348346148447</c:v>
                </c:pt>
                <c:pt idx="45">
                  <c:v>-17.863983394259559</c:v>
                </c:pt>
                <c:pt idx="46">
                  <c:v>-19.274483327038325</c:v>
                </c:pt>
                <c:pt idx="47">
                  <c:v>-20.684983259809741</c:v>
                </c:pt>
                <c:pt idx="48">
                  <c:v>-22.095483192584826</c:v>
                </c:pt>
                <c:pt idx="49">
                  <c:v>-23.505983125367266</c:v>
                </c:pt>
                <c:pt idx="50">
                  <c:v>-24.916483058135004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10B-40E1-A458-CF55F8F74358}"/>
            </c:ext>
          </c:extLst>
        </c:ser>
        <c:ser>
          <c:idx val="11"/>
          <c:order val="11"/>
          <c:tx>
            <c:strRef>
              <c:f>グラフ!$Z$5</c:f>
              <c:strCache>
                <c:ptCount val="1"/>
                <c:pt idx="0">
                  <c:v>半径方向応力:Δ+10℃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グラフ!$Z$6:$Z$56</c:f>
              <c:numCache>
                <c:formatCode>0.0</c:formatCode>
                <c:ptCount val="51"/>
                <c:pt idx="0">
                  <c:v>39.091411921161487</c:v>
                </c:pt>
                <c:pt idx="1">
                  <c:v>37.680911988382725</c:v>
                </c:pt>
                <c:pt idx="2">
                  <c:v>36.27041205561131</c:v>
                </c:pt>
                <c:pt idx="3">
                  <c:v>34.859912122832547</c:v>
                </c:pt>
                <c:pt idx="4">
                  <c:v>33.449412190053785</c:v>
                </c:pt>
                <c:pt idx="5">
                  <c:v>32.038912257278689</c:v>
                </c:pt>
                <c:pt idx="6">
                  <c:v>30.628412324507284</c:v>
                </c:pt>
                <c:pt idx="7">
                  <c:v>29.217912391728518</c:v>
                </c:pt>
                <c:pt idx="8">
                  <c:v>27.807412458949752</c:v>
                </c:pt>
                <c:pt idx="9">
                  <c:v>26.396912526178337</c:v>
                </c:pt>
                <c:pt idx="10">
                  <c:v>24.986412593406925</c:v>
                </c:pt>
                <c:pt idx="11">
                  <c:v>23.575912660628163</c:v>
                </c:pt>
                <c:pt idx="12">
                  <c:v>22.165412727849397</c:v>
                </c:pt>
                <c:pt idx="13">
                  <c:v>20.754912795074311</c:v>
                </c:pt>
                <c:pt idx="14">
                  <c:v>19.344412862295542</c:v>
                </c:pt>
                <c:pt idx="15">
                  <c:v>17.933912929524134</c:v>
                </c:pt>
                <c:pt idx="16">
                  <c:v>16.523412996745368</c:v>
                </c:pt>
                <c:pt idx="17">
                  <c:v>15.112913063970279</c:v>
                </c:pt>
                <c:pt idx="18">
                  <c:v>13.70241313119519</c:v>
                </c:pt>
                <c:pt idx="19">
                  <c:v>12.291913198423776</c:v>
                </c:pt>
                <c:pt idx="20">
                  <c:v>10.881413265645014</c:v>
                </c:pt>
                <c:pt idx="21">
                  <c:v>9.4709133328699231</c:v>
                </c:pt>
                <c:pt idx="22">
                  <c:v>8.0604134000874836</c:v>
                </c:pt>
                <c:pt idx="23">
                  <c:v>6.6499134673197462</c:v>
                </c:pt>
                <c:pt idx="24">
                  <c:v>5.2394135345373067</c:v>
                </c:pt>
                <c:pt idx="25">
                  <c:v>3.8289136017622183</c:v>
                </c:pt>
                <c:pt idx="26">
                  <c:v>2.418413668987129</c:v>
                </c:pt>
                <c:pt idx="27">
                  <c:v>1.0079137362120403</c:v>
                </c:pt>
                <c:pt idx="28">
                  <c:v>-0.40258619655569833</c:v>
                </c:pt>
                <c:pt idx="29">
                  <c:v>-1.8130861293381375</c:v>
                </c:pt>
                <c:pt idx="30">
                  <c:v>-3.2235860621095509</c:v>
                </c:pt>
                <c:pt idx="31">
                  <c:v>-4.6340859948883146</c:v>
                </c:pt>
                <c:pt idx="32">
                  <c:v>-6.0445859276634044</c:v>
                </c:pt>
                <c:pt idx="33">
                  <c:v>-7.4550858604421677</c:v>
                </c:pt>
                <c:pt idx="34">
                  <c:v>-8.8655857932172566</c:v>
                </c:pt>
                <c:pt idx="35">
                  <c:v>-10.276085725999696</c:v>
                </c:pt>
                <c:pt idx="36">
                  <c:v>-11.68658565877111</c:v>
                </c:pt>
                <c:pt idx="37">
                  <c:v>-13.097085591542523</c:v>
                </c:pt>
                <c:pt idx="38">
                  <c:v>-14.507585524317612</c:v>
                </c:pt>
                <c:pt idx="39">
                  <c:v>-15.918085457092701</c:v>
                </c:pt>
                <c:pt idx="40">
                  <c:v>-17.32858538986779</c:v>
                </c:pt>
                <c:pt idx="41">
                  <c:v>-18.739085322642879</c:v>
                </c:pt>
                <c:pt idx="42">
                  <c:v>-20.149585255425318</c:v>
                </c:pt>
                <c:pt idx="43">
                  <c:v>-21.560085188200407</c:v>
                </c:pt>
                <c:pt idx="44">
                  <c:v>-22.970585120975496</c:v>
                </c:pt>
                <c:pt idx="45">
                  <c:v>-24.381085053750585</c:v>
                </c:pt>
                <c:pt idx="46">
                  <c:v>-25.791584986533021</c:v>
                </c:pt>
                <c:pt idx="47">
                  <c:v>-27.202084919304436</c:v>
                </c:pt>
                <c:pt idx="48">
                  <c:v>-28.612584852072175</c:v>
                </c:pt>
                <c:pt idx="49">
                  <c:v>-30.023084784850937</c:v>
                </c:pt>
                <c:pt idx="50">
                  <c:v>-31.433584717626029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10B-40E1-A458-CF55F8F74358}"/>
            </c:ext>
          </c:extLst>
        </c:ser>
        <c:ser>
          <c:idx val="12"/>
          <c:order val="12"/>
          <c:tx>
            <c:strRef>
              <c:f>グラフ!$AA$5</c:f>
              <c:strCache>
                <c:ptCount val="1"/>
                <c:pt idx="0">
                  <c:v>半径方向応力:Δ+20℃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グラフ!$AA$6:$AA$56</c:f>
              <c:numCache>
                <c:formatCode>0.0</c:formatCode>
                <c:ptCount val="51"/>
                <c:pt idx="0">
                  <c:v>32.574310261670462</c:v>
                </c:pt>
                <c:pt idx="1">
                  <c:v>31.163810328891699</c:v>
                </c:pt>
                <c:pt idx="2">
                  <c:v>29.753310396116614</c:v>
                </c:pt>
                <c:pt idx="3">
                  <c:v>28.342810463341525</c:v>
                </c:pt>
                <c:pt idx="4">
                  <c:v>26.932310530566436</c:v>
                </c:pt>
                <c:pt idx="5">
                  <c:v>25.52181059778767</c:v>
                </c:pt>
                <c:pt idx="6">
                  <c:v>24.111310665012581</c:v>
                </c:pt>
                <c:pt idx="7">
                  <c:v>22.700810732233819</c:v>
                </c:pt>
                <c:pt idx="8">
                  <c:v>21.290310799462404</c:v>
                </c:pt>
                <c:pt idx="9">
                  <c:v>19.879810866690992</c:v>
                </c:pt>
                <c:pt idx="10">
                  <c:v>18.469310933912229</c:v>
                </c:pt>
                <c:pt idx="11">
                  <c:v>17.05881100113346</c:v>
                </c:pt>
                <c:pt idx="12">
                  <c:v>15.648311068354698</c:v>
                </c:pt>
                <c:pt idx="13">
                  <c:v>14.237811135583284</c:v>
                </c:pt>
                <c:pt idx="14">
                  <c:v>12.827311202804522</c:v>
                </c:pt>
                <c:pt idx="15">
                  <c:v>11.416811270029431</c:v>
                </c:pt>
                <c:pt idx="16">
                  <c:v>10.006311337258019</c:v>
                </c:pt>
                <c:pt idx="17">
                  <c:v>8.5958114044866054</c:v>
                </c:pt>
                <c:pt idx="18">
                  <c:v>7.185311471704166</c:v>
                </c:pt>
                <c:pt idx="19">
                  <c:v>5.7748115389290771</c:v>
                </c:pt>
                <c:pt idx="20">
                  <c:v>4.3643116061503138</c:v>
                </c:pt>
                <c:pt idx="21">
                  <c:v>2.9538116733788993</c:v>
                </c:pt>
                <c:pt idx="22">
                  <c:v>1.5433117405964603</c:v>
                </c:pt>
                <c:pt idx="23">
                  <c:v>0.13281180782504667</c:v>
                </c:pt>
                <c:pt idx="24">
                  <c:v>-1.2776881249573924</c:v>
                </c:pt>
                <c:pt idx="25">
                  <c:v>-2.6881880577288064</c:v>
                </c:pt>
                <c:pt idx="26">
                  <c:v>-4.0986879904965443</c:v>
                </c:pt>
                <c:pt idx="27">
                  <c:v>-5.5091879232753085</c:v>
                </c:pt>
                <c:pt idx="28">
                  <c:v>-6.9196878560503974</c:v>
                </c:pt>
                <c:pt idx="29">
                  <c:v>-8.3301877888291624</c:v>
                </c:pt>
                <c:pt idx="30">
                  <c:v>-9.7406877216005743</c:v>
                </c:pt>
                <c:pt idx="31">
                  <c:v>-11.151187654383014</c:v>
                </c:pt>
                <c:pt idx="32">
                  <c:v>-12.561687587158104</c:v>
                </c:pt>
                <c:pt idx="33">
                  <c:v>-13.972187519936867</c:v>
                </c:pt>
                <c:pt idx="34">
                  <c:v>-15.382687452708282</c:v>
                </c:pt>
                <c:pt idx="35">
                  <c:v>-16.793187385490722</c:v>
                </c:pt>
                <c:pt idx="36">
                  <c:v>-18.203687318258456</c:v>
                </c:pt>
                <c:pt idx="37">
                  <c:v>-19.614187251029872</c:v>
                </c:pt>
                <c:pt idx="38">
                  <c:v>-21.024687183808634</c:v>
                </c:pt>
                <c:pt idx="39">
                  <c:v>-22.435187116583727</c:v>
                </c:pt>
                <c:pt idx="40">
                  <c:v>-23.845687049362489</c:v>
                </c:pt>
                <c:pt idx="41">
                  <c:v>-25.256186982137578</c:v>
                </c:pt>
                <c:pt idx="42">
                  <c:v>-26.66668691491634</c:v>
                </c:pt>
                <c:pt idx="43">
                  <c:v>-28.077186847691429</c:v>
                </c:pt>
                <c:pt idx="44">
                  <c:v>-29.487686780470195</c:v>
                </c:pt>
                <c:pt idx="45">
                  <c:v>-30.898186713245284</c:v>
                </c:pt>
                <c:pt idx="46">
                  <c:v>-32.308686646020369</c:v>
                </c:pt>
                <c:pt idx="47">
                  <c:v>-33.719186578788111</c:v>
                </c:pt>
                <c:pt idx="48">
                  <c:v>-35.129686511563193</c:v>
                </c:pt>
                <c:pt idx="49">
                  <c:v>-36.540186444345643</c:v>
                </c:pt>
                <c:pt idx="50">
                  <c:v>-37.950686377117052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10B-40E1-A458-CF55F8F74358}"/>
            </c:ext>
          </c:extLst>
        </c:ser>
        <c:ser>
          <c:idx val="13"/>
          <c:order val="13"/>
          <c:tx>
            <c:strRef>
              <c:f>グラフ!$AB$5</c:f>
              <c:strCache>
                <c:ptCount val="1"/>
                <c:pt idx="0">
                  <c:v>半径方向応力:Δ+30℃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グラフ!$AB$6:$AB$56</c:f>
              <c:numCache>
                <c:formatCode>0.0</c:formatCode>
                <c:ptCount val="51"/>
                <c:pt idx="0">
                  <c:v>26.057208602175766</c:v>
                </c:pt>
                <c:pt idx="1">
                  <c:v>24.646708669400677</c:v>
                </c:pt>
                <c:pt idx="2">
                  <c:v>23.236208736629262</c:v>
                </c:pt>
                <c:pt idx="3">
                  <c:v>21.8257088038505</c:v>
                </c:pt>
                <c:pt idx="4">
                  <c:v>20.415208871071737</c:v>
                </c:pt>
                <c:pt idx="5">
                  <c:v>19.004708938292971</c:v>
                </c:pt>
                <c:pt idx="6">
                  <c:v>17.594209005525233</c:v>
                </c:pt>
                <c:pt idx="7">
                  <c:v>16.183709072746467</c:v>
                </c:pt>
                <c:pt idx="8">
                  <c:v>14.773209139967705</c:v>
                </c:pt>
                <c:pt idx="9">
                  <c:v>13.362709207196291</c:v>
                </c:pt>
                <c:pt idx="10">
                  <c:v>11.952209274417529</c:v>
                </c:pt>
                <c:pt idx="11">
                  <c:v>10.541709341642438</c:v>
                </c:pt>
                <c:pt idx="12">
                  <c:v>9.1312094088636755</c:v>
                </c:pt>
                <c:pt idx="13">
                  <c:v>7.7207094760885857</c:v>
                </c:pt>
                <c:pt idx="14">
                  <c:v>6.3102095433171721</c:v>
                </c:pt>
                <c:pt idx="15">
                  <c:v>4.8997096105457594</c:v>
                </c:pt>
                <c:pt idx="16">
                  <c:v>3.4892096777669948</c:v>
                </c:pt>
                <c:pt idx="17">
                  <c:v>2.0787097449919059</c:v>
                </c:pt>
                <c:pt idx="18">
                  <c:v>0.66820981220946685</c:v>
                </c:pt>
                <c:pt idx="19">
                  <c:v>-0.74229012056194676</c:v>
                </c:pt>
                <c:pt idx="20">
                  <c:v>-2.1527900533407109</c:v>
                </c:pt>
                <c:pt idx="21">
                  <c:v>-3.5632899861157998</c:v>
                </c:pt>
                <c:pt idx="22">
                  <c:v>-4.9737899188982384</c:v>
                </c:pt>
                <c:pt idx="23">
                  <c:v>-6.3842898516659767</c:v>
                </c:pt>
                <c:pt idx="24">
                  <c:v>-7.7947897844410656</c:v>
                </c:pt>
                <c:pt idx="25">
                  <c:v>-9.2052897172161554</c:v>
                </c:pt>
                <c:pt idx="26">
                  <c:v>-10.615789649991244</c:v>
                </c:pt>
                <c:pt idx="27">
                  <c:v>-12.026289582766333</c:v>
                </c:pt>
                <c:pt idx="28">
                  <c:v>-13.43678951554142</c:v>
                </c:pt>
                <c:pt idx="29">
                  <c:v>-14.84728944832386</c:v>
                </c:pt>
                <c:pt idx="30">
                  <c:v>-16.257789381095275</c:v>
                </c:pt>
                <c:pt idx="31">
                  <c:v>-17.668289313877715</c:v>
                </c:pt>
                <c:pt idx="32">
                  <c:v>-19.078789246649126</c:v>
                </c:pt>
                <c:pt idx="33">
                  <c:v>-20.489289179427892</c:v>
                </c:pt>
                <c:pt idx="34">
                  <c:v>-21.899789112195631</c:v>
                </c:pt>
                <c:pt idx="35">
                  <c:v>-23.31028904497807</c:v>
                </c:pt>
                <c:pt idx="36">
                  <c:v>-24.720788977749482</c:v>
                </c:pt>
                <c:pt idx="37">
                  <c:v>-26.131288910520897</c:v>
                </c:pt>
                <c:pt idx="38">
                  <c:v>-27.541788843303333</c:v>
                </c:pt>
                <c:pt idx="39">
                  <c:v>-28.952288776078422</c:v>
                </c:pt>
                <c:pt idx="40">
                  <c:v>-30.362788708853515</c:v>
                </c:pt>
                <c:pt idx="41">
                  <c:v>-31.773288641628604</c:v>
                </c:pt>
                <c:pt idx="42">
                  <c:v>-33.183788574411039</c:v>
                </c:pt>
                <c:pt idx="43">
                  <c:v>-34.594288507186128</c:v>
                </c:pt>
                <c:pt idx="44">
                  <c:v>-36.004788439957544</c:v>
                </c:pt>
                <c:pt idx="45">
                  <c:v>-37.415288372728959</c:v>
                </c:pt>
                <c:pt idx="46">
                  <c:v>-38.825788305511395</c:v>
                </c:pt>
                <c:pt idx="47">
                  <c:v>-40.23628823828281</c:v>
                </c:pt>
                <c:pt idx="48">
                  <c:v>-41.646788171054219</c:v>
                </c:pt>
                <c:pt idx="49">
                  <c:v>-43.057288103836662</c:v>
                </c:pt>
                <c:pt idx="50">
                  <c:v>-44.467788036611758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10B-40E1-A458-CF55F8F74358}"/>
            </c:ext>
          </c:extLst>
        </c:ser>
        <c:ser>
          <c:idx val="21"/>
          <c:order val="21"/>
          <c:tx>
            <c:strRef>
              <c:f>グラフ!$AJ$5</c:f>
              <c:strCache>
                <c:ptCount val="1"/>
                <c:pt idx="0">
                  <c:v>inner降伏点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グラフ!$AJ$6:$AJ$56</c:f>
              <c:numCache>
                <c:formatCode>0.0</c:formatCode>
                <c:ptCount val="51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345</c:v>
                </c:pt>
                <c:pt idx="22">
                  <c:v>345</c:v>
                </c:pt>
                <c:pt idx="23">
                  <c:v>345</c:v>
                </c:pt>
                <c:pt idx="24">
                  <c:v>345</c:v>
                </c:pt>
                <c:pt idx="25">
                  <c:v>345</c:v>
                </c:pt>
                <c:pt idx="26">
                  <c:v>345</c:v>
                </c:pt>
                <c:pt idx="27">
                  <c:v>345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345</c:v>
                </c:pt>
                <c:pt idx="32">
                  <c:v>345</c:v>
                </c:pt>
                <c:pt idx="33">
                  <c:v>345</c:v>
                </c:pt>
                <c:pt idx="34">
                  <c:v>345</c:v>
                </c:pt>
                <c:pt idx="35">
                  <c:v>345</c:v>
                </c:pt>
                <c:pt idx="36">
                  <c:v>345</c:v>
                </c:pt>
                <c:pt idx="37">
                  <c:v>345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345</c:v>
                </c:pt>
                <c:pt idx="43">
                  <c:v>345</c:v>
                </c:pt>
                <c:pt idx="44">
                  <c:v>345</c:v>
                </c:pt>
                <c:pt idx="45">
                  <c:v>345</c:v>
                </c:pt>
                <c:pt idx="46">
                  <c:v>345</c:v>
                </c:pt>
                <c:pt idx="47">
                  <c:v>345</c:v>
                </c:pt>
                <c:pt idx="48">
                  <c:v>345</c:v>
                </c:pt>
                <c:pt idx="49">
                  <c:v>345</c:v>
                </c:pt>
                <c:pt idx="50">
                  <c:v>345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F10B-40E1-A458-CF55F8F74358}"/>
            </c:ext>
          </c:extLst>
        </c:ser>
        <c:ser>
          <c:idx val="29"/>
          <c:order val="29"/>
          <c:tx>
            <c:strRef>
              <c:f>グラフ!$AR$5</c:f>
              <c:strCache>
                <c:ptCount val="1"/>
                <c:pt idx="0">
                  <c:v>outer降伏点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グラフ!$AR$6:$AR$56</c:f>
              <c:numCache>
                <c:formatCode>0.0</c:formatCode>
                <c:ptCount val="5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B-463C-AA48-EB9AD9F0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19104"/>
        <c:axId val="1878401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グラフ!$O$5</c15:sqref>
                        </c15:formulaRef>
                      </c:ext>
                    </c:extLst>
                    <c:strCache>
                      <c:ptCount val="1"/>
                      <c:pt idx="0">
                        <c:v>締め代：Δ-30℃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グラフ!$O$6:$O$56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6.2989174999998454E-2</c:v>
                      </c:pt>
                      <c:pt idx="1">
                        <c:v>6.162566249999557E-2</c:v>
                      </c:pt>
                      <c:pt idx="2">
                        <c:v>6.0262149999999792E-2</c:v>
                      </c:pt>
                      <c:pt idx="3">
                        <c:v>5.8898637500000461E-2</c:v>
                      </c:pt>
                      <c:pt idx="4">
                        <c:v>5.7535124999997578E-2</c:v>
                      </c:pt>
                      <c:pt idx="5">
                        <c:v>5.6171612499994694E-2</c:v>
                      </c:pt>
                      <c:pt idx="6">
                        <c:v>5.4808099999998916E-2</c:v>
                      </c:pt>
                      <c:pt idx="7">
                        <c:v>5.3444587499996032E-2</c:v>
                      </c:pt>
                      <c:pt idx="8">
                        <c:v>5.2081074999996702E-2</c:v>
                      </c:pt>
                      <c:pt idx="9">
                        <c:v>5.0717562500000923E-2</c:v>
                      </c:pt>
                      <c:pt idx="10">
                        <c:v>4.9354050000001592E-2</c:v>
                      </c:pt>
                      <c:pt idx="11">
                        <c:v>4.7990537499998709E-2</c:v>
                      </c:pt>
                      <c:pt idx="12">
                        <c:v>4.6627024999995825E-2</c:v>
                      </c:pt>
                      <c:pt idx="13">
                        <c:v>4.5263512500000047E-2</c:v>
                      </c:pt>
                      <c:pt idx="14">
                        <c:v>4.3900000000000716E-2</c:v>
                      </c:pt>
                      <c:pt idx="15">
                        <c:v>4.2536487500001385E-2</c:v>
                      </c:pt>
                      <c:pt idx="16">
                        <c:v>4.1172974999998502E-2</c:v>
                      </c:pt>
                      <c:pt idx="17">
                        <c:v>3.9809462499999171E-2</c:v>
                      </c:pt>
                      <c:pt idx="18">
                        <c:v>3.844594999999984E-2</c:v>
                      </c:pt>
                      <c:pt idx="19">
                        <c:v>3.7082437500000509E-2</c:v>
                      </c:pt>
                      <c:pt idx="20">
                        <c:v>3.5718924999997625E-2</c:v>
                      </c:pt>
                      <c:pt idx="21">
                        <c:v>3.4355412499998295E-2</c:v>
                      </c:pt>
                      <c:pt idx="22">
                        <c:v>3.2991899999991858E-2</c:v>
                      </c:pt>
                      <c:pt idx="23">
                        <c:v>3.1628387499999633E-2</c:v>
                      </c:pt>
                      <c:pt idx="24">
                        <c:v>3.0264874999993197E-2</c:v>
                      </c:pt>
                      <c:pt idx="25">
                        <c:v>2.8901362499993866E-2</c:v>
                      </c:pt>
                      <c:pt idx="26">
                        <c:v>2.753785000000164E-2</c:v>
                      </c:pt>
                      <c:pt idx="27">
                        <c:v>2.6174337500002309E-2</c:v>
                      </c:pt>
                      <c:pt idx="28">
                        <c:v>2.4810825000002978E-2</c:v>
                      </c:pt>
                      <c:pt idx="29">
                        <c:v>2.3447312499996542E-2</c:v>
                      </c:pt>
                      <c:pt idx="30">
                        <c:v>2.2083800000000764E-2</c:v>
                      </c:pt>
                      <c:pt idx="31">
                        <c:v>2.072028749999788E-2</c:v>
                      </c:pt>
                      <c:pt idx="32">
                        <c:v>1.9356774999998549E-2</c:v>
                      </c:pt>
                      <c:pt idx="33">
                        <c:v>1.7993262499995666E-2</c:v>
                      </c:pt>
                      <c:pt idx="34">
                        <c:v>1.6629749999996335E-2</c:v>
                      </c:pt>
                      <c:pt idx="35">
                        <c:v>1.5266237499993451E-2</c:v>
                      </c:pt>
                      <c:pt idx="36">
                        <c:v>1.3902725000001226E-2</c:v>
                      </c:pt>
                      <c:pt idx="37">
                        <c:v>1.2539212500005448E-2</c:v>
                      </c:pt>
                      <c:pt idx="38">
                        <c:v>1.1175699999999011E-2</c:v>
                      </c:pt>
                      <c:pt idx="39">
                        <c:v>9.8121875000032333E-3</c:v>
                      </c:pt>
                      <c:pt idx="40">
                        <c:v>8.4486750000003497E-3</c:v>
                      </c:pt>
                      <c:pt idx="41">
                        <c:v>7.0851625000010188E-3</c:v>
                      </c:pt>
                      <c:pt idx="42">
                        <c:v>5.7216499999945825E-3</c:v>
                      </c:pt>
                      <c:pt idx="43">
                        <c:v>4.3581374999952516E-3</c:v>
                      </c:pt>
                      <c:pt idx="44">
                        <c:v>2.9946249999959207E-3</c:v>
                      </c:pt>
                      <c:pt idx="45">
                        <c:v>1.6311124999965898E-3</c:v>
                      </c:pt>
                      <c:pt idx="46">
                        <c:v>2.6759999999725892E-4</c:v>
                      </c:pt>
                      <c:pt idx="47">
                        <c:v>-1.0959124999985193E-3</c:v>
                      </c:pt>
                      <c:pt idx="48">
                        <c:v>-2.4594249999942974E-3</c:v>
                      </c:pt>
                      <c:pt idx="49">
                        <c:v>-3.8229375000007337E-3</c:v>
                      </c:pt>
                      <c:pt idx="50">
                        <c:v>-5.1864500000000646E-3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10B-40E1-A458-CF55F8F7435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グラフ!$P$5</c15:sqref>
                        </c15:formulaRef>
                      </c:ext>
                    </c:extLst>
                    <c:strCache>
                      <c:ptCount val="1"/>
                      <c:pt idx="0">
                        <c:v>締め代：Δ-20℃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グラフ!$P$6:$P$56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5.6689174999998926E-2</c:v>
                      </c:pt>
                      <c:pt idx="1">
                        <c:v>5.5325662499999595E-2</c:v>
                      </c:pt>
                      <c:pt idx="2">
                        <c:v>5.3962150000000264E-2</c:v>
                      </c:pt>
                      <c:pt idx="3">
                        <c:v>5.259863749999738E-2</c:v>
                      </c:pt>
                      <c:pt idx="4">
                        <c:v>5.123512499999805E-2</c:v>
                      </c:pt>
                      <c:pt idx="5">
                        <c:v>4.9871612499995166E-2</c:v>
                      </c:pt>
                      <c:pt idx="6">
                        <c:v>4.8508099999999388E-2</c:v>
                      </c:pt>
                      <c:pt idx="7">
                        <c:v>4.7144587499996504E-2</c:v>
                      </c:pt>
                      <c:pt idx="8">
                        <c:v>4.5781074999997173E-2</c:v>
                      </c:pt>
                      <c:pt idx="9">
                        <c:v>4.4417562500001395E-2</c:v>
                      </c:pt>
                      <c:pt idx="10">
                        <c:v>4.3054049999998512E-2</c:v>
                      </c:pt>
                      <c:pt idx="11">
                        <c:v>4.1690537499999181E-2</c:v>
                      </c:pt>
                      <c:pt idx="12">
                        <c:v>4.032702499999985E-2</c:v>
                      </c:pt>
                      <c:pt idx="13">
                        <c:v>3.8963512500000519E-2</c:v>
                      </c:pt>
                      <c:pt idx="14">
                        <c:v>3.7599999999997635E-2</c:v>
                      </c:pt>
                      <c:pt idx="15">
                        <c:v>3.6236487499998304E-2</c:v>
                      </c:pt>
                      <c:pt idx="16">
                        <c:v>3.4872975000002526E-2</c:v>
                      </c:pt>
                      <c:pt idx="17">
                        <c:v>3.3509462500003195E-2</c:v>
                      </c:pt>
                      <c:pt idx="18">
                        <c:v>3.2145949999996759E-2</c:v>
                      </c:pt>
                      <c:pt idx="19">
                        <c:v>3.0782437499997428E-2</c:v>
                      </c:pt>
                      <c:pt idx="20">
                        <c:v>2.9418924999994545E-2</c:v>
                      </c:pt>
                      <c:pt idx="21">
                        <c:v>2.8055412499998766E-2</c:v>
                      </c:pt>
                      <c:pt idx="22">
                        <c:v>2.669189999999233E-2</c:v>
                      </c:pt>
                      <c:pt idx="23">
                        <c:v>2.5328387499996552E-2</c:v>
                      </c:pt>
                      <c:pt idx="24">
                        <c:v>2.3964874999997221E-2</c:v>
                      </c:pt>
                      <c:pt idx="25">
                        <c:v>2.2601362500001443E-2</c:v>
                      </c:pt>
                      <c:pt idx="26">
                        <c:v>2.1237850000002112E-2</c:v>
                      </c:pt>
                      <c:pt idx="27">
                        <c:v>1.9874337499999228E-2</c:v>
                      </c:pt>
                      <c:pt idx="28">
                        <c:v>1.8510824999999897E-2</c:v>
                      </c:pt>
                      <c:pt idx="29">
                        <c:v>1.7147312499997014E-2</c:v>
                      </c:pt>
                      <c:pt idx="30">
                        <c:v>1.5783800000001236E-2</c:v>
                      </c:pt>
                      <c:pt idx="31">
                        <c:v>1.4420287499994799E-2</c:v>
                      </c:pt>
                      <c:pt idx="32">
                        <c:v>1.3056774999995469E-2</c:v>
                      </c:pt>
                      <c:pt idx="33">
                        <c:v>1.1693262499996138E-2</c:v>
                      </c:pt>
                      <c:pt idx="34">
                        <c:v>1.0329750000003912E-2</c:v>
                      </c:pt>
                      <c:pt idx="35">
                        <c:v>8.9662374999974759E-3</c:v>
                      </c:pt>
                      <c:pt idx="36">
                        <c:v>7.602724999998145E-3</c:v>
                      </c:pt>
                      <c:pt idx="37">
                        <c:v>6.2392125000059195E-3</c:v>
                      </c:pt>
                      <c:pt idx="38">
                        <c:v>4.8756999999994832E-3</c:v>
                      </c:pt>
                      <c:pt idx="39">
                        <c:v>3.5121875000001523E-3</c:v>
                      </c:pt>
                      <c:pt idx="40">
                        <c:v>2.1486749999972687E-3</c:v>
                      </c:pt>
                      <c:pt idx="41">
                        <c:v>7.8516249999793786E-4</c:v>
                      </c:pt>
                      <c:pt idx="42">
                        <c:v>-5.7835000000494574E-4</c:v>
                      </c:pt>
                      <c:pt idx="43">
                        <c:v>-1.9418625000042766E-3</c:v>
                      </c:pt>
                      <c:pt idx="44">
                        <c:v>-3.3053750000000548E-3</c:v>
                      </c:pt>
                      <c:pt idx="45">
                        <c:v>-4.6688874999993857E-3</c:v>
                      </c:pt>
                      <c:pt idx="46">
                        <c:v>-6.0324000000022693E-3</c:v>
                      </c:pt>
                      <c:pt idx="47">
                        <c:v>-7.3959124999980475E-3</c:v>
                      </c:pt>
                      <c:pt idx="48">
                        <c:v>-8.7594249999973783E-3</c:v>
                      </c:pt>
                      <c:pt idx="49">
                        <c:v>-1.0122937500003815E-2</c:v>
                      </c:pt>
                      <c:pt idx="50">
                        <c:v>-1.1486449999999593E-2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0B-40E1-A458-CF55F8F7435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グラフ!$Q$5</c15:sqref>
                        </c15:formulaRef>
                      </c:ext>
                    </c:extLst>
                    <c:strCache>
                      <c:ptCount val="1"/>
                      <c:pt idx="0">
                        <c:v>締め代：Δ-10℃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グラフ!$Q$6:$Q$56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5.0389174999999398E-2</c:v>
                      </c:pt>
                      <c:pt idx="1">
                        <c:v>4.9025662499996514E-2</c:v>
                      </c:pt>
                      <c:pt idx="2">
                        <c:v>4.7662150000000736E-2</c:v>
                      </c:pt>
                      <c:pt idx="3">
                        <c:v>4.6298637499997852E-2</c:v>
                      </c:pt>
                      <c:pt idx="4">
                        <c:v>4.4935124999998521E-2</c:v>
                      </c:pt>
                      <c:pt idx="5">
                        <c:v>4.3571612499995638E-2</c:v>
                      </c:pt>
                      <c:pt idx="6">
                        <c:v>4.220809999999986E-2</c:v>
                      </c:pt>
                      <c:pt idx="7">
                        <c:v>4.0844587499996976E-2</c:v>
                      </c:pt>
                      <c:pt idx="8">
                        <c:v>3.9481074999994092E-2</c:v>
                      </c:pt>
                      <c:pt idx="9">
                        <c:v>3.8117562500001867E-2</c:v>
                      </c:pt>
                      <c:pt idx="10">
                        <c:v>3.6754050000002536E-2</c:v>
                      </c:pt>
                      <c:pt idx="11">
                        <c:v>3.5390537499999652E-2</c:v>
                      </c:pt>
                      <c:pt idx="12">
                        <c:v>3.4027024999996769E-2</c:v>
                      </c:pt>
                      <c:pt idx="13">
                        <c:v>3.2663512499997438E-2</c:v>
                      </c:pt>
                      <c:pt idx="14">
                        <c:v>3.130000000000166E-2</c:v>
                      </c:pt>
                      <c:pt idx="15">
                        <c:v>2.9936487500002329E-2</c:v>
                      </c:pt>
                      <c:pt idx="16">
                        <c:v>2.8572974999999445E-2</c:v>
                      </c:pt>
                      <c:pt idx="17">
                        <c:v>2.7209462500000114E-2</c:v>
                      </c:pt>
                      <c:pt idx="18">
                        <c:v>2.5845949999993678E-2</c:v>
                      </c:pt>
                      <c:pt idx="19">
                        <c:v>2.44824374999979E-2</c:v>
                      </c:pt>
                      <c:pt idx="20">
                        <c:v>2.3118924999995016E-2</c:v>
                      </c:pt>
                      <c:pt idx="21">
                        <c:v>2.1755412499995685E-2</c:v>
                      </c:pt>
                      <c:pt idx="22">
                        <c:v>2.0391899999996355E-2</c:v>
                      </c:pt>
                      <c:pt idx="23">
                        <c:v>1.9028387500004129E-2</c:v>
                      </c:pt>
                      <c:pt idx="24">
                        <c:v>1.7664874999997693E-2</c:v>
                      </c:pt>
                      <c:pt idx="25">
                        <c:v>1.6301362499998362E-2</c:v>
                      </c:pt>
                      <c:pt idx="26">
                        <c:v>1.4937849999999031E-2</c:v>
                      </c:pt>
                      <c:pt idx="27">
                        <c:v>1.35743374999997E-2</c:v>
                      </c:pt>
                      <c:pt idx="28">
                        <c:v>1.2210825000000369E-2</c:v>
                      </c:pt>
                      <c:pt idx="29">
                        <c:v>1.0847312499993933E-2</c:v>
                      </c:pt>
                      <c:pt idx="30">
                        <c:v>9.4837999999981548E-3</c:v>
                      </c:pt>
                      <c:pt idx="31">
                        <c:v>8.1202874999952712E-3</c:v>
                      </c:pt>
                      <c:pt idx="32">
                        <c:v>6.7567750000030458E-3</c:v>
                      </c:pt>
                      <c:pt idx="33">
                        <c:v>5.3932625000001622E-3</c:v>
                      </c:pt>
                      <c:pt idx="34">
                        <c:v>4.0297500000008313E-3</c:v>
                      </c:pt>
                      <c:pt idx="35">
                        <c:v>2.6662374999979477E-3</c:v>
                      </c:pt>
                      <c:pt idx="36">
                        <c:v>1.3027249999986168E-3</c:v>
                      </c:pt>
                      <c:pt idx="37">
                        <c:v>-6.0787499997161376E-5</c:v>
                      </c:pt>
                      <c:pt idx="38">
                        <c:v>-1.4243000000035977E-3</c:v>
                      </c:pt>
                      <c:pt idx="39">
                        <c:v>-2.7878125000029286E-3</c:v>
                      </c:pt>
                      <c:pt idx="40">
                        <c:v>-4.1513250000022595E-3</c:v>
                      </c:pt>
                      <c:pt idx="41">
                        <c:v>-5.5148375000015903E-3</c:v>
                      </c:pt>
                      <c:pt idx="42">
                        <c:v>-6.8783500000009212E-3</c:v>
                      </c:pt>
                      <c:pt idx="43">
                        <c:v>-8.2418625000002521E-3</c:v>
                      </c:pt>
                      <c:pt idx="44">
                        <c:v>-9.605374999999583E-3</c:v>
                      </c:pt>
                      <c:pt idx="45">
                        <c:v>-1.0968887499998914E-2</c:v>
                      </c:pt>
                      <c:pt idx="46">
                        <c:v>-1.233240000000535E-2</c:v>
                      </c:pt>
                      <c:pt idx="47">
                        <c:v>-1.3695912500001128E-2</c:v>
                      </c:pt>
                      <c:pt idx="48">
                        <c:v>-1.5059424999996907E-2</c:v>
                      </c:pt>
                      <c:pt idx="49">
                        <c:v>-1.6422937500003343E-2</c:v>
                      </c:pt>
                      <c:pt idx="50">
                        <c:v>-1.7786450000002674E-2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0B-40E1-A458-CF55F8F7435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グラフ!$R$5</c15:sqref>
                        </c15:formulaRef>
                      </c:ext>
                    </c:extLst>
                    <c:strCache>
                      <c:ptCount val="1"/>
                      <c:pt idx="0">
                        <c:v>締め代：Δ0℃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グラフ!$R$6:$R$56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4.4089174999999869E-2</c:v>
                      </c:pt>
                      <c:pt idx="1">
                        <c:v>4.2725662499996986E-2</c:v>
                      </c:pt>
                      <c:pt idx="2">
                        <c:v>4.1362150000001208E-2</c:v>
                      </c:pt>
                      <c:pt idx="3">
                        <c:v>3.9998637499998324E-2</c:v>
                      </c:pt>
                      <c:pt idx="4">
                        <c:v>3.8635124999998993E-2</c:v>
                      </c:pt>
                      <c:pt idx="5">
                        <c:v>3.727161249999611E-2</c:v>
                      </c:pt>
                      <c:pt idx="6">
                        <c:v>3.5908099999996779E-2</c:v>
                      </c:pt>
                      <c:pt idx="7">
                        <c:v>3.4544587499997448E-2</c:v>
                      </c:pt>
                      <c:pt idx="8">
                        <c:v>3.3181074999998117E-2</c:v>
                      </c:pt>
                      <c:pt idx="9">
                        <c:v>3.1817562500002339E-2</c:v>
                      </c:pt>
                      <c:pt idx="10">
                        <c:v>3.0454049999999455E-2</c:v>
                      </c:pt>
                      <c:pt idx="11">
                        <c:v>2.9090537499996572E-2</c:v>
                      </c:pt>
                      <c:pt idx="12">
                        <c:v>2.7727025000000793E-2</c:v>
                      </c:pt>
                      <c:pt idx="13">
                        <c:v>2.6363512500001463E-2</c:v>
                      </c:pt>
                      <c:pt idx="14">
                        <c:v>2.4999999999998579E-2</c:v>
                      </c:pt>
                      <c:pt idx="15">
                        <c:v>2.3636487499999248E-2</c:v>
                      </c:pt>
                      <c:pt idx="16">
                        <c:v>2.2272974999996364E-2</c:v>
                      </c:pt>
                      <c:pt idx="17">
                        <c:v>2.0909462500000586E-2</c:v>
                      </c:pt>
                      <c:pt idx="18">
                        <c:v>1.954594999999415E-2</c:v>
                      </c:pt>
                      <c:pt idx="19">
                        <c:v>1.8182437499994819E-2</c:v>
                      </c:pt>
                      <c:pt idx="20">
                        <c:v>1.6818924999999041E-2</c:v>
                      </c:pt>
                      <c:pt idx="21">
                        <c:v>1.5455412500003263E-2</c:v>
                      </c:pt>
                      <c:pt idx="22">
                        <c:v>1.4091899999996826E-2</c:v>
                      </c:pt>
                      <c:pt idx="23">
                        <c:v>1.2728387500001048E-2</c:v>
                      </c:pt>
                      <c:pt idx="24">
                        <c:v>1.1364874999994612E-2</c:v>
                      </c:pt>
                      <c:pt idx="25">
                        <c:v>1.0001362499998834E-2</c:v>
                      </c:pt>
                      <c:pt idx="26">
                        <c:v>8.6378499999995029E-3</c:v>
                      </c:pt>
                      <c:pt idx="27">
                        <c:v>7.2743374999966193E-3</c:v>
                      </c:pt>
                      <c:pt idx="28">
                        <c:v>5.9108249999972884E-3</c:v>
                      </c:pt>
                      <c:pt idx="29">
                        <c:v>4.5473124999944048E-3</c:v>
                      </c:pt>
                      <c:pt idx="30">
                        <c:v>3.183800000005732E-3</c:v>
                      </c:pt>
                      <c:pt idx="31">
                        <c:v>1.8202874999992957E-3</c:v>
                      </c:pt>
                      <c:pt idx="32">
                        <c:v>4.5677499999996485E-4</c:v>
                      </c:pt>
                      <c:pt idx="33">
                        <c:v>-9.0673749999936604E-4</c:v>
                      </c:pt>
                      <c:pt idx="34">
                        <c:v>-2.2702499999986969E-3</c:v>
                      </c:pt>
                      <c:pt idx="35">
                        <c:v>-3.6337625000051332E-3</c:v>
                      </c:pt>
                      <c:pt idx="36">
                        <c:v>-4.9972750000044641E-3</c:v>
                      </c:pt>
                      <c:pt idx="37">
                        <c:v>-6.3607875000002423E-3</c:v>
                      </c:pt>
                      <c:pt idx="38">
                        <c:v>-7.7243000000031259E-3</c:v>
                      </c:pt>
                      <c:pt idx="39">
                        <c:v>-9.0878125000024568E-3</c:v>
                      </c:pt>
                      <c:pt idx="40">
                        <c:v>-1.0451324999998235E-2</c:v>
                      </c:pt>
                      <c:pt idx="41">
                        <c:v>-1.1814837499997566E-2</c:v>
                      </c:pt>
                      <c:pt idx="42">
                        <c:v>-1.3178350000000449E-2</c:v>
                      </c:pt>
                      <c:pt idx="43">
                        <c:v>-1.454186249999978E-2</c:v>
                      </c:pt>
                      <c:pt idx="44">
                        <c:v>-1.5905375000002664E-2</c:v>
                      </c:pt>
                      <c:pt idx="45">
                        <c:v>-1.7268887500001995E-2</c:v>
                      </c:pt>
                      <c:pt idx="46">
                        <c:v>-1.8632400000004878E-2</c:v>
                      </c:pt>
                      <c:pt idx="47">
                        <c:v>-1.9995912500000657E-2</c:v>
                      </c:pt>
                      <c:pt idx="48">
                        <c:v>-2.1359424999999987E-2</c:v>
                      </c:pt>
                      <c:pt idx="49">
                        <c:v>-2.2722937500006424E-2</c:v>
                      </c:pt>
                      <c:pt idx="50">
                        <c:v>-2.4086449999998649E-2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0B-40E1-A458-CF55F8F7435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グラフ!$S$5</c15:sqref>
                        </c15:formulaRef>
                      </c:ext>
                    </c:extLst>
                    <c:strCache>
                      <c:ptCount val="1"/>
                      <c:pt idx="0">
                        <c:v>締め代：Δ+10℃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グラフ!$S$6:$S$56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3.7789175000000341E-2</c:v>
                      </c:pt>
                      <c:pt idx="1">
                        <c:v>3.6425662499997458E-2</c:v>
                      </c:pt>
                      <c:pt idx="2">
                        <c:v>3.5062150000001679E-2</c:v>
                      </c:pt>
                      <c:pt idx="3">
                        <c:v>3.3698637499998796E-2</c:v>
                      </c:pt>
                      <c:pt idx="4">
                        <c:v>3.2335124999995912E-2</c:v>
                      </c:pt>
                      <c:pt idx="5">
                        <c:v>3.0971612499996581E-2</c:v>
                      </c:pt>
                      <c:pt idx="6">
                        <c:v>2.9608100000000803E-2</c:v>
                      </c:pt>
                      <c:pt idx="7">
                        <c:v>2.824458749999792E-2</c:v>
                      </c:pt>
                      <c:pt idx="8">
                        <c:v>2.6881074999995036E-2</c:v>
                      </c:pt>
                      <c:pt idx="9">
                        <c:v>2.5517562499999258E-2</c:v>
                      </c:pt>
                      <c:pt idx="10">
                        <c:v>2.415405000000348E-2</c:v>
                      </c:pt>
                      <c:pt idx="11">
                        <c:v>2.2790537500000596E-2</c:v>
                      </c:pt>
                      <c:pt idx="12">
                        <c:v>2.1427024999997712E-2</c:v>
                      </c:pt>
                      <c:pt idx="13">
                        <c:v>2.0063512499998382E-2</c:v>
                      </c:pt>
                      <c:pt idx="14">
                        <c:v>1.8699999999995498E-2</c:v>
                      </c:pt>
                      <c:pt idx="15">
                        <c:v>1.733648749999972E-2</c:v>
                      </c:pt>
                      <c:pt idx="16">
                        <c:v>1.5972974999996836E-2</c:v>
                      </c:pt>
                      <c:pt idx="17">
                        <c:v>1.4609462499997505E-2</c:v>
                      </c:pt>
                      <c:pt idx="18">
                        <c:v>1.3245949999998174E-2</c:v>
                      </c:pt>
                      <c:pt idx="19">
                        <c:v>1.1882437500002396E-2</c:v>
                      </c:pt>
                      <c:pt idx="20">
                        <c:v>1.0518924999999513E-2</c:v>
                      </c:pt>
                      <c:pt idx="21">
                        <c:v>9.1554125000001818E-3</c:v>
                      </c:pt>
                      <c:pt idx="22">
                        <c:v>7.7918999999937455E-3</c:v>
                      </c:pt>
                      <c:pt idx="23">
                        <c:v>6.42838750000152E-3</c:v>
                      </c:pt>
                      <c:pt idx="24">
                        <c:v>5.0648749999950837E-3</c:v>
                      </c:pt>
                      <c:pt idx="25">
                        <c:v>3.7013624999957528E-3</c:v>
                      </c:pt>
                      <c:pt idx="26">
                        <c:v>2.337849999996422E-3</c:v>
                      </c:pt>
                      <c:pt idx="27">
                        <c:v>9.7433749999709107E-4</c:v>
                      </c:pt>
                      <c:pt idx="28">
                        <c:v>-3.8917499999513439E-4</c:v>
                      </c:pt>
                      <c:pt idx="29">
                        <c:v>-1.7526875000015707E-3</c:v>
                      </c:pt>
                      <c:pt idx="30">
                        <c:v>-3.1161999999973489E-3</c:v>
                      </c:pt>
                      <c:pt idx="31">
                        <c:v>-4.4797125000002325E-3</c:v>
                      </c:pt>
                      <c:pt idx="32">
                        <c:v>-5.8432249999995634E-3</c:v>
                      </c:pt>
                      <c:pt idx="33">
                        <c:v>-7.206737500002447E-3</c:v>
                      </c:pt>
                      <c:pt idx="34">
                        <c:v>-8.5702500000017778E-3</c:v>
                      </c:pt>
                      <c:pt idx="35">
                        <c:v>-9.9337625000082141E-3</c:v>
                      </c:pt>
                      <c:pt idx="36">
                        <c:v>-1.1297275000003992E-2</c:v>
                      </c:pt>
                      <c:pt idx="37">
                        <c:v>-1.266078749999977E-2</c:v>
                      </c:pt>
                      <c:pt idx="38">
                        <c:v>-1.4024299999999101E-2</c:v>
                      </c:pt>
                      <c:pt idx="39">
                        <c:v>-1.5387812499998432E-2</c:v>
                      </c:pt>
                      <c:pt idx="40">
                        <c:v>-1.6751324999997763E-2</c:v>
                      </c:pt>
                      <c:pt idx="41">
                        <c:v>-1.8114837499997094E-2</c:v>
                      </c:pt>
                      <c:pt idx="42">
                        <c:v>-1.947835000000353E-2</c:v>
                      </c:pt>
                      <c:pt idx="43">
                        <c:v>-2.0841862500002861E-2</c:v>
                      </c:pt>
                      <c:pt idx="44">
                        <c:v>-2.2205375000002192E-2</c:v>
                      </c:pt>
                      <c:pt idx="45">
                        <c:v>-2.3568887500001523E-2</c:v>
                      </c:pt>
                      <c:pt idx="46">
                        <c:v>-2.4932400000007959E-2</c:v>
                      </c:pt>
                      <c:pt idx="47">
                        <c:v>-2.6295912500003737E-2</c:v>
                      </c:pt>
                      <c:pt idx="48">
                        <c:v>-2.7659424999995963E-2</c:v>
                      </c:pt>
                      <c:pt idx="49">
                        <c:v>-2.9022937499998847E-2</c:v>
                      </c:pt>
                      <c:pt idx="50">
                        <c:v>-3.0386449999998177E-2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0B-40E1-A458-CF55F8F7435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グラフ!$T$5</c15:sqref>
                        </c15:formulaRef>
                      </c:ext>
                    </c:extLst>
                    <c:strCache>
                      <c:ptCount val="1"/>
                      <c:pt idx="0">
                        <c:v>締め代：Δ+20℃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グラフ!$T$6:$T$56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3.1489175000000813E-2</c:v>
                      </c:pt>
                      <c:pt idx="1">
                        <c:v>3.0125662499997929E-2</c:v>
                      </c:pt>
                      <c:pt idx="2">
                        <c:v>2.8762149999998599E-2</c:v>
                      </c:pt>
                      <c:pt idx="3">
                        <c:v>2.7398637499999268E-2</c:v>
                      </c:pt>
                      <c:pt idx="4">
                        <c:v>2.6035124999999937E-2</c:v>
                      </c:pt>
                      <c:pt idx="5">
                        <c:v>2.4671612499997053E-2</c:v>
                      </c:pt>
                      <c:pt idx="6">
                        <c:v>2.3308099999997722E-2</c:v>
                      </c:pt>
                      <c:pt idx="7">
                        <c:v>2.1944587499994839E-2</c:v>
                      </c:pt>
                      <c:pt idx="8">
                        <c:v>2.0581074999999061E-2</c:v>
                      </c:pt>
                      <c:pt idx="9">
                        <c:v>1.9217562500003282E-2</c:v>
                      </c:pt>
                      <c:pt idx="10">
                        <c:v>1.7854050000000399E-2</c:v>
                      </c:pt>
                      <c:pt idx="11">
                        <c:v>1.6490537499997515E-2</c:v>
                      </c:pt>
                      <c:pt idx="12">
                        <c:v>1.5127024999994632E-2</c:v>
                      </c:pt>
                      <c:pt idx="13">
                        <c:v>1.3763512499998853E-2</c:v>
                      </c:pt>
                      <c:pt idx="14">
                        <c:v>1.239999999999597E-2</c:v>
                      </c:pt>
                      <c:pt idx="15">
                        <c:v>1.1036487499996639E-2</c:v>
                      </c:pt>
                      <c:pt idx="16">
                        <c:v>9.6729750000008607E-3</c:v>
                      </c:pt>
                      <c:pt idx="17">
                        <c:v>8.3094625000050826E-3</c:v>
                      </c:pt>
                      <c:pt idx="18">
                        <c:v>6.9459499999986463E-3</c:v>
                      </c:pt>
                      <c:pt idx="19">
                        <c:v>5.5824374999993154E-3</c:v>
                      </c:pt>
                      <c:pt idx="20">
                        <c:v>4.2189249999964318E-3</c:v>
                      </c:pt>
                      <c:pt idx="21">
                        <c:v>2.8554125000006536E-3</c:v>
                      </c:pt>
                      <c:pt idx="22">
                        <c:v>1.4918999999942173E-3</c:v>
                      </c:pt>
                      <c:pt idx="23">
                        <c:v>1.2838749999843913E-4</c:v>
                      </c:pt>
                      <c:pt idx="24">
                        <c:v>-1.2351250000079972E-3</c:v>
                      </c:pt>
                      <c:pt idx="25">
                        <c:v>-2.5986375000037754E-3</c:v>
                      </c:pt>
                      <c:pt idx="26">
                        <c:v>-3.9621499999960008E-3</c:v>
                      </c:pt>
                      <c:pt idx="27">
                        <c:v>-5.3256624999988844E-3</c:v>
                      </c:pt>
                      <c:pt idx="28">
                        <c:v>-6.6891749999982153E-3</c:v>
                      </c:pt>
                      <c:pt idx="29">
                        <c:v>-8.0526875000010989E-3</c:v>
                      </c:pt>
                      <c:pt idx="30">
                        <c:v>-9.4161999999968771E-3</c:v>
                      </c:pt>
                      <c:pt idx="31">
                        <c:v>-1.0779712500003313E-2</c:v>
                      </c:pt>
                      <c:pt idx="32">
                        <c:v>-1.2143225000002644E-2</c:v>
                      </c:pt>
                      <c:pt idx="33">
                        <c:v>-1.3506737500005528E-2</c:v>
                      </c:pt>
                      <c:pt idx="34">
                        <c:v>-1.4870250000001306E-2</c:v>
                      </c:pt>
                      <c:pt idx="35">
                        <c:v>-1.6233762500007742E-2</c:v>
                      </c:pt>
                      <c:pt idx="36">
                        <c:v>-1.7597274999999968E-2</c:v>
                      </c:pt>
                      <c:pt idx="37">
                        <c:v>-1.8960787499995746E-2</c:v>
                      </c:pt>
                      <c:pt idx="38">
                        <c:v>-2.032429999999863E-2</c:v>
                      </c:pt>
                      <c:pt idx="39">
                        <c:v>-2.168781249999796E-2</c:v>
                      </c:pt>
                      <c:pt idx="40">
                        <c:v>-2.3051325000000844E-2</c:v>
                      </c:pt>
                      <c:pt idx="41">
                        <c:v>-2.4414837500000175E-2</c:v>
                      </c:pt>
                      <c:pt idx="42">
                        <c:v>-2.5778350000003059E-2</c:v>
                      </c:pt>
                      <c:pt idx="43">
                        <c:v>-2.7141862500002389E-2</c:v>
                      </c:pt>
                      <c:pt idx="44">
                        <c:v>-2.8505375000005273E-2</c:v>
                      </c:pt>
                      <c:pt idx="45">
                        <c:v>-2.9868887500004604E-2</c:v>
                      </c:pt>
                      <c:pt idx="46">
                        <c:v>-3.1232400000003935E-2</c:v>
                      </c:pt>
                      <c:pt idx="47">
                        <c:v>-3.259591249999616E-2</c:v>
                      </c:pt>
                      <c:pt idx="48">
                        <c:v>-3.3959424999995491E-2</c:v>
                      </c:pt>
                      <c:pt idx="49">
                        <c:v>-3.5322937500001927E-2</c:v>
                      </c:pt>
                      <c:pt idx="50">
                        <c:v>-3.6686449999997706E-2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0B-40E1-A458-CF55F8F7435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グラフ!$U$5</c15:sqref>
                        </c15:formulaRef>
                      </c:ext>
                    </c:extLst>
                    <c:strCache>
                      <c:ptCount val="1"/>
                      <c:pt idx="0">
                        <c:v>締め代：Δ+30℃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グラフ!$U$6:$U$56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2.5189174999997732E-2</c:v>
                      </c:pt>
                      <c:pt idx="1">
                        <c:v>2.3825662499998401E-2</c:v>
                      </c:pt>
                      <c:pt idx="2">
                        <c:v>2.2462150000002623E-2</c:v>
                      </c:pt>
                      <c:pt idx="3">
                        <c:v>2.1098637499999739E-2</c:v>
                      </c:pt>
                      <c:pt idx="4">
                        <c:v>1.9735124999996856E-2</c:v>
                      </c:pt>
                      <c:pt idx="5">
                        <c:v>1.8371612499993972E-2</c:v>
                      </c:pt>
                      <c:pt idx="6">
                        <c:v>1.7008100000001747E-2</c:v>
                      </c:pt>
                      <c:pt idx="7">
                        <c:v>1.5644587499998863E-2</c:v>
                      </c:pt>
                      <c:pt idx="8">
                        <c:v>1.428107499999598E-2</c:v>
                      </c:pt>
                      <c:pt idx="9">
                        <c:v>1.2917562500000201E-2</c:v>
                      </c:pt>
                      <c:pt idx="10">
                        <c:v>1.1554049999997318E-2</c:v>
                      </c:pt>
                      <c:pt idx="11">
                        <c:v>1.0190537499997987E-2</c:v>
                      </c:pt>
                      <c:pt idx="12">
                        <c:v>8.8270249999951034E-3</c:v>
                      </c:pt>
                      <c:pt idx="13">
                        <c:v>7.4635124999957725E-3</c:v>
                      </c:pt>
                      <c:pt idx="14">
                        <c:v>6.0999999999999943E-3</c:v>
                      </c:pt>
                      <c:pt idx="15">
                        <c:v>4.7364875000042161E-3</c:v>
                      </c:pt>
                      <c:pt idx="16">
                        <c:v>3.3729750000013325E-3</c:v>
                      </c:pt>
                      <c:pt idx="17">
                        <c:v>2.0094625000020017E-3</c:v>
                      </c:pt>
                      <c:pt idx="18">
                        <c:v>6.4594999999556535E-4</c:v>
                      </c:pt>
                      <c:pt idx="19">
                        <c:v>-7.1756250000021282E-4</c:v>
                      </c:pt>
                      <c:pt idx="20">
                        <c:v>-2.0810750000030964E-3</c:v>
                      </c:pt>
                      <c:pt idx="21">
                        <c:v>-3.4445875000024273E-3</c:v>
                      </c:pt>
                      <c:pt idx="22">
                        <c:v>-4.8081000000088636E-3</c:v>
                      </c:pt>
                      <c:pt idx="23">
                        <c:v>-6.1716125000010891E-3</c:v>
                      </c:pt>
                      <c:pt idx="24">
                        <c:v>-7.53512500000042E-3</c:v>
                      </c:pt>
                      <c:pt idx="25">
                        <c:v>-8.8986374999997508E-3</c:v>
                      </c:pt>
                      <c:pt idx="26">
                        <c:v>-1.0262149999999082E-2</c:v>
                      </c:pt>
                      <c:pt idx="27">
                        <c:v>-1.1625662499998413E-2</c:v>
                      </c:pt>
                      <c:pt idx="28">
                        <c:v>-1.2989174999997743E-2</c:v>
                      </c:pt>
                      <c:pt idx="29">
                        <c:v>-1.435268750000418E-2</c:v>
                      </c:pt>
                      <c:pt idx="30">
                        <c:v>-1.5716199999999958E-2</c:v>
                      </c:pt>
                      <c:pt idx="31">
                        <c:v>-1.7079712500006394E-2</c:v>
                      </c:pt>
                      <c:pt idx="32">
                        <c:v>-1.8443225000002172E-2</c:v>
                      </c:pt>
                      <c:pt idx="33">
                        <c:v>-1.9806737500005056E-2</c:v>
                      </c:pt>
                      <c:pt idx="34">
                        <c:v>-2.1170249999997282E-2</c:v>
                      </c:pt>
                      <c:pt idx="35">
                        <c:v>-2.2533762500003718E-2</c:v>
                      </c:pt>
                      <c:pt idx="36">
                        <c:v>-2.3897274999999496E-2</c:v>
                      </c:pt>
                      <c:pt idx="37">
                        <c:v>-2.5260787499995274E-2</c:v>
                      </c:pt>
                      <c:pt idx="38">
                        <c:v>-2.662430000000171E-2</c:v>
                      </c:pt>
                      <c:pt idx="39">
                        <c:v>-2.7987812500001041E-2</c:v>
                      </c:pt>
                      <c:pt idx="40">
                        <c:v>-2.9351325000000372E-2</c:v>
                      </c:pt>
                      <c:pt idx="41">
                        <c:v>-3.0714837499999703E-2</c:v>
                      </c:pt>
                      <c:pt idx="42">
                        <c:v>-3.2078350000006139E-2</c:v>
                      </c:pt>
                      <c:pt idx="43">
                        <c:v>-3.344186250000547E-2</c:v>
                      </c:pt>
                      <c:pt idx="44">
                        <c:v>-3.4805375000001249E-2</c:v>
                      </c:pt>
                      <c:pt idx="45">
                        <c:v>-3.6168887499997027E-2</c:v>
                      </c:pt>
                      <c:pt idx="46">
                        <c:v>-3.7532400000003463E-2</c:v>
                      </c:pt>
                      <c:pt idx="47">
                        <c:v>-3.8895912499999241E-2</c:v>
                      </c:pt>
                      <c:pt idx="48">
                        <c:v>-4.0259424999995019E-2</c:v>
                      </c:pt>
                      <c:pt idx="49">
                        <c:v>-4.1622937500001456E-2</c:v>
                      </c:pt>
                      <c:pt idx="50">
                        <c:v>-4.2986450000000787E-2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0B-40E1-A458-CF55F8F7435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グラフ!$AC$5</c15:sqref>
                        </c15:formulaRef>
                      </c:ext>
                    </c:extLst>
                    <c:strCache>
                      <c:ptCount val="1"/>
                      <c:pt idx="0">
                        <c:v>inner応力:Δ-30℃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グラフ!$AC$6:$AC$56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174.47866834705596</c:v>
                      </c:pt>
                      <c:pt idx="1">
                        <c:v>170.70176786732947</c:v>
                      </c:pt>
                      <c:pt idx="2">
                        <c:v>166.9248673876227</c:v>
                      </c:pt>
                      <c:pt idx="3">
                        <c:v>163.14796690790604</c:v>
                      </c:pt>
                      <c:pt idx="4">
                        <c:v>159.37106642817957</c:v>
                      </c:pt>
                      <c:pt idx="5">
                        <c:v>155.59416594845314</c:v>
                      </c:pt>
                      <c:pt idx="6">
                        <c:v>151.81726546874634</c:v>
                      </c:pt>
                      <c:pt idx="7">
                        <c:v>148.04036498901991</c:v>
                      </c:pt>
                      <c:pt idx="8">
                        <c:v>144.26346450930328</c:v>
                      </c:pt>
                      <c:pt idx="9">
                        <c:v>140.48656402959651</c:v>
                      </c:pt>
                      <c:pt idx="10">
                        <c:v>136.70966354987988</c:v>
                      </c:pt>
                      <c:pt idx="11">
                        <c:v>132.93276307015338</c:v>
                      </c:pt>
                      <c:pt idx="12">
                        <c:v>129.15586259042692</c:v>
                      </c:pt>
                      <c:pt idx="13">
                        <c:v>125.37896211072015</c:v>
                      </c:pt>
                      <c:pt idx="14">
                        <c:v>121.60206163100355</c:v>
                      </c:pt>
                      <c:pt idx="15">
                        <c:v>117.82516115128692</c:v>
                      </c:pt>
                      <c:pt idx="16">
                        <c:v>114.04826067156047</c:v>
                      </c:pt>
                      <c:pt idx="17">
                        <c:v>110.27136019184384</c:v>
                      </c:pt>
                      <c:pt idx="18">
                        <c:v>106.49445971212722</c:v>
                      </c:pt>
                      <c:pt idx="19">
                        <c:v>102.71755923241059</c:v>
                      </c:pt>
                      <c:pt idx="20">
                        <c:v>98.940658752684143</c:v>
                      </c:pt>
                      <c:pt idx="21">
                        <c:v>95.163758272967513</c:v>
                      </c:pt>
                      <c:pt idx="22">
                        <c:v>91.386857793231201</c:v>
                      </c:pt>
                      <c:pt idx="23">
                        <c:v>87.609957313534281</c:v>
                      </c:pt>
                      <c:pt idx="24">
                        <c:v>83.833056833797983</c:v>
                      </c:pt>
                      <c:pt idx="25">
                        <c:v>80.056156354081352</c:v>
                      </c:pt>
                      <c:pt idx="26">
                        <c:v>76.279255874384418</c:v>
                      </c:pt>
                      <c:pt idx="27">
                        <c:v>72.502355394667802</c:v>
                      </c:pt>
                      <c:pt idx="28">
                        <c:v>68.725454914951172</c:v>
                      </c:pt>
                      <c:pt idx="29">
                        <c:v>64.948554435214874</c:v>
                      </c:pt>
                      <c:pt idx="30">
                        <c:v>61.171653955508084</c:v>
                      </c:pt>
                      <c:pt idx="31">
                        <c:v>57.394753475781627</c:v>
                      </c:pt>
                      <c:pt idx="32">
                        <c:v>53.617852996065011</c:v>
                      </c:pt>
                      <c:pt idx="33">
                        <c:v>49.840952516338547</c:v>
                      </c:pt>
                      <c:pt idx="34">
                        <c:v>46.064052036621923</c:v>
                      </c:pt>
                      <c:pt idx="35">
                        <c:v>42.287151556895466</c:v>
                      </c:pt>
                      <c:pt idx="36">
                        <c:v>38.510251077198525</c:v>
                      </c:pt>
                      <c:pt idx="37">
                        <c:v>34.733350597491743</c:v>
                      </c:pt>
                      <c:pt idx="38">
                        <c:v>30.956450117755445</c:v>
                      </c:pt>
                      <c:pt idx="39">
                        <c:v>27.179549638048659</c:v>
                      </c:pt>
                      <c:pt idx="40">
                        <c:v>23.402649158322198</c:v>
                      </c:pt>
                      <c:pt idx="41">
                        <c:v>19.625748678605582</c:v>
                      </c:pt>
                      <c:pt idx="42">
                        <c:v>15.848848198869277</c:v>
                      </c:pt>
                      <c:pt idx="43">
                        <c:v>12.071947719152657</c:v>
                      </c:pt>
                      <c:pt idx="44">
                        <c:v>8.2950472394360357</c:v>
                      </c:pt>
                      <c:pt idx="45">
                        <c:v>4.518146759719416</c:v>
                      </c:pt>
                      <c:pt idx="46">
                        <c:v>0.7412462800027948</c:v>
                      </c:pt>
                      <c:pt idx="47">
                        <c:v>-3.0356541997039854</c:v>
                      </c:pt>
                      <c:pt idx="48">
                        <c:v>-6.8125546794107645</c:v>
                      </c:pt>
                      <c:pt idx="49">
                        <c:v>-10.589455159147068</c:v>
                      </c:pt>
                      <c:pt idx="50">
                        <c:v>-14.366355638863688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10B-40E1-A458-CF55F8F7435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グラフ!$AD$5</c15:sqref>
                        </c15:formulaRef>
                      </c:ext>
                    </c:extLst>
                    <c:strCache>
                      <c:ptCount val="1"/>
                      <c:pt idx="0">
                        <c:v>inner応力:Δ-20℃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グラフ!$AD$6:$AD$56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157.02780301048978</c:v>
                      </c:pt>
                      <c:pt idx="1">
                        <c:v>153.25090253077315</c:v>
                      </c:pt>
                      <c:pt idx="2">
                        <c:v>149.47400205105654</c:v>
                      </c:pt>
                      <c:pt idx="3">
                        <c:v>145.69710157133008</c:v>
                      </c:pt>
                      <c:pt idx="4">
                        <c:v>141.92020109161348</c:v>
                      </c:pt>
                      <c:pt idx="5">
                        <c:v>138.14330061188701</c:v>
                      </c:pt>
                      <c:pt idx="6">
                        <c:v>134.36640013218022</c:v>
                      </c:pt>
                      <c:pt idx="7">
                        <c:v>130.58949965245375</c:v>
                      </c:pt>
                      <c:pt idx="8">
                        <c:v>126.81259917273715</c:v>
                      </c:pt>
                      <c:pt idx="9">
                        <c:v>123.03569869303038</c:v>
                      </c:pt>
                      <c:pt idx="10">
                        <c:v>119.25879821330393</c:v>
                      </c:pt>
                      <c:pt idx="11">
                        <c:v>115.4818977335873</c:v>
                      </c:pt>
                      <c:pt idx="12">
                        <c:v>111.70499725387069</c:v>
                      </c:pt>
                      <c:pt idx="13">
                        <c:v>107.92809677415404</c:v>
                      </c:pt>
                      <c:pt idx="14">
                        <c:v>104.15119629442759</c:v>
                      </c:pt>
                      <c:pt idx="15">
                        <c:v>100.37429581471096</c:v>
                      </c:pt>
                      <c:pt idx="16">
                        <c:v>96.59739533500418</c:v>
                      </c:pt>
                      <c:pt idx="17">
                        <c:v>92.820494855287563</c:v>
                      </c:pt>
                      <c:pt idx="18">
                        <c:v>89.043594375551265</c:v>
                      </c:pt>
                      <c:pt idx="19">
                        <c:v>85.266693895834649</c:v>
                      </c:pt>
                      <c:pt idx="20">
                        <c:v>81.489793416108185</c:v>
                      </c:pt>
                      <c:pt idx="21">
                        <c:v>77.712892936401403</c:v>
                      </c:pt>
                      <c:pt idx="22">
                        <c:v>73.935992456665105</c:v>
                      </c:pt>
                      <c:pt idx="23">
                        <c:v>70.159091976958322</c:v>
                      </c:pt>
                      <c:pt idx="24">
                        <c:v>66.382191497241706</c:v>
                      </c:pt>
                      <c:pt idx="25">
                        <c:v>62.605291017534917</c:v>
                      </c:pt>
                      <c:pt idx="26">
                        <c:v>58.828390537818301</c:v>
                      </c:pt>
                      <c:pt idx="27">
                        <c:v>55.051490058091836</c:v>
                      </c:pt>
                      <c:pt idx="28">
                        <c:v>51.27458957837522</c:v>
                      </c:pt>
                      <c:pt idx="29">
                        <c:v>47.497689098648756</c:v>
                      </c:pt>
                      <c:pt idx="30">
                        <c:v>43.720788618941967</c:v>
                      </c:pt>
                      <c:pt idx="31">
                        <c:v>39.943888139205669</c:v>
                      </c:pt>
                      <c:pt idx="32">
                        <c:v>36.166987659489052</c:v>
                      </c:pt>
                      <c:pt idx="33">
                        <c:v>32.390087179772429</c:v>
                      </c:pt>
                      <c:pt idx="34">
                        <c:v>28.613186700075488</c:v>
                      </c:pt>
                      <c:pt idx="35">
                        <c:v>24.83628622033919</c:v>
                      </c:pt>
                      <c:pt idx="36">
                        <c:v>21.059385740622567</c:v>
                      </c:pt>
                      <c:pt idx="37">
                        <c:v>17.282485260925629</c:v>
                      </c:pt>
                      <c:pt idx="38">
                        <c:v>13.505584781189327</c:v>
                      </c:pt>
                      <c:pt idx="39">
                        <c:v>9.7286843014727058</c:v>
                      </c:pt>
                      <c:pt idx="40">
                        <c:v>5.9517838217462451</c:v>
                      </c:pt>
                      <c:pt idx="41">
                        <c:v>2.1748833420296241</c:v>
                      </c:pt>
                      <c:pt idx="42">
                        <c:v>-1.6020171376968373</c:v>
                      </c:pt>
                      <c:pt idx="43">
                        <c:v>-5.3789176174134576</c:v>
                      </c:pt>
                      <c:pt idx="44">
                        <c:v>-9.1558180971202372</c:v>
                      </c:pt>
                      <c:pt idx="45">
                        <c:v>-12.932718576836857</c:v>
                      </c:pt>
                      <c:pt idx="46">
                        <c:v>-16.709619056563319</c:v>
                      </c:pt>
                      <c:pt idx="47">
                        <c:v>-20.486519536270098</c:v>
                      </c:pt>
                      <c:pt idx="48">
                        <c:v>-24.263420015986718</c:v>
                      </c:pt>
                      <c:pt idx="49">
                        <c:v>-28.040320495723023</c:v>
                      </c:pt>
                      <c:pt idx="50">
                        <c:v>-31.817220975429805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0B-40E1-A458-CF55F8F7435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グラフ!$AE$5</c15:sqref>
                        </c15:formulaRef>
                      </c:ext>
                    </c:extLst>
                    <c:strCache>
                      <c:ptCount val="1"/>
                      <c:pt idx="0">
                        <c:v>inner応力:Δ-10℃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グラフ!$AE$6:$AE$56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139.57693767392368</c:v>
                      </c:pt>
                      <c:pt idx="1">
                        <c:v>135.80003719419722</c:v>
                      </c:pt>
                      <c:pt idx="2">
                        <c:v>132.02313671449042</c:v>
                      </c:pt>
                      <c:pt idx="3">
                        <c:v>128.24623623476396</c:v>
                      </c:pt>
                      <c:pt idx="4">
                        <c:v>124.46933575504735</c:v>
                      </c:pt>
                      <c:pt idx="5">
                        <c:v>120.6924352753209</c:v>
                      </c:pt>
                      <c:pt idx="6">
                        <c:v>116.91553479561411</c:v>
                      </c:pt>
                      <c:pt idx="7">
                        <c:v>113.13863431588764</c:v>
                      </c:pt>
                      <c:pt idx="8">
                        <c:v>109.36173383616119</c:v>
                      </c:pt>
                      <c:pt idx="9">
                        <c:v>105.58483335646426</c:v>
                      </c:pt>
                      <c:pt idx="10">
                        <c:v>101.80793287674766</c:v>
                      </c:pt>
                      <c:pt idx="11">
                        <c:v>98.031032397021178</c:v>
                      </c:pt>
                      <c:pt idx="12">
                        <c:v>94.254131917294728</c:v>
                      </c:pt>
                      <c:pt idx="13">
                        <c:v>90.477231437578098</c:v>
                      </c:pt>
                      <c:pt idx="14">
                        <c:v>86.700330957871316</c:v>
                      </c:pt>
                      <c:pt idx="15">
                        <c:v>82.923430478154685</c:v>
                      </c:pt>
                      <c:pt idx="16">
                        <c:v>79.146529998428235</c:v>
                      </c:pt>
                      <c:pt idx="17">
                        <c:v>75.369629518711605</c:v>
                      </c:pt>
                      <c:pt idx="18">
                        <c:v>71.592729038975307</c:v>
                      </c:pt>
                      <c:pt idx="19">
                        <c:v>67.815828559268525</c:v>
                      </c:pt>
                      <c:pt idx="20">
                        <c:v>64.038928079542075</c:v>
                      </c:pt>
                      <c:pt idx="21">
                        <c:v>60.262027599825451</c:v>
                      </c:pt>
                      <c:pt idx="22">
                        <c:v>56.485127120108821</c:v>
                      </c:pt>
                      <c:pt idx="23">
                        <c:v>52.708226640411894</c:v>
                      </c:pt>
                      <c:pt idx="24">
                        <c:v>48.931326160675582</c:v>
                      </c:pt>
                      <c:pt idx="25">
                        <c:v>45.154425680958958</c:v>
                      </c:pt>
                      <c:pt idx="26">
                        <c:v>41.377525201242342</c:v>
                      </c:pt>
                      <c:pt idx="27">
                        <c:v>37.600624721525719</c:v>
                      </c:pt>
                      <c:pt idx="28">
                        <c:v>33.823724241809103</c:v>
                      </c:pt>
                      <c:pt idx="29">
                        <c:v>30.046823762072798</c:v>
                      </c:pt>
                      <c:pt idx="30">
                        <c:v>26.269923282366015</c:v>
                      </c:pt>
                      <c:pt idx="31">
                        <c:v>22.493022802639558</c:v>
                      </c:pt>
                      <c:pt idx="32">
                        <c:v>18.716122322942617</c:v>
                      </c:pt>
                      <c:pt idx="33">
                        <c:v>14.939221843216156</c:v>
                      </c:pt>
                      <c:pt idx="34">
                        <c:v>11.162321363499537</c:v>
                      </c:pt>
                      <c:pt idx="35">
                        <c:v>7.385420883773075</c:v>
                      </c:pt>
                      <c:pt idx="36">
                        <c:v>3.6085204040564527</c:v>
                      </c:pt>
                      <c:pt idx="37">
                        <c:v>-0.16838007565032631</c:v>
                      </c:pt>
                      <c:pt idx="38">
                        <c:v>-3.9452805553866295</c:v>
                      </c:pt>
                      <c:pt idx="39">
                        <c:v>-7.7221810351032483</c:v>
                      </c:pt>
                      <c:pt idx="40">
                        <c:v>-11.499081514819872</c:v>
                      </c:pt>
                      <c:pt idx="41">
                        <c:v>-15.27598199453649</c:v>
                      </c:pt>
                      <c:pt idx="42">
                        <c:v>-19.052882474253114</c:v>
                      </c:pt>
                      <c:pt idx="43">
                        <c:v>-22.82978295396973</c:v>
                      </c:pt>
                      <c:pt idx="44">
                        <c:v>-26.606683433686356</c:v>
                      </c:pt>
                      <c:pt idx="45">
                        <c:v>-30.383583913402973</c:v>
                      </c:pt>
                      <c:pt idx="46">
                        <c:v>-34.160484393139278</c:v>
                      </c:pt>
                      <c:pt idx="47">
                        <c:v>-37.937384872846053</c:v>
                      </c:pt>
                      <c:pt idx="48">
                        <c:v>-41.714285352552828</c:v>
                      </c:pt>
                      <c:pt idx="49">
                        <c:v>-45.491185832289133</c:v>
                      </c:pt>
                      <c:pt idx="50">
                        <c:v>-49.268086312005757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0B-40E1-A458-CF55F8F7435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グラフ!$AF$5</c15:sqref>
                        </c15:formulaRef>
                      </c:ext>
                    </c:extLst>
                    <c:strCache>
                      <c:ptCount val="1"/>
                      <c:pt idx="0">
                        <c:v>inner応力:Δ0℃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グラフ!$AF$6:$AF$56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122.12607233735757</c:v>
                      </c:pt>
                      <c:pt idx="1">
                        <c:v>118.34917185763111</c:v>
                      </c:pt>
                      <c:pt idx="2">
                        <c:v>114.57227137792434</c:v>
                      </c:pt>
                      <c:pt idx="3">
                        <c:v>110.79537089819785</c:v>
                      </c:pt>
                      <c:pt idx="4">
                        <c:v>107.01847041848123</c:v>
                      </c:pt>
                      <c:pt idx="5">
                        <c:v>103.24156993875476</c:v>
                      </c:pt>
                      <c:pt idx="6">
                        <c:v>99.464669459038149</c:v>
                      </c:pt>
                      <c:pt idx="7">
                        <c:v>95.687768979321532</c:v>
                      </c:pt>
                      <c:pt idx="8">
                        <c:v>91.910868499604916</c:v>
                      </c:pt>
                      <c:pt idx="9">
                        <c:v>88.133968019898148</c:v>
                      </c:pt>
                      <c:pt idx="10">
                        <c:v>84.357067540171684</c:v>
                      </c:pt>
                      <c:pt idx="11">
                        <c:v>80.58016706044522</c:v>
                      </c:pt>
                      <c:pt idx="12">
                        <c:v>76.803266580738438</c:v>
                      </c:pt>
                      <c:pt idx="13">
                        <c:v>73.026366101021821</c:v>
                      </c:pt>
                      <c:pt idx="14">
                        <c:v>69.249465621295357</c:v>
                      </c:pt>
                      <c:pt idx="15">
                        <c:v>65.472565141578727</c:v>
                      </c:pt>
                      <c:pt idx="16">
                        <c:v>61.69566466185227</c:v>
                      </c:pt>
                      <c:pt idx="17">
                        <c:v>57.918764182145495</c:v>
                      </c:pt>
                      <c:pt idx="18">
                        <c:v>54.141863702409196</c:v>
                      </c:pt>
                      <c:pt idx="19">
                        <c:v>50.364963222692573</c:v>
                      </c:pt>
                      <c:pt idx="20">
                        <c:v>46.588062742985791</c:v>
                      </c:pt>
                      <c:pt idx="21">
                        <c:v>42.811162263279016</c:v>
                      </c:pt>
                      <c:pt idx="22">
                        <c:v>39.034261783542711</c:v>
                      </c:pt>
                      <c:pt idx="23">
                        <c:v>35.257361303835928</c:v>
                      </c:pt>
                      <c:pt idx="24">
                        <c:v>31.480460824099623</c:v>
                      </c:pt>
                      <c:pt idx="25">
                        <c:v>27.703560344392844</c:v>
                      </c:pt>
                      <c:pt idx="26">
                        <c:v>23.926659864676225</c:v>
                      </c:pt>
                      <c:pt idx="27">
                        <c:v>20.149759384949764</c:v>
                      </c:pt>
                      <c:pt idx="28">
                        <c:v>16.372858905233148</c:v>
                      </c:pt>
                      <c:pt idx="29">
                        <c:v>12.595958425506682</c:v>
                      </c:pt>
                      <c:pt idx="30">
                        <c:v>8.819057945819587</c:v>
                      </c:pt>
                      <c:pt idx="31">
                        <c:v>5.0421574660832817</c:v>
                      </c:pt>
                      <c:pt idx="32">
                        <c:v>1.2652569863666621</c:v>
                      </c:pt>
                      <c:pt idx="33">
                        <c:v>-2.5116434933499585</c:v>
                      </c:pt>
                      <c:pt idx="34">
                        <c:v>-6.2885439730665782</c:v>
                      </c:pt>
                      <c:pt idx="35">
                        <c:v>-10.065444452802883</c:v>
                      </c:pt>
                      <c:pt idx="36">
                        <c:v>-13.8423449325195</c:v>
                      </c:pt>
                      <c:pt idx="37">
                        <c:v>-17.619245412226284</c:v>
                      </c:pt>
                      <c:pt idx="38">
                        <c:v>-21.396145891952742</c:v>
                      </c:pt>
                      <c:pt idx="39">
                        <c:v>-25.173046371669365</c:v>
                      </c:pt>
                      <c:pt idx="40">
                        <c:v>-28.949946851376147</c:v>
                      </c:pt>
                      <c:pt idx="41">
                        <c:v>-32.726847331092763</c:v>
                      </c:pt>
                      <c:pt idx="42">
                        <c:v>-36.503747810819227</c:v>
                      </c:pt>
                      <c:pt idx="43">
                        <c:v>-40.280648290535851</c:v>
                      </c:pt>
                      <c:pt idx="44">
                        <c:v>-44.057548770262308</c:v>
                      </c:pt>
                      <c:pt idx="45">
                        <c:v>-47.834449249978924</c:v>
                      </c:pt>
                      <c:pt idx="46">
                        <c:v>-51.611349729705395</c:v>
                      </c:pt>
                      <c:pt idx="47">
                        <c:v>-55.388250209412178</c:v>
                      </c:pt>
                      <c:pt idx="48">
                        <c:v>-59.165150689128787</c:v>
                      </c:pt>
                      <c:pt idx="49">
                        <c:v>-62.942051168865092</c:v>
                      </c:pt>
                      <c:pt idx="50">
                        <c:v>-66.71895164856204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0B-40E1-A458-CF55F8F74358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グラフ!$AG$5</c15:sqref>
                        </c15:formulaRef>
                      </c:ext>
                    </c:extLst>
                    <c:strCache>
                      <c:ptCount val="1"/>
                      <c:pt idx="0">
                        <c:v>inner応力:Δ+10℃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グラフ!$AG$6:$AG$56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104.67520700079146</c:v>
                      </c:pt>
                      <c:pt idx="1">
                        <c:v>100.89830652106498</c:v>
                      </c:pt>
                      <c:pt idx="2">
                        <c:v>97.121406041358199</c:v>
                      </c:pt>
                      <c:pt idx="3">
                        <c:v>93.344505561631749</c:v>
                      </c:pt>
                      <c:pt idx="4">
                        <c:v>89.567605081905299</c:v>
                      </c:pt>
                      <c:pt idx="5">
                        <c:v>85.790704602188654</c:v>
                      </c:pt>
                      <c:pt idx="6">
                        <c:v>82.013804122481901</c:v>
                      </c:pt>
                      <c:pt idx="7">
                        <c:v>78.236903642755422</c:v>
                      </c:pt>
                      <c:pt idx="8">
                        <c:v>74.460003163028958</c:v>
                      </c:pt>
                      <c:pt idx="9">
                        <c:v>70.683102683322176</c:v>
                      </c:pt>
                      <c:pt idx="10">
                        <c:v>66.906202203615408</c:v>
                      </c:pt>
                      <c:pt idx="11">
                        <c:v>63.129301723888943</c:v>
                      </c:pt>
                      <c:pt idx="12">
                        <c:v>59.352401244162472</c:v>
                      </c:pt>
                      <c:pt idx="13">
                        <c:v>55.575500764445863</c:v>
                      </c:pt>
                      <c:pt idx="14">
                        <c:v>51.798600284719392</c:v>
                      </c:pt>
                      <c:pt idx="15">
                        <c:v>48.021699805012624</c:v>
                      </c:pt>
                      <c:pt idx="16">
                        <c:v>44.244799325286159</c:v>
                      </c:pt>
                      <c:pt idx="17">
                        <c:v>40.467898845569543</c:v>
                      </c:pt>
                      <c:pt idx="18">
                        <c:v>36.690998365852913</c:v>
                      </c:pt>
                      <c:pt idx="19">
                        <c:v>32.914097886146138</c:v>
                      </c:pt>
                      <c:pt idx="20">
                        <c:v>29.137197406419681</c:v>
                      </c:pt>
                      <c:pt idx="21">
                        <c:v>25.360296926703054</c:v>
                      </c:pt>
                      <c:pt idx="22">
                        <c:v>21.583396446966749</c:v>
                      </c:pt>
                      <c:pt idx="23">
                        <c:v>17.806495967269814</c:v>
                      </c:pt>
                      <c:pt idx="24">
                        <c:v>14.029595487533513</c:v>
                      </c:pt>
                      <c:pt idx="25">
                        <c:v>10.252695007816893</c:v>
                      </c:pt>
                      <c:pt idx="26">
                        <c:v>6.4757945281002707</c:v>
                      </c:pt>
                      <c:pt idx="27">
                        <c:v>2.6988940483836505</c:v>
                      </c:pt>
                      <c:pt idx="28">
                        <c:v>-1.0780064313132884</c:v>
                      </c:pt>
                      <c:pt idx="29">
                        <c:v>-4.854906911049591</c:v>
                      </c:pt>
                      <c:pt idx="30">
                        <c:v>-8.6318073907563697</c:v>
                      </c:pt>
                      <c:pt idx="31">
                        <c:v>-12.408707870482832</c:v>
                      </c:pt>
                      <c:pt idx="32">
                        <c:v>-16.185608350199455</c:v>
                      </c:pt>
                      <c:pt idx="33">
                        <c:v>-19.962508829925913</c:v>
                      </c:pt>
                      <c:pt idx="34">
                        <c:v>-23.739409309642532</c:v>
                      </c:pt>
                      <c:pt idx="35">
                        <c:v>-27.516309789378838</c:v>
                      </c:pt>
                      <c:pt idx="36">
                        <c:v>-31.29321026908562</c:v>
                      </c:pt>
                      <c:pt idx="37">
                        <c:v>-35.070110748792402</c:v>
                      </c:pt>
                      <c:pt idx="38">
                        <c:v>-38.847011228509018</c:v>
                      </c:pt>
                      <c:pt idx="39">
                        <c:v>-42.623911708225641</c:v>
                      </c:pt>
                      <c:pt idx="40">
                        <c:v>-46.400812187942257</c:v>
                      </c:pt>
                      <c:pt idx="41">
                        <c:v>-50.177712667658881</c:v>
                      </c:pt>
                      <c:pt idx="42">
                        <c:v>-53.954613147395186</c:v>
                      </c:pt>
                      <c:pt idx="43">
                        <c:v>-57.731513627111802</c:v>
                      </c:pt>
                      <c:pt idx="44">
                        <c:v>-61.508414106828425</c:v>
                      </c:pt>
                      <c:pt idx="45">
                        <c:v>-65.285314586545041</c:v>
                      </c:pt>
                      <c:pt idx="46">
                        <c:v>-69.06221506628134</c:v>
                      </c:pt>
                      <c:pt idx="47">
                        <c:v>-72.839115545988122</c:v>
                      </c:pt>
                      <c:pt idx="48">
                        <c:v>-76.616016025685056</c:v>
                      </c:pt>
                      <c:pt idx="49">
                        <c:v>-80.39291650541152</c:v>
                      </c:pt>
                      <c:pt idx="50">
                        <c:v>-84.169816985128151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0B-40E1-A458-CF55F8F74358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グラフ!$AH$5</c15:sqref>
                        </c15:formulaRef>
                      </c:ext>
                    </c:extLst>
                    <c:strCache>
                      <c:ptCount val="1"/>
                      <c:pt idx="0">
                        <c:v>inner応力:Δ+20℃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グラフ!$AH$6:$AH$56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87.224341664225321</c:v>
                      </c:pt>
                      <c:pt idx="1">
                        <c:v>83.447441184498871</c:v>
                      </c:pt>
                      <c:pt idx="2">
                        <c:v>79.670540704782255</c:v>
                      </c:pt>
                      <c:pt idx="3">
                        <c:v>75.893640225065639</c:v>
                      </c:pt>
                      <c:pt idx="4">
                        <c:v>72.116739745349022</c:v>
                      </c:pt>
                      <c:pt idx="5">
                        <c:v>68.339839265622558</c:v>
                      </c:pt>
                      <c:pt idx="6">
                        <c:v>64.562938785905928</c:v>
                      </c:pt>
                      <c:pt idx="7">
                        <c:v>60.786038306179478</c:v>
                      </c:pt>
                      <c:pt idx="8">
                        <c:v>57.009137826472688</c:v>
                      </c:pt>
                      <c:pt idx="9">
                        <c:v>53.232237346765913</c:v>
                      </c:pt>
                      <c:pt idx="10">
                        <c:v>49.455336867039456</c:v>
                      </c:pt>
                      <c:pt idx="11">
                        <c:v>45.678436387312978</c:v>
                      </c:pt>
                      <c:pt idx="12">
                        <c:v>41.901535907586521</c:v>
                      </c:pt>
                      <c:pt idx="13">
                        <c:v>38.124635427879738</c:v>
                      </c:pt>
                      <c:pt idx="14">
                        <c:v>34.347734948153288</c:v>
                      </c:pt>
                      <c:pt idx="15">
                        <c:v>30.570834468436662</c:v>
                      </c:pt>
                      <c:pt idx="16">
                        <c:v>26.793933988729886</c:v>
                      </c:pt>
                      <c:pt idx="17">
                        <c:v>23.017033509023108</c:v>
                      </c:pt>
                      <c:pt idx="18">
                        <c:v>19.240133029286802</c:v>
                      </c:pt>
                      <c:pt idx="19">
                        <c:v>15.463232549570183</c:v>
                      </c:pt>
                      <c:pt idx="20">
                        <c:v>11.686332069843722</c:v>
                      </c:pt>
                      <c:pt idx="21">
                        <c:v>7.9094315901369407</c:v>
                      </c:pt>
                      <c:pt idx="22">
                        <c:v>4.1325311104006381</c:v>
                      </c:pt>
                      <c:pt idx="23">
                        <c:v>0.35563063069385892</c:v>
                      </c:pt>
                      <c:pt idx="24">
                        <c:v>-3.4212698490424436</c:v>
                      </c:pt>
                      <c:pt idx="25">
                        <c:v>-7.1981703287492236</c:v>
                      </c:pt>
                      <c:pt idx="26">
                        <c:v>-10.97507080844616</c:v>
                      </c:pt>
                      <c:pt idx="27">
                        <c:v>-14.751971288172623</c:v>
                      </c:pt>
                      <c:pt idx="28">
                        <c:v>-18.528871767889246</c:v>
                      </c:pt>
                      <c:pt idx="29">
                        <c:v>-22.30577224761571</c:v>
                      </c:pt>
                      <c:pt idx="30">
                        <c:v>-26.082672727322482</c:v>
                      </c:pt>
                      <c:pt idx="31">
                        <c:v>-29.859573207058787</c:v>
                      </c:pt>
                      <c:pt idx="32">
                        <c:v>-33.63647368677541</c:v>
                      </c:pt>
                      <c:pt idx="33">
                        <c:v>-37.413374166501875</c:v>
                      </c:pt>
                      <c:pt idx="34">
                        <c:v>-41.19027464620865</c:v>
                      </c:pt>
                      <c:pt idx="35">
                        <c:v>-44.967175125944955</c:v>
                      </c:pt>
                      <c:pt idx="36">
                        <c:v>-48.744075605641882</c:v>
                      </c:pt>
                      <c:pt idx="37">
                        <c:v>-52.520976085348671</c:v>
                      </c:pt>
                      <c:pt idx="38">
                        <c:v>-56.297876565075128</c:v>
                      </c:pt>
                      <c:pt idx="39">
                        <c:v>-60.074777044791759</c:v>
                      </c:pt>
                      <c:pt idx="40">
                        <c:v>-63.851677524518209</c:v>
                      </c:pt>
                      <c:pt idx="41">
                        <c:v>-67.628578004234825</c:v>
                      </c:pt>
                      <c:pt idx="42">
                        <c:v>-71.405478483961289</c:v>
                      </c:pt>
                      <c:pt idx="43">
                        <c:v>-75.182378963677905</c:v>
                      </c:pt>
                      <c:pt idx="44">
                        <c:v>-78.959279443404384</c:v>
                      </c:pt>
                      <c:pt idx="45">
                        <c:v>-82.736179923121</c:v>
                      </c:pt>
                      <c:pt idx="46">
                        <c:v>-86.513080402837616</c:v>
                      </c:pt>
                      <c:pt idx="47">
                        <c:v>-90.289980882534564</c:v>
                      </c:pt>
                      <c:pt idx="48">
                        <c:v>-94.066881362251152</c:v>
                      </c:pt>
                      <c:pt idx="49">
                        <c:v>-97.843781841987493</c:v>
                      </c:pt>
                      <c:pt idx="50">
                        <c:v>-101.62068232169426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0B-40E1-A458-CF55F8F74358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グラフ!$AI$5</c15:sqref>
                        </c15:formulaRef>
                      </c:ext>
                    </c:extLst>
                    <c:strCache>
                      <c:ptCount val="1"/>
                      <c:pt idx="0">
                        <c:v>inner応力:Δ+30℃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グラフ!$AI$6:$AI$56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69.773476327649377</c:v>
                      </c:pt>
                      <c:pt idx="1">
                        <c:v>65.99657584793276</c:v>
                      </c:pt>
                      <c:pt idx="2">
                        <c:v>62.219675368225978</c:v>
                      </c:pt>
                      <c:pt idx="3">
                        <c:v>58.442774888499521</c:v>
                      </c:pt>
                      <c:pt idx="4">
                        <c:v>54.665874408773057</c:v>
                      </c:pt>
                      <c:pt idx="5">
                        <c:v>50.8889739290466</c:v>
                      </c:pt>
                      <c:pt idx="6">
                        <c:v>47.112073449349658</c:v>
                      </c:pt>
                      <c:pt idx="7">
                        <c:v>43.335172969623194</c:v>
                      </c:pt>
                      <c:pt idx="8">
                        <c:v>39.55827248989673</c:v>
                      </c:pt>
                      <c:pt idx="9">
                        <c:v>35.781372010189955</c:v>
                      </c:pt>
                      <c:pt idx="10">
                        <c:v>32.004471530463491</c:v>
                      </c:pt>
                      <c:pt idx="11">
                        <c:v>28.227571050746867</c:v>
                      </c:pt>
                      <c:pt idx="12">
                        <c:v>24.450670571020414</c:v>
                      </c:pt>
                      <c:pt idx="13">
                        <c:v>20.673770091303791</c:v>
                      </c:pt>
                      <c:pt idx="14">
                        <c:v>16.896869611597012</c:v>
                      </c:pt>
                      <c:pt idx="15">
                        <c:v>13.119969131890233</c:v>
                      </c:pt>
                      <c:pt idx="16">
                        <c:v>9.3430686521637707</c:v>
                      </c:pt>
                      <c:pt idx="17">
                        <c:v>5.5661681724471501</c:v>
                      </c:pt>
                      <c:pt idx="18">
                        <c:v>1.7892676927108471</c:v>
                      </c:pt>
                      <c:pt idx="19">
                        <c:v>-1.9876327869959323</c:v>
                      </c:pt>
                      <c:pt idx="20">
                        <c:v>-5.7645332667223945</c:v>
                      </c:pt>
                      <c:pt idx="21">
                        <c:v>-9.5414337464390151</c:v>
                      </c:pt>
                      <c:pt idx="22">
                        <c:v>-13.318334226175315</c:v>
                      </c:pt>
                      <c:pt idx="23">
                        <c:v>-17.095234705872254</c:v>
                      </c:pt>
                      <c:pt idx="24">
                        <c:v>-20.872135185588874</c:v>
                      </c:pt>
                      <c:pt idx="25">
                        <c:v>-24.649035665305501</c:v>
                      </c:pt>
                      <c:pt idx="26">
                        <c:v>-28.425936145022121</c:v>
                      </c:pt>
                      <c:pt idx="27">
                        <c:v>-32.202836624738737</c:v>
                      </c:pt>
                      <c:pt idx="28">
                        <c:v>-35.979737104455353</c:v>
                      </c:pt>
                      <c:pt idx="29">
                        <c:v>-39.756637584191658</c:v>
                      </c:pt>
                      <c:pt idx="30">
                        <c:v>-43.533538063898447</c:v>
                      </c:pt>
                      <c:pt idx="31">
                        <c:v>-47.310438543634746</c:v>
                      </c:pt>
                      <c:pt idx="32">
                        <c:v>-51.087339023341521</c:v>
                      </c:pt>
                      <c:pt idx="33">
                        <c:v>-54.864239503067992</c:v>
                      </c:pt>
                      <c:pt idx="34">
                        <c:v>-58.641139982764933</c:v>
                      </c:pt>
                      <c:pt idx="35">
                        <c:v>-62.418040462501232</c:v>
                      </c:pt>
                      <c:pt idx="36">
                        <c:v>-66.194940942208007</c:v>
                      </c:pt>
                      <c:pt idx="37">
                        <c:v>-69.971841421914789</c:v>
                      </c:pt>
                      <c:pt idx="38">
                        <c:v>-73.748741901651073</c:v>
                      </c:pt>
                      <c:pt idx="39">
                        <c:v>-77.525642381367703</c:v>
                      </c:pt>
                      <c:pt idx="40">
                        <c:v>-81.302542861084333</c:v>
                      </c:pt>
                      <c:pt idx="41">
                        <c:v>-85.079443340800964</c:v>
                      </c:pt>
                      <c:pt idx="42">
                        <c:v>-88.856343820537248</c:v>
                      </c:pt>
                      <c:pt idx="43">
                        <c:v>-92.633244300253864</c:v>
                      </c:pt>
                      <c:pt idx="44">
                        <c:v>-96.41014477996066</c:v>
                      </c:pt>
                      <c:pt idx="45">
                        <c:v>-100.18704525966743</c:v>
                      </c:pt>
                      <c:pt idx="46">
                        <c:v>-103.96394573940374</c:v>
                      </c:pt>
                      <c:pt idx="47">
                        <c:v>-107.74084621911051</c:v>
                      </c:pt>
                      <c:pt idx="48">
                        <c:v>-111.51774669881728</c:v>
                      </c:pt>
                      <c:pt idx="49">
                        <c:v>-115.29464717855359</c:v>
                      </c:pt>
                      <c:pt idx="50">
                        <c:v>-119.07154765827023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0B-40E1-A458-CF55F8F74358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グラフ!$AK$5</c15:sqref>
                        </c15:formulaRef>
                      </c:ext>
                    </c:extLst>
                    <c:strCache>
                      <c:ptCount val="1"/>
                      <c:pt idx="0">
                        <c:v>outer応力:Δ-30℃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グラフ!$AK$6:$AK$56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178.51300530432499</c:v>
                      </c:pt>
                      <c:pt idx="1">
                        <c:v>174.64877444012433</c:v>
                      </c:pt>
                      <c:pt idx="2">
                        <c:v>170.78454357594384</c:v>
                      </c:pt>
                      <c:pt idx="3">
                        <c:v>166.92031271175327</c:v>
                      </c:pt>
                      <c:pt idx="4">
                        <c:v>163.05608184755266</c:v>
                      </c:pt>
                      <c:pt idx="5">
                        <c:v>159.19185098335205</c:v>
                      </c:pt>
                      <c:pt idx="6">
                        <c:v>155.32762011917157</c:v>
                      </c:pt>
                      <c:pt idx="7">
                        <c:v>151.46338925497093</c:v>
                      </c:pt>
                      <c:pt idx="8">
                        <c:v>147.59915839078039</c:v>
                      </c:pt>
                      <c:pt idx="9">
                        <c:v>143.73492752659993</c:v>
                      </c:pt>
                      <c:pt idx="10">
                        <c:v>139.87069666240939</c:v>
                      </c:pt>
                      <c:pt idx="11">
                        <c:v>136.00646579820875</c:v>
                      </c:pt>
                      <c:pt idx="12">
                        <c:v>132.14223493400809</c:v>
                      </c:pt>
                      <c:pt idx="13">
                        <c:v>128.27800406982763</c:v>
                      </c:pt>
                      <c:pt idx="14">
                        <c:v>124.41377320563709</c:v>
                      </c:pt>
                      <c:pt idx="15">
                        <c:v>120.54954234144654</c:v>
                      </c:pt>
                      <c:pt idx="16">
                        <c:v>116.6853114772459</c:v>
                      </c:pt>
                      <c:pt idx="17">
                        <c:v>112.82108061305536</c:v>
                      </c:pt>
                      <c:pt idx="18">
                        <c:v>108.95684974886481</c:v>
                      </c:pt>
                      <c:pt idx="19">
                        <c:v>105.09261888467427</c:v>
                      </c:pt>
                      <c:pt idx="20">
                        <c:v>101.22838802047364</c:v>
                      </c:pt>
                      <c:pt idx="21">
                        <c:v>97.364157156283099</c:v>
                      </c:pt>
                      <c:pt idx="22">
                        <c:v>93.499926292072388</c:v>
                      </c:pt>
                      <c:pt idx="23">
                        <c:v>89.635695427901993</c:v>
                      </c:pt>
                      <c:pt idx="24">
                        <c:v>85.771464563691296</c:v>
                      </c:pt>
                      <c:pt idx="25">
                        <c:v>81.90723369950075</c:v>
                      </c:pt>
                      <c:pt idx="26">
                        <c:v>78.043002835330341</c:v>
                      </c:pt>
                      <c:pt idx="27">
                        <c:v>74.178771971139781</c:v>
                      </c:pt>
                      <c:pt idx="28">
                        <c:v>70.314541106949235</c:v>
                      </c:pt>
                      <c:pt idx="29">
                        <c:v>66.450310242738539</c:v>
                      </c:pt>
                      <c:pt idx="30">
                        <c:v>62.586079378558054</c:v>
                      </c:pt>
                      <c:pt idx="31">
                        <c:v>58.72184851435744</c:v>
                      </c:pt>
                      <c:pt idx="32">
                        <c:v>54.85761765016688</c:v>
                      </c:pt>
                      <c:pt idx="33">
                        <c:v>50.993386785966258</c:v>
                      </c:pt>
                      <c:pt idx="34">
                        <c:v>47.129155921775713</c:v>
                      </c:pt>
                      <c:pt idx="35">
                        <c:v>43.264925057575091</c:v>
                      </c:pt>
                      <c:pt idx="36">
                        <c:v>39.400694193404675</c:v>
                      </c:pt>
                      <c:pt idx="37">
                        <c:v>35.53646332922419</c:v>
                      </c:pt>
                      <c:pt idx="38">
                        <c:v>31.672232465013501</c:v>
                      </c:pt>
                      <c:pt idx="39">
                        <c:v>27.808001600833016</c:v>
                      </c:pt>
                      <c:pt idx="40">
                        <c:v>23.943770736632395</c:v>
                      </c:pt>
                      <c:pt idx="41">
                        <c:v>20.079539872441845</c:v>
                      </c:pt>
                      <c:pt idx="42">
                        <c:v>16.215309008231156</c:v>
                      </c:pt>
                      <c:pt idx="43">
                        <c:v>12.351078144040606</c:v>
                      </c:pt>
                      <c:pt idx="44">
                        <c:v>8.4868472798500534</c:v>
                      </c:pt>
                      <c:pt idx="45">
                        <c:v>4.6226164156595022</c:v>
                      </c:pt>
                      <c:pt idx="46">
                        <c:v>0.75838555146895015</c:v>
                      </c:pt>
                      <c:pt idx="47">
                        <c:v>-3.1058453127115335</c:v>
                      </c:pt>
                      <c:pt idx="48">
                        <c:v>-6.9700761768920172</c:v>
                      </c:pt>
                      <c:pt idx="49">
                        <c:v>-10.834307041102706</c:v>
                      </c:pt>
                      <c:pt idx="50">
                        <c:v>-14.698537905293255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10B-40E1-A458-CF55F8F74358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グラフ!$AL$5</c15:sqref>
                        </c15:formulaRef>
                      </c:ext>
                    </c:extLst>
                    <c:strCache>
                      <c:ptCount val="1"/>
                      <c:pt idx="0">
                        <c:v>outer応力:Δ-20℃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グラフ!$AL$6:$AL$56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160.65863693996405</c:v>
                      </c:pt>
                      <c:pt idx="1">
                        <c:v>156.79440607577351</c:v>
                      </c:pt>
                      <c:pt idx="2">
                        <c:v>152.93017521158296</c:v>
                      </c:pt>
                      <c:pt idx="3">
                        <c:v>149.06594434738233</c:v>
                      </c:pt>
                      <c:pt idx="4">
                        <c:v>145.20171348319178</c:v>
                      </c:pt>
                      <c:pt idx="5">
                        <c:v>141.33748261899117</c:v>
                      </c:pt>
                      <c:pt idx="6">
                        <c:v>137.47325175481069</c:v>
                      </c:pt>
                      <c:pt idx="7">
                        <c:v>133.60902089061008</c:v>
                      </c:pt>
                      <c:pt idx="8">
                        <c:v>129.74479002641951</c:v>
                      </c:pt>
                      <c:pt idx="9">
                        <c:v>125.88055916223905</c:v>
                      </c:pt>
                      <c:pt idx="10">
                        <c:v>122.01632829803845</c:v>
                      </c:pt>
                      <c:pt idx="11">
                        <c:v>118.1520974338479</c:v>
                      </c:pt>
                      <c:pt idx="12">
                        <c:v>114.28786656965733</c:v>
                      </c:pt>
                      <c:pt idx="13">
                        <c:v>110.42363570546676</c:v>
                      </c:pt>
                      <c:pt idx="14">
                        <c:v>106.55940484126614</c:v>
                      </c:pt>
                      <c:pt idx="15">
                        <c:v>102.6951739770756</c:v>
                      </c:pt>
                      <c:pt idx="16">
                        <c:v>98.830943112895099</c:v>
                      </c:pt>
                      <c:pt idx="17">
                        <c:v>94.966712248704553</c:v>
                      </c:pt>
                      <c:pt idx="18">
                        <c:v>91.102481384493871</c:v>
                      </c:pt>
                      <c:pt idx="19">
                        <c:v>87.238250520303325</c:v>
                      </c:pt>
                      <c:pt idx="20">
                        <c:v>83.374019656102703</c:v>
                      </c:pt>
                      <c:pt idx="21">
                        <c:v>79.509788791922219</c:v>
                      </c:pt>
                      <c:pt idx="22">
                        <c:v>75.645557927711522</c:v>
                      </c:pt>
                      <c:pt idx="23">
                        <c:v>71.781327063531037</c:v>
                      </c:pt>
                      <c:pt idx="24">
                        <c:v>67.917096199340492</c:v>
                      </c:pt>
                      <c:pt idx="25">
                        <c:v>64.052865335160007</c:v>
                      </c:pt>
                      <c:pt idx="26">
                        <c:v>60.188634470969461</c:v>
                      </c:pt>
                      <c:pt idx="27">
                        <c:v>56.32440360676884</c:v>
                      </c:pt>
                      <c:pt idx="28">
                        <c:v>52.460172742578294</c:v>
                      </c:pt>
                      <c:pt idx="29">
                        <c:v>48.595941878377666</c:v>
                      </c:pt>
                      <c:pt idx="30">
                        <c:v>44.731711014197181</c:v>
                      </c:pt>
                      <c:pt idx="31">
                        <c:v>40.867480149986498</c:v>
                      </c:pt>
                      <c:pt idx="32">
                        <c:v>37.003249285795945</c:v>
                      </c:pt>
                      <c:pt idx="33">
                        <c:v>33.139018421605392</c:v>
                      </c:pt>
                      <c:pt idx="34">
                        <c:v>29.27478755743498</c:v>
                      </c:pt>
                      <c:pt idx="35">
                        <c:v>25.410556693224287</c:v>
                      </c:pt>
                      <c:pt idx="36">
                        <c:v>21.546325829033734</c:v>
                      </c:pt>
                      <c:pt idx="37">
                        <c:v>17.682094964863321</c:v>
                      </c:pt>
                      <c:pt idx="38">
                        <c:v>13.817864100652633</c:v>
                      </c:pt>
                      <c:pt idx="39">
                        <c:v>9.9536332364620801</c:v>
                      </c:pt>
                      <c:pt idx="40">
                        <c:v>6.0894023722614605</c:v>
                      </c:pt>
                      <c:pt idx="41">
                        <c:v>2.225171508070908</c:v>
                      </c:pt>
                      <c:pt idx="42">
                        <c:v>-1.639059356129712</c:v>
                      </c:pt>
                      <c:pt idx="43">
                        <c:v>-5.5032902203202632</c:v>
                      </c:pt>
                      <c:pt idx="44">
                        <c:v>-9.3675210845007459</c:v>
                      </c:pt>
                      <c:pt idx="45">
                        <c:v>-13.231751948691297</c:v>
                      </c:pt>
                      <c:pt idx="46">
                        <c:v>-17.095982812891918</c:v>
                      </c:pt>
                      <c:pt idx="47">
                        <c:v>-20.960213677072399</c:v>
                      </c:pt>
                      <c:pt idx="48">
                        <c:v>-24.824444541262952</c:v>
                      </c:pt>
                      <c:pt idx="49">
                        <c:v>-28.688675405473646</c:v>
                      </c:pt>
                      <c:pt idx="50">
                        <c:v>-32.552906269654123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10B-40E1-A458-CF55F8F74358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グラフ!$AM$5</c15:sqref>
                        </c15:formulaRef>
                      </c:ext>
                    </c:extLst>
                    <c:strCache>
                      <c:ptCount val="1"/>
                      <c:pt idx="0">
                        <c:v>outer応力:Δ-10℃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グラフ!$AM$6:$AM$56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142.8042685756032</c:v>
                      </c:pt>
                      <c:pt idx="1">
                        <c:v>138.94003771140257</c:v>
                      </c:pt>
                      <c:pt idx="2">
                        <c:v>135.07580684722208</c:v>
                      </c:pt>
                      <c:pt idx="3">
                        <c:v>131.21157598302148</c:v>
                      </c:pt>
                      <c:pt idx="4">
                        <c:v>127.34734511883092</c:v>
                      </c:pt>
                      <c:pt idx="5">
                        <c:v>123.48311425463031</c:v>
                      </c:pt>
                      <c:pt idx="6">
                        <c:v>119.61888339044982</c:v>
                      </c:pt>
                      <c:pt idx="7">
                        <c:v>115.7546525262492</c:v>
                      </c:pt>
                      <c:pt idx="8">
                        <c:v>111.89042166204858</c:v>
                      </c:pt>
                      <c:pt idx="9">
                        <c:v>108.02619079787817</c:v>
                      </c:pt>
                      <c:pt idx="10">
                        <c:v>104.16195993368763</c:v>
                      </c:pt>
                      <c:pt idx="11">
                        <c:v>100.297729069487</c:v>
                      </c:pt>
                      <c:pt idx="12">
                        <c:v>96.433498205286398</c:v>
                      </c:pt>
                      <c:pt idx="13">
                        <c:v>92.569267341095838</c:v>
                      </c:pt>
                      <c:pt idx="14">
                        <c:v>88.705036476915353</c:v>
                      </c:pt>
                      <c:pt idx="15">
                        <c:v>84.840805612724793</c:v>
                      </c:pt>
                      <c:pt idx="16">
                        <c:v>80.976574748524172</c:v>
                      </c:pt>
                      <c:pt idx="17">
                        <c:v>77.112343884333626</c:v>
                      </c:pt>
                      <c:pt idx="18">
                        <c:v>73.248113020122929</c:v>
                      </c:pt>
                      <c:pt idx="19">
                        <c:v>69.383882155942445</c:v>
                      </c:pt>
                      <c:pt idx="20">
                        <c:v>65.519651291741837</c:v>
                      </c:pt>
                      <c:pt idx="21">
                        <c:v>61.655420427551277</c:v>
                      </c:pt>
                      <c:pt idx="22">
                        <c:v>57.791189563360732</c:v>
                      </c:pt>
                      <c:pt idx="23">
                        <c:v>53.926958699190315</c:v>
                      </c:pt>
                      <c:pt idx="24">
                        <c:v>50.062727834979626</c:v>
                      </c:pt>
                      <c:pt idx="25">
                        <c:v>46.198496970789066</c:v>
                      </c:pt>
                      <c:pt idx="26">
                        <c:v>42.33426610659852</c:v>
                      </c:pt>
                      <c:pt idx="27">
                        <c:v>38.470035242407967</c:v>
                      </c:pt>
                      <c:pt idx="28">
                        <c:v>34.605804378217421</c:v>
                      </c:pt>
                      <c:pt idx="29">
                        <c:v>30.741573514006731</c:v>
                      </c:pt>
                      <c:pt idx="30">
                        <c:v>26.877342649826247</c:v>
                      </c:pt>
                      <c:pt idx="31">
                        <c:v>23.013111785625625</c:v>
                      </c:pt>
                      <c:pt idx="32">
                        <c:v>19.148880921455209</c:v>
                      </c:pt>
                      <c:pt idx="33">
                        <c:v>15.28465005725459</c:v>
                      </c:pt>
                      <c:pt idx="34">
                        <c:v>11.420419193064038</c:v>
                      </c:pt>
                      <c:pt idx="35">
                        <c:v>7.5561883288634188</c:v>
                      </c:pt>
                      <c:pt idx="36">
                        <c:v>3.6919574646728663</c:v>
                      </c:pt>
                      <c:pt idx="37">
                        <c:v>-0.17227339950761678</c:v>
                      </c:pt>
                      <c:pt idx="38">
                        <c:v>-4.0365042637183057</c:v>
                      </c:pt>
                      <c:pt idx="39">
                        <c:v>-7.9007351279088569</c:v>
                      </c:pt>
                      <c:pt idx="40">
                        <c:v>-11.764965992099411</c:v>
                      </c:pt>
                      <c:pt idx="41">
                        <c:v>-15.629196856289958</c:v>
                      </c:pt>
                      <c:pt idx="42">
                        <c:v>-19.493427720480511</c:v>
                      </c:pt>
                      <c:pt idx="43">
                        <c:v>-23.357658584671061</c:v>
                      </c:pt>
                      <c:pt idx="44">
                        <c:v>-27.221889448861617</c:v>
                      </c:pt>
                      <c:pt idx="45">
                        <c:v>-31.08612031305217</c:v>
                      </c:pt>
                      <c:pt idx="46">
                        <c:v>-34.95035117726286</c:v>
                      </c:pt>
                      <c:pt idx="47">
                        <c:v>-38.814582041443337</c:v>
                      </c:pt>
                      <c:pt idx="48">
                        <c:v>-42.678812905623822</c:v>
                      </c:pt>
                      <c:pt idx="49">
                        <c:v>-46.543043769834512</c:v>
                      </c:pt>
                      <c:pt idx="50">
                        <c:v>-50.407274634025065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10B-40E1-A458-CF55F8F74358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グラフ!$AN$5</c15:sqref>
                        </c15:formulaRef>
                      </c:ext>
                    </c:extLst>
                    <c:strCache>
                      <c:ptCount val="1"/>
                      <c:pt idx="0">
                        <c:v>outer応力:Δ0℃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グラフ!$AN$6:$AN$56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124.94990021124234</c:v>
                      </c:pt>
                      <c:pt idx="1">
                        <c:v>121.08566934704173</c:v>
                      </c:pt>
                      <c:pt idx="2">
                        <c:v>117.22143848286125</c:v>
                      </c:pt>
                      <c:pt idx="3">
                        <c:v>113.35720761866061</c:v>
                      </c:pt>
                      <c:pt idx="4">
                        <c:v>109.49297675447005</c:v>
                      </c:pt>
                      <c:pt idx="5">
                        <c:v>105.62874589026944</c:v>
                      </c:pt>
                      <c:pt idx="6">
                        <c:v>101.76451502607888</c:v>
                      </c:pt>
                      <c:pt idx="7">
                        <c:v>97.900284161888337</c:v>
                      </c:pt>
                      <c:pt idx="8">
                        <c:v>94.036053297697791</c:v>
                      </c:pt>
                      <c:pt idx="9">
                        <c:v>90.171822433517306</c:v>
                      </c:pt>
                      <c:pt idx="10">
                        <c:v>86.307591569316685</c:v>
                      </c:pt>
                      <c:pt idx="11">
                        <c:v>82.443360705116064</c:v>
                      </c:pt>
                      <c:pt idx="12">
                        <c:v>78.579129840935579</c:v>
                      </c:pt>
                      <c:pt idx="13">
                        <c:v>74.714898976745033</c:v>
                      </c:pt>
                      <c:pt idx="14">
                        <c:v>70.850668112544412</c:v>
                      </c:pt>
                      <c:pt idx="15">
                        <c:v>66.986437248353852</c:v>
                      </c:pt>
                      <c:pt idx="16">
                        <c:v>63.122206384153252</c:v>
                      </c:pt>
                      <c:pt idx="17">
                        <c:v>59.257975519972753</c:v>
                      </c:pt>
                      <c:pt idx="18">
                        <c:v>55.39374465576207</c:v>
                      </c:pt>
                      <c:pt idx="19">
                        <c:v>51.529513791571517</c:v>
                      </c:pt>
                      <c:pt idx="20">
                        <c:v>47.665282927391026</c:v>
                      </c:pt>
                      <c:pt idx="21">
                        <c:v>43.801052063210548</c:v>
                      </c:pt>
                      <c:pt idx="22">
                        <c:v>39.936821198999858</c:v>
                      </c:pt>
                      <c:pt idx="23">
                        <c:v>36.072590334819374</c:v>
                      </c:pt>
                      <c:pt idx="24">
                        <c:v>32.208359470608684</c:v>
                      </c:pt>
                      <c:pt idx="25">
                        <c:v>28.344128606428203</c:v>
                      </c:pt>
                      <c:pt idx="26">
                        <c:v>24.47989774223765</c:v>
                      </c:pt>
                      <c:pt idx="27">
                        <c:v>20.615666878037032</c:v>
                      </c:pt>
                      <c:pt idx="28">
                        <c:v>16.75143601384648</c:v>
                      </c:pt>
                      <c:pt idx="29">
                        <c:v>12.887205149645858</c:v>
                      </c:pt>
                      <c:pt idx="30">
                        <c:v>9.0229742854855139</c:v>
                      </c:pt>
                      <c:pt idx="31">
                        <c:v>5.1587434212748242</c:v>
                      </c:pt>
                      <c:pt idx="32">
                        <c:v>1.294512557084273</c:v>
                      </c:pt>
                      <c:pt idx="33">
                        <c:v>-2.5697183071062786</c:v>
                      </c:pt>
                      <c:pt idx="34">
                        <c:v>-6.4339491712968311</c:v>
                      </c:pt>
                      <c:pt idx="35">
                        <c:v>-10.298180035507519</c:v>
                      </c:pt>
                      <c:pt idx="36">
                        <c:v>-14.16241089969807</c:v>
                      </c:pt>
                      <c:pt idx="37">
                        <c:v>-18.026641763878555</c:v>
                      </c:pt>
                      <c:pt idx="38">
                        <c:v>-21.890872628079173</c:v>
                      </c:pt>
                      <c:pt idx="39">
                        <c:v>-25.755103492269729</c:v>
                      </c:pt>
                      <c:pt idx="40">
                        <c:v>-29.619334356450214</c:v>
                      </c:pt>
                      <c:pt idx="41">
                        <c:v>-33.483565220640763</c:v>
                      </c:pt>
                      <c:pt idx="42">
                        <c:v>-37.347796084841384</c:v>
                      </c:pt>
                      <c:pt idx="43">
                        <c:v>-41.212026949031937</c:v>
                      </c:pt>
                      <c:pt idx="44">
                        <c:v>-45.076257813232552</c:v>
                      </c:pt>
                      <c:pt idx="45">
                        <c:v>-48.940488677423104</c:v>
                      </c:pt>
                      <c:pt idx="46">
                        <c:v>-52.804719541623726</c:v>
                      </c:pt>
                      <c:pt idx="47">
                        <c:v>-56.668950405804217</c:v>
                      </c:pt>
                      <c:pt idx="48">
                        <c:v>-60.533181269994763</c:v>
                      </c:pt>
                      <c:pt idx="49">
                        <c:v>-64.397412134205439</c:v>
                      </c:pt>
                      <c:pt idx="50">
                        <c:v>-68.261642998375862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10B-40E1-A458-CF55F8F74358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グラフ!$AO$5</c15:sqref>
                        </c15:formulaRef>
                      </c:ext>
                    </c:extLst>
                    <c:strCache>
                      <c:ptCount val="1"/>
                      <c:pt idx="0">
                        <c:v>outer応力:Δ+10℃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グラフ!$AO$6:$AO$56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107.09553184688147</c:v>
                      </c:pt>
                      <c:pt idx="1">
                        <c:v>103.23130098268085</c:v>
                      </c:pt>
                      <c:pt idx="2">
                        <c:v>99.367070118500365</c:v>
                      </c:pt>
                      <c:pt idx="3">
                        <c:v>95.502839254299744</c:v>
                      </c:pt>
                      <c:pt idx="4">
                        <c:v>91.638608390099137</c:v>
                      </c:pt>
                      <c:pt idx="5">
                        <c:v>87.774377525908562</c:v>
                      </c:pt>
                      <c:pt idx="6">
                        <c:v>83.910146661728106</c:v>
                      </c:pt>
                      <c:pt idx="7">
                        <c:v>80.045915797527485</c:v>
                      </c:pt>
                      <c:pt idx="8">
                        <c:v>76.181684933326849</c:v>
                      </c:pt>
                      <c:pt idx="9">
                        <c:v>72.317454069146365</c:v>
                      </c:pt>
                      <c:pt idx="10">
                        <c:v>68.45322320496588</c:v>
                      </c:pt>
                      <c:pt idx="11">
                        <c:v>64.588992340765259</c:v>
                      </c:pt>
                      <c:pt idx="12">
                        <c:v>60.724761476564645</c:v>
                      </c:pt>
                      <c:pt idx="13">
                        <c:v>56.860530612374099</c:v>
                      </c:pt>
                      <c:pt idx="14">
                        <c:v>52.996299748173463</c:v>
                      </c:pt>
                      <c:pt idx="15">
                        <c:v>49.132068883993</c:v>
                      </c:pt>
                      <c:pt idx="16">
                        <c:v>45.267838019792372</c:v>
                      </c:pt>
                      <c:pt idx="17">
                        <c:v>41.403607155601819</c:v>
                      </c:pt>
                      <c:pt idx="18">
                        <c:v>37.539376291411266</c:v>
                      </c:pt>
                      <c:pt idx="19">
                        <c:v>33.675145427230788</c:v>
                      </c:pt>
                      <c:pt idx="20">
                        <c:v>29.810914563030163</c:v>
                      </c:pt>
                      <c:pt idx="21">
                        <c:v>25.94668369883961</c:v>
                      </c:pt>
                      <c:pt idx="22">
                        <c:v>22.082452834628917</c:v>
                      </c:pt>
                      <c:pt idx="23">
                        <c:v>18.218221970458508</c:v>
                      </c:pt>
                      <c:pt idx="24">
                        <c:v>14.353991106247818</c:v>
                      </c:pt>
                      <c:pt idx="25">
                        <c:v>10.489760242057267</c:v>
                      </c:pt>
                      <c:pt idx="26">
                        <c:v>6.6255293778667141</c:v>
                      </c:pt>
                      <c:pt idx="27">
                        <c:v>2.761298513676163</c:v>
                      </c:pt>
                      <c:pt idx="28">
                        <c:v>-1.1029323504942521</c:v>
                      </c:pt>
                      <c:pt idx="29">
                        <c:v>-4.9671632147049412</c:v>
                      </c:pt>
                      <c:pt idx="30">
                        <c:v>-8.8313940788854239</c:v>
                      </c:pt>
                      <c:pt idx="31">
                        <c:v>-12.695624943086044</c:v>
                      </c:pt>
                      <c:pt idx="32">
                        <c:v>-16.559855807276598</c:v>
                      </c:pt>
                      <c:pt idx="33">
                        <c:v>-20.424086671477216</c:v>
                      </c:pt>
                      <c:pt idx="34">
                        <c:v>-24.288317535667769</c:v>
                      </c:pt>
                      <c:pt idx="35">
                        <c:v>-28.152548399878462</c:v>
                      </c:pt>
                      <c:pt idx="36">
                        <c:v>-32.01677926405894</c:v>
                      </c:pt>
                      <c:pt idx="37">
                        <c:v>-35.881010128239424</c:v>
                      </c:pt>
                      <c:pt idx="38">
                        <c:v>-39.745240992429977</c:v>
                      </c:pt>
                      <c:pt idx="39">
                        <c:v>-43.609471856620523</c:v>
                      </c:pt>
                      <c:pt idx="40">
                        <c:v>-47.473702720811076</c:v>
                      </c:pt>
                      <c:pt idx="41">
                        <c:v>-51.337933585001629</c:v>
                      </c:pt>
                      <c:pt idx="42">
                        <c:v>-55.202164449212319</c:v>
                      </c:pt>
                      <c:pt idx="43">
                        <c:v>-59.066395313402865</c:v>
                      </c:pt>
                      <c:pt idx="44">
                        <c:v>-62.930626177593425</c:v>
                      </c:pt>
                      <c:pt idx="45">
                        <c:v>-66.79485704178397</c:v>
                      </c:pt>
                      <c:pt idx="46">
                        <c:v>-70.659087905994653</c:v>
                      </c:pt>
                      <c:pt idx="47">
                        <c:v>-74.523318770175138</c:v>
                      </c:pt>
                      <c:pt idx="48">
                        <c:v>-78.387549634345561</c:v>
                      </c:pt>
                      <c:pt idx="49">
                        <c:v>-82.251780498546168</c:v>
                      </c:pt>
                      <c:pt idx="50">
                        <c:v>-86.116011362736728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10B-40E1-A458-CF55F8F74358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グラフ!$AP$5</c15:sqref>
                        </c15:formulaRef>
                      </c:ext>
                    </c:extLst>
                    <c:strCache>
                      <c:ptCount val="1"/>
                      <c:pt idx="0">
                        <c:v>outer応力:Δ+20℃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グラフ!$AP$6:$AP$56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89.241163482520591</c:v>
                      </c:pt>
                      <c:pt idx="1">
                        <c:v>85.376932618319984</c:v>
                      </c:pt>
                      <c:pt idx="2">
                        <c:v>81.512701754129438</c:v>
                      </c:pt>
                      <c:pt idx="3">
                        <c:v>77.648470889938892</c:v>
                      </c:pt>
                      <c:pt idx="4">
                        <c:v>73.784240025748332</c:v>
                      </c:pt>
                      <c:pt idx="5">
                        <c:v>69.920009161547711</c:v>
                      </c:pt>
                      <c:pt idx="6">
                        <c:v>66.055778297357151</c:v>
                      </c:pt>
                      <c:pt idx="7">
                        <c:v>62.191547433156536</c:v>
                      </c:pt>
                      <c:pt idx="8">
                        <c:v>58.327316568976052</c:v>
                      </c:pt>
                      <c:pt idx="9">
                        <c:v>54.463085704795567</c:v>
                      </c:pt>
                      <c:pt idx="10">
                        <c:v>50.598854840594953</c:v>
                      </c:pt>
                      <c:pt idx="11">
                        <c:v>46.734623976394317</c:v>
                      </c:pt>
                      <c:pt idx="12">
                        <c:v>42.870393112193703</c:v>
                      </c:pt>
                      <c:pt idx="13">
                        <c:v>39.006162248013219</c:v>
                      </c:pt>
                      <c:pt idx="14">
                        <c:v>35.141931383812604</c:v>
                      </c:pt>
                      <c:pt idx="15">
                        <c:v>31.277700519622044</c:v>
                      </c:pt>
                      <c:pt idx="16">
                        <c:v>27.41346965544157</c:v>
                      </c:pt>
                      <c:pt idx="17">
                        <c:v>23.549238791261086</c:v>
                      </c:pt>
                      <c:pt idx="18">
                        <c:v>19.685007927050396</c:v>
                      </c:pt>
                      <c:pt idx="19">
                        <c:v>15.820777062859845</c:v>
                      </c:pt>
                      <c:pt idx="20">
                        <c:v>11.956546198659225</c:v>
                      </c:pt>
                      <c:pt idx="21">
                        <c:v>8.0923153344787409</c:v>
                      </c:pt>
                      <c:pt idx="22">
                        <c:v>4.228084470268052</c:v>
                      </c:pt>
                      <c:pt idx="23">
                        <c:v>0.36385360608756895</c:v>
                      </c:pt>
                      <c:pt idx="24">
                        <c:v>-3.5003772581231196</c:v>
                      </c:pt>
                      <c:pt idx="25">
                        <c:v>-7.3646081223036033</c:v>
                      </c:pt>
                      <c:pt idx="26">
                        <c:v>-11.228838986474017</c:v>
                      </c:pt>
                      <c:pt idx="27">
                        <c:v>-15.093069850674638</c:v>
                      </c:pt>
                      <c:pt idx="28">
                        <c:v>-18.957300714865188</c:v>
                      </c:pt>
                      <c:pt idx="29">
                        <c:v>-22.821531579065812</c:v>
                      </c:pt>
                      <c:pt idx="30">
                        <c:v>-26.685762443246293</c:v>
                      </c:pt>
                      <c:pt idx="31">
                        <c:v>-30.549993307456976</c:v>
                      </c:pt>
                      <c:pt idx="32">
                        <c:v>-34.41422417164754</c:v>
                      </c:pt>
                      <c:pt idx="33">
                        <c:v>-38.278455035848154</c:v>
                      </c:pt>
                      <c:pt idx="34">
                        <c:v>-42.142685900028646</c:v>
                      </c:pt>
                      <c:pt idx="35">
                        <c:v>-46.006916764239335</c:v>
                      </c:pt>
                      <c:pt idx="36">
                        <c:v>-49.871147628409737</c:v>
                      </c:pt>
                      <c:pt idx="37">
                        <c:v>-53.735378492590222</c:v>
                      </c:pt>
                      <c:pt idx="38">
                        <c:v>-57.599609356790836</c:v>
                      </c:pt>
                      <c:pt idx="39">
                        <c:v>-61.463840220981396</c:v>
                      </c:pt>
                      <c:pt idx="40">
                        <c:v>-65.328071085182017</c:v>
                      </c:pt>
                      <c:pt idx="41">
                        <c:v>-69.192301949372563</c:v>
                      </c:pt>
                      <c:pt idx="42">
                        <c:v>-73.056532813573185</c:v>
                      </c:pt>
                      <c:pt idx="43">
                        <c:v>-76.92076367776373</c:v>
                      </c:pt>
                      <c:pt idx="44">
                        <c:v>-80.784994541964366</c:v>
                      </c:pt>
                      <c:pt idx="45">
                        <c:v>-84.649225406154912</c:v>
                      </c:pt>
                      <c:pt idx="46">
                        <c:v>-88.513456270345458</c:v>
                      </c:pt>
                      <c:pt idx="47">
                        <c:v>-92.377687134515881</c:v>
                      </c:pt>
                      <c:pt idx="48">
                        <c:v>-96.241917998706413</c:v>
                      </c:pt>
                      <c:pt idx="49">
                        <c:v>-100.10614886291714</c:v>
                      </c:pt>
                      <c:pt idx="50">
                        <c:v>-103.97037972709759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10B-40E1-A458-CF55F8F74358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グラフ!$AQ$5</c15:sqref>
                        </c15:formulaRef>
                      </c:ext>
                    </c:extLst>
                    <c:strCache>
                      <c:ptCount val="1"/>
                      <c:pt idx="0">
                        <c:v>outer応力:Δ+30℃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グラフ!$AQ$6:$AQ$56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71.386795118149664</c:v>
                      </c:pt>
                      <c:pt idx="1">
                        <c:v>67.522564253959118</c:v>
                      </c:pt>
                      <c:pt idx="2">
                        <c:v>63.658333389778633</c:v>
                      </c:pt>
                      <c:pt idx="3">
                        <c:v>59.794102525578012</c:v>
                      </c:pt>
                      <c:pt idx="4">
                        <c:v>55.929871661377391</c:v>
                      </c:pt>
                      <c:pt idx="5">
                        <c:v>52.065640797176769</c:v>
                      </c:pt>
                      <c:pt idx="6">
                        <c:v>48.201409933006353</c:v>
                      </c:pt>
                      <c:pt idx="7">
                        <c:v>44.337179068805732</c:v>
                      </c:pt>
                      <c:pt idx="8">
                        <c:v>40.47294820460511</c:v>
                      </c:pt>
                      <c:pt idx="9">
                        <c:v>36.608717340424626</c:v>
                      </c:pt>
                      <c:pt idx="10">
                        <c:v>32.744486476224012</c:v>
                      </c:pt>
                      <c:pt idx="11">
                        <c:v>28.880255612033455</c:v>
                      </c:pt>
                      <c:pt idx="12">
                        <c:v>25.016024747832841</c:v>
                      </c:pt>
                      <c:pt idx="13">
                        <c:v>21.151793883642288</c:v>
                      </c:pt>
                      <c:pt idx="14">
                        <c:v>17.2875630194618</c:v>
                      </c:pt>
                      <c:pt idx="15">
                        <c:v>13.423332155281322</c:v>
                      </c:pt>
                      <c:pt idx="16">
                        <c:v>9.5591012910806992</c:v>
                      </c:pt>
                      <c:pt idx="17">
                        <c:v>5.6948704268901471</c:v>
                      </c:pt>
                      <c:pt idx="18">
                        <c:v>1.8306395626794587</c:v>
                      </c:pt>
                      <c:pt idx="19">
                        <c:v>-2.0335913015010245</c:v>
                      </c:pt>
                      <c:pt idx="20">
                        <c:v>-5.897822165701645</c:v>
                      </c:pt>
                      <c:pt idx="21">
                        <c:v>-9.762053029892197</c:v>
                      </c:pt>
                      <c:pt idx="22">
                        <c:v>-13.626283894102885</c:v>
                      </c:pt>
                      <c:pt idx="23">
                        <c:v>-17.490514758273299</c:v>
                      </c:pt>
                      <c:pt idx="24">
                        <c:v>-21.354745622463852</c:v>
                      </c:pt>
                      <c:pt idx="25">
                        <c:v>-25.218976486654405</c:v>
                      </c:pt>
                      <c:pt idx="26">
                        <c:v>-29.083207350844955</c:v>
                      </c:pt>
                      <c:pt idx="27">
                        <c:v>-32.947438215035504</c:v>
                      </c:pt>
                      <c:pt idx="28">
                        <c:v>-36.811669079226057</c:v>
                      </c:pt>
                      <c:pt idx="29">
                        <c:v>-40.67589994343674</c:v>
                      </c:pt>
                      <c:pt idx="30">
                        <c:v>-44.540130807617231</c:v>
                      </c:pt>
                      <c:pt idx="31">
                        <c:v>-48.404361671827921</c:v>
                      </c:pt>
                      <c:pt idx="32">
                        <c:v>-52.268592536008406</c:v>
                      </c:pt>
                      <c:pt idx="33">
                        <c:v>-56.132823400209027</c:v>
                      </c:pt>
                      <c:pt idx="34">
                        <c:v>-59.997054264379443</c:v>
                      </c:pt>
                      <c:pt idx="35">
                        <c:v>-63.861285128590133</c:v>
                      </c:pt>
                      <c:pt idx="36">
                        <c:v>-67.72551599277061</c:v>
                      </c:pt>
                      <c:pt idx="37">
                        <c:v>-71.589746856951095</c:v>
                      </c:pt>
                      <c:pt idx="38">
                        <c:v>-75.453977721161777</c:v>
                      </c:pt>
                      <c:pt idx="39">
                        <c:v>-79.318208585352323</c:v>
                      </c:pt>
                      <c:pt idx="40">
                        <c:v>-83.182439449542898</c:v>
                      </c:pt>
                      <c:pt idx="41">
                        <c:v>-87.046670313733443</c:v>
                      </c:pt>
                      <c:pt idx="42">
                        <c:v>-90.910901177944126</c:v>
                      </c:pt>
                      <c:pt idx="43">
                        <c:v>-94.775132042134672</c:v>
                      </c:pt>
                      <c:pt idx="44">
                        <c:v>-98.639362906315156</c:v>
                      </c:pt>
                      <c:pt idx="45">
                        <c:v>-102.50359377049566</c:v>
                      </c:pt>
                      <c:pt idx="46">
                        <c:v>-106.36782463470632</c:v>
                      </c:pt>
                      <c:pt idx="47">
                        <c:v>-110.23205549888682</c:v>
                      </c:pt>
                      <c:pt idx="48">
                        <c:v>-114.09628636306729</c:v>
                      </c:pt>
                      <c:pt idx="49">
                        <c:v>-117.96051722727799</c:v>
                      </c:pt>
                      <c:pt idx="50">
                        <c:v>-121.82474809146856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4B-463C-AA48-EB9AD9F039DE}"/>
                  </c:ext>
                </c:extLst>
              </c15:ser>
            </c15:filteredScatterSeries>
          </c:ext>
        </c:extLst>
      </c:scatterChart>
      <c:valAx>
        <c:axId val="1878419104"/>
        <c:scaling>
          <c:orientation val="minMax"/>
          <c:max val="20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グラフ!$N$5</c:f>
              <c:strCache>
                <c:ptCount val="1"/>
                <c:pt idx="0">
                  <c:v>inner温度[℃]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401216"/>
        <c:crosses val="autoZero"/>
        <c:crossBetween val="midCat"/>
      </c:valAx>
      <c:valAx>
        <c:axId val="187840121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グラフ!$V$4</c:f>
              <c:strCache>
                <c:ptCount val="1"/>
                <c:pt idx="0">
                  <c:v>半径方向応力[MPa]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419104"/>
        <c:crossesAt val="-1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温度 </a:t>
            </a:r>
            <a:r>
              <a:rPr lang="en-US" altLang="ja-JP"/>
              <a:t>vs Outer</a:t>
            </a:r>
            <a:r>
              <a:rPr lang="ja-JP" altLang="en-US"/>
              <a:t>応力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2"/>
          <c:order val="22"/>
          <c:tx>
            <c:strRef>
              <c:f>グラフ!$AK$5</c:f>
              <c:strCache>
                <c:ptCount val="1"/>
                <c:pt idx="0">
                  <c:v>outer応力:Δ-30℃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グラフ!$AK$6:$AK$56</c:f>
              <c:numCache>
                <c:formatCode>0.0</c:formatCode>
                <c:ptCount val="51"/>
                <c:pt idx="0">
                  <c:v>178.51300530432499</c:v>
                </c:pt>
                <c:pt idx="1">
                  <c:v>174.64877444012433</c:v>
                </c:pt>
                <c:pt idx="2">
                  <c:v>170.78454357594384</c:v>
                </c:pt>
                <c:pt idx="3">
                  <c:v>166.92031271175327</c:v>
                </c:pt>
                <c:pt idx="4">
                  <c:v>163.05608184755266</c:v>
                </c:pt>
                <c:pt idx="5">
                  <c:v>159.19185098335205</c:v>
                </c:pt>
                <c:pt idx="6">
                  <c:v>155.32762011917157</c:v>
                </c:pt>
                <c:pt idx="7">
                  <c:v>151.46338925497093</c:v>
                </c:pt>
                <c:pt idx="8">
                  <c:v>147.59915839078039</c:v>
                </c:pt>
                <c:pt idx="9">
                  <c:v>143.73492752659993</c:v>
                </c:pt>
                <c:pt idx="10">
                  <c:v>139.87069666240939</c:v>
                </c:pt>
                <c:pt idx="11">
                  <c:v>136.00646579820875</c:v>
                </c:pt>
                <c:pt idx="12">
                  <c:v>132.14223493400809</c:v>
                </c:pt>
                <c:pt idx="13">
                  <c:v>128.27800406982763</c:v>
                </c:pt>
                <c:pt idx="14">
                  <c:v>124.41377320563709</c:v>
                </c:pt>
                <c:pt idx="15">
                  <c:v>120.54954234144654</c:v>
                </c:pt>
                <c:pt idx="16">
                  <c:v>116.6853114772459</c:v>
                </c:pt>
                <c:pt idx="17">
                  <c:v>112.82108061305536</c:v>
                </c:pt>
                <c:pt idx="18">
                  <c:v>108.95684974886481</c:v>
                </c:pt>
                <c:pt idx="19">
                  <c:v>105.09261888467427</c:v>
                </c:pt>
                <c:pt idx="20">
                  <c:v>101.22838802047364</c:v>
                </c:pt>
                <c:pt idx="21">
                  <c:v>97.364157156283099</c:v>
                </c:pt>
                <c:pt idx="22">
                  <c:v>93.499926292072388</c:v>
                </c:pt>
                <c:pt idx="23">
                  <c:v>89.635695427901993</c:v>
                </c:pt>
                <c:pt idx="24">
                  <c:v>85.771464563691296</c:v>
                </c:pt>
                <c:pt idx="25">
                  <c:v>81.90723369950075</c:v>
                </c:pt>
                <c:pt idx="26">
                  <c:v>78.043002835330341</c:v>
                </c:pt>
                <c:pt idx="27">
                  <c:v>74.178771971139781</c:v>
                </c:pt>
                <c:pt idx="28">
                  <c:v>70.314541106949235</c:v>
                </c:pt>
                <c:pt idx="29">
                  <c:v>66.450310242738539</c:v>
                </c:pt>
                <c:pt idx="30">
                  <c:v>62.586079378558054</c:v>
                </c:pt>
                <c:pt idx="31">
                  <c:v>58.72184851435744</c:v>
                </c:pt>
                <c:pt idx="32">
                  <c:v>54.85761765016688</c:v>
                </c:pt>
                <c:pt idx="33">
                  <c:v>50.993386785966258</c:v>
                </c:pt>
                <c:pt idx="34">
                  <c:v>47.129155921775713</c:v>
                </c:pt>
                <c:pt idx="35">
                  <c:v>43.264925057575091</c:v>
                </c:pt>
                <c:pt idx="36">
                  <c:v>39.400694193404675</c:v>
                </c:pt>
                <c:pt idx="37">
                  <c:v>35.53646332922419</c:v>
                </c:pt>
                <c:pt idx="38">
                  <c:v>31.672232465013501</c:v>
                </c:pt>
                <c:pt idx="39">
                  <c:v>27.808001600833016</c:v>
                </c:pt>
                <c:pt idx="40">
                  <c:v>23.943770736632395</c:v>
                </c:pt>
                <c:pt idx="41">
                  <c:v>20.079539872441845</c:v>
                </c:pt>
                <c:pt idx="42">
                  <c:v>16.215309008231156</c:v>
                </c:pt>
                <c:pt idx="43">
                  <c:v>12.351078144040606</c:v>
                </c:pt>
                <c:pt idx="44">
                  <c:v>8.4868472798500534</c:v>
                </c:pt>
                <c:pt idx="45">
                  <c:v>4.6226164156595022</c:v>
                </c:pt>
                <c:pt idx="46">
                  <c:v>0.75838555146895015</c:v>
                </c:pt>
                <c:pt idx="47">
                  <c:v>-3.1058453127115335</c:v>
                </c:pt>
                <c:pt idx="48">
                  <c:v>-6.9700761768920172</c:v>
                </c:pt>
                <c:pt idx="49">
                  <c:v>-10.834307041102706</c:v>
                </c:pt>
                <c:pt idx="50">
                  <c:v>-14.698537905293255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BCD-4AB3-8607-1A42AE26C775}"/>
            </c:ext>
          </c:extLst>
        </c:ser>
        <c:ser>
          <c:idx val="23"/>
          <c:order val="23"/>
          <c:tx>
            <c:strRef>
              <c:f>グラフ!$AL$5</c:f>
              <c:strCache>
                <c:ptCount val="1"/>
                <c:pt idx="0">
                  <c:v>outer応力:Δ-20℃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グラフ!$AL$6:$AL$56</c:f>
              <c:numCache>
                <c:formatCode>0.0</c:formatCode>
                <c:ptCount val="51"/>
                <c:pt idx="0">
                  <c:v>160.65863693996405</c:v>
                </c:pt>
                <c:pt idx="1">
                  <c:v>156.79440607577351</c:v>
                </c:pt>
                <c:pt idx="2">
                  <c:v>152.93017521158296</c:v>
                </c:pt>
                <c:pt idx="3">
                  <c:v>149.06594434738233</c:v>
                </c:pt>
                <c:pt idx="4">
                  <c:v>145.20171348319178</c:v>
                </c:pt>
                <c:pt idx="5">
                  <c:v>141.33748261899117</c:v>
                </c:pt>
                <c:pt idx="6">
                  <c:v>137.47325175481069</c:v>
                </c:pt>
                <c:pt idx="7">
                  <c:v>133.60902089061008</c:v>
                </c:pt>
                <c:pt idx="8">
                  <c:v>129.74479002641951</c:v>
                </c:pt>
                <c:pt idx="9">
                  <c:v>125.88055916223905</c:v>
                </c:pt>
                <c:pt idx="10">
                  <c:v>122.01632829803845</c:v>
                </c:pt>
                <c:pt idx="11">
                  <c:v>118.1520974338479</c:v>
                </c:pt>
                <c:pt idx="12">
                  <c:v>114.28786656965733</c:v>
                </c:pt>
                <c:pt idx="13">
                  <c:v>110.42363570546676</c:v>
                </c:pt>
                <c:pt idx="14">
                  <c:v>106.55940484126614</c:v>
                </c:pt>
                <c:pt idx="15">
                  <c:v>102.6951739770756</c:v>
                </c:pt>
                <c:pt idx="16">
                  <c:v>98.830943112895099</c:v>
                </c:pt>
                <c:pt idx="17">
                  <c:v>94.966712248704553</c:v>
                </c:pt>
                <c:pt idx="18">
                  <c:v>91.102481384493871</c:v>
                </c:pt>
                <c:pt idx="19">
                  <c:v>87.238250520303325</c:v>
                </c:pt>
                <c:pt idx="20">
                  <c:v>83.374019656102703</c:v>
                </c:pt>
                <c:pt idx="21">
                  <c:v>79.509788791922219</c:v>
                </c:pt>
                <c:pt idx="22">
                  <c:v>75.645557927711522</c:v>
                </c:pt>
                <c:pt idx="23">
                  <c:v>71.781327063531037</c:v>
                </c:pt>
                <c:pt idx="24">
                  <c:v>67.917096199340492</c:v>
                </c:pt>
                <c:pt idx="25">
                  <c:v>64.052865335160007</c:v>
                </c:pt>
                <c:pt idx="26">
                  <c:v>60.188634470969461</c:v>
                </c:pt>
                <c:pt idx="27">
                  <c:v>56.32440360676884</c:v>
                </c:pt>
                <c:pt idx="28">
                  <c:v>52.460172742578294</c:v>
                </c:pt>
                <c:pt idx="29">
                  <c:v>48.595941878377666</c:v>
                </c:pt>
                <c:pt idx="30">
                  <c:v>44.731711014197181</c:v>
                </c:pt>
                <c:pt idx="31">
                  <c:v>40.867480149986498</c:v>
                </c:pt>
                <c:pt idx="32">
                  <c:v>37.003249285795945</c:v>
                </c:pt>
                <c:pt idx="33">
                  <c:v>33.139018421605392</c:v>
                </c:pt>
                <c:pt idx="34">
                  <c:v>29.27478755743498</c:v>
                </c:pt>
                <c:pt idx="35">
                  <c:v>25.410556693224287</c:v>
                </c:pt>
                <c:pt idx="36">
                  <c:v>21.546325829033734</c:v>
                </c:pt>
                <c:pt idx="37">
                  <c:v>17.682094964863321</c:v>
                </c:pt>
                <c:pt idx="38">
                  <c:v>13.817864100652633</c:v>
                </c:pt>
                <c:pt idx="39">
                  <c:v>9.9536332364620801</c:v>
                </c:pt>
                <c:pt idx="40">
                  <c:v>6.0894023722614605</c:v>
                </c:pt>
                <c:pt idx="41">
                  <c:v>2.225171508070908</c:v>
                </c:pt>
                <c:pt idx="42">
                  <c:v>-1.639059356129712</c:v>
                </c:pt>
                <c:pt idx="43">
                  <c:v>-5.5032902203202632</c:v>
                </c:pt>
                <c:pt idx="44">
                  <c:v>-9.3675210845007459</c:v>
                </c:pt>
                <c:pt idx="45">
                  <c:v>-13.231751948691297</c:v>
                </c:pt>
                <c:pt idx="46">
                  <c:v>-17.095982812891918</c:v>
                </c:pt>
                <c:pt idx="47">
                  <c:v>-20.960213677072399</c:v>
                </c:pt>
                <c:pt idx="48">
                  <c:v>-24.824444541262952</c:v>
                </c:pt>
                <c:pt idx="49">
                  <c:v>-28.688675405473646</c:v>
                </c:pt>
                <c:pt idx="50">
                  <c:v>-32.552906269654123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BCD-4AB3-8607-1A42AE26C775}"/>
            </c:ext>
          </c:extLst>
        </c:ser>
        <c:ser>
          <c:idx val="24"/>
          <c:order val="24"/>
          <c:tx>
            <c:strRef>
              <c:f>グラフ!$AM$5</c:f>
              <c:strCache>
                <c:ptCount val="1"/>
                <c:pt idx="0">
                  <c:v>outer応力:Δ-10℃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グラフ!$AM$6:$AM$56</c:f>
              <c:numCache>
                <c:formatCode>0.0</c:formatCode>
                <c:ptCount val="51"/>
                <c:pt idx="0">
                  <c:v>142.8042685756032</c:v>
                </c:pt>
                <c:pt idx="1">
                  <c:v>138.94003771140257</c:v>
                </c:pt>
                <c:pt idx="2">
                  <c:v>135.07580684722208</c:v>
                </c:pt>
                <c:pt idx="3">
                  <c:v>131.21157598302148</c:v>
                </c:pt>
                <c:pt idx="4">
                  <c:v>127.34734511883092</c:v>
                </c:pt>
                <c:pt idx="5">
                  <c:v>123.48311425463031</c:v>
                </c:pt>
                <c:pt idx="6">
                  <c:v>119.61888339044982</c:v>
                </c:pt>
                <c:pt idx="7">
                  <c:v>115.7546525262492</c:v>
                </c:pt>
                <c:pt idx="8">
                  <c:v>111.89042166204858</c:v>
                </c:pt>
                <c:pt idx="9">
                  <c:v>108.02619079787817</c:v>
                </c:pt>
                <c:pt idx="10">
                  <c:v>104.16195993368763</c:v>
                </c:pt>
                <c:pt idx="11">
                  <c:v>100.297729069487</c:v>
                </c:pt>
                <c:pt idx="12">
                  <c:v>96.433498205286398</c:v>
                </c:pt>
                <c:pt idx="13">
                  <c:v>92.569267341095838</c:v>
                </c:pt>
                <c:pt idx="14">
                  <c:v>88.705036476915353</c:v>
                </c:pt>
                <c:pt idx="15">
                  <c:v>84.840805612724793</c:v>
                </c:pt>
                <c:pt idx="16">
                  <c:v>80.976574748524172</c:v>
                </c:pt>
                <c:pt idx="17">
                  <c:v>77.112343884333626</c:v>
                </c:pt>
                <c:pt idx="18">
                  <c:v>73.248113020122929</c:v>
                </c:pt>
                <c:pt idx="19">
                  <c:v>69.383882155942445</c:v>
                </c:pt>
                <c:pt idx="20">
                  <c:v>65.519651291741837</c:v>
                </c:pt>
                <c:pt idx="21">
                  <c:v>61.655420427551277</c:v>
                </c:pt>
                <c:pt idx="22">
                  <c:v>57.791189563360732</c:v>
                </c:pt>
                <c:pt idx="23">
                  <c:v>53.926958699190315</c:v>
                </c:pt>
                <c:pt idx="24">
                  <c:v>50.062727834979626</c:v>
                </c:pt>
                <c:pt idx="25">
                  <c:v>46.198496970789066</c:v>
                </c:pt>
                <c:pt idx="26">
                  <c:v>42.33426610659852</c:v>
                </c:pt>
                <c:pt idx="27">
                  <c:v>38.470035242407967</c:v>
                </c:pt>
                <c:pt idx="28">
                  <c:v>34.605804378217421</c:v>
                </c:pt>
                <c:pt idx="29">
                  <c:v>30.741573514006731</c:v>
                </c:pt>
                <c:pt idx="30">
                  <c:v>26.877342649826247</c:v>
                </c:pt>
                <c:pt idx="31">
                  <c:v>23.013111785625625</c:v>
                </c:pt>
                <c:pt idx="32">
                  <c:v>19.148880921455209</c:v>
                </c:pt>
                <c:pt idx="33">
                  <c:v>15.28465005725459</c:v>
                </c:pt>
                <c:pt idx="34">
                  <c:v>11.420419193064038</c:v>
                </c:pt>
                <c:pt idx="35">
                  <c:v>7.5561883288634188</c:v>
                </c:pt>
                <c:pt idx="36">
                  <c:v>3.6919574646728663</c:v>
                </c:pt>
                <c:pt idx="37">
                  <c:v>-0.17227339950761678</c:v>
                </c:pt>
                <c:pt idx="38">
                  <c:v>-4.0365042637183057</c:v>
                </c:pt>
                <c:pt idx="39">
                  <c:v>-7.9007351279088569</c:v>
                </c:pt>
                <c:pt idx="40">
                  <c:v>-11.764965992099411</c:v>
                </c:pt>
                <c:pt idx="41">
                  <c:v>-15.629196856289958</c:v>
                </c:pt>
                <c:pt idx="42">
                  <c:v>-19.493427720480511</c:v>
                </c:pt>
                <c:pt idx="43">
                  <c:v>-23.357658584671061</c:v>
                </c:pt>
                <c:pt idx="44">
                  <c:v>-27.221889448861617</c:v>
                </c:pt>
                <c:pt idx="45">
                  <c:v>-31.08612031305217</c:v>
                </c:pt>
                <c:pt idx="46">
                  <c:v>-34.95035117726286</c:v>
                </c:pt>
                <c:pt idx="47">
                  <c:v>-38.814582041443337</c:v>
                </c:pt>
                <c:pt idx="48">
                  <c:v>-42.678812905623822</c:v>
                </c:pt>
                <c:pt idx="49">
                  <c:v>-46.543043769834512</c:v>
                </c:pt>
                <c:pt idx="50">
                  <c:v>-50.407274634025065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BCD-4AB3-8607-1A42AE26C775}"/>
            </c:ext>
          </c:extLst>
        </c:ser>
        <c:ser>
          <c:idx val="25"/>
          <c:order val="25"/>
          <c:tx>
            <c:strRef>
              <c:f>グラフ!$AN$5</c:f>
              <c:strCache>
                <c:ptCount val="1"/>
                <c:pt idx="0">
                  <c:v>outer応力:Δ0℃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グラフ!$AN$6:$AN$56</c:f>
              <c:numCache>
                <c:formatCode>0.0</c:formatCode>
                <c:ptCount val="51"/>
                <c:pt idx="0">
                  <c:v>124.94990021124234</c:v>
                </c:pt>
                <c:pt idx="1">
                  <c:v>121.08566934704173</c:v>
                </c:pt>
                <c:pt idx="2">
                  <c:v>117.22143848286125</c:v>
                </c:pt>
                <c:pt idx="3">
                  <c:v>113.35720761866061</c:v>
                </c:pt>
                <c:pt idx="4">
                  <c:v>109.49297675447005</c:v>
                </c:pt>
                <c:pt idx="5">
                  <c:v>105.62874589026944</c:v>
                </c:pt>
                <c:pt idx="6">
                  <c:v>101.76451502607888</c:v>
                </c:pt>
                <c:pt idx="7">
                  <c:v>97.900284161888337</c:v>
                </c:pt>
                <c:pt idx="8">
                  <c:v>94.036053297697791</c:v>
                </c:pt>
                <c:pt idx="9">
                  <c:v>90.171822433517306</c:v>
                </c:pt>
                <c:pt idx="10">
                  <c:v>86.307591569316685</c:v>
                </c:pt>
                <c:pt idx="11">
                  <c:v>82.443360705116064</c:v>
                </c:pt>
                <c:pt idx="12">
                  <c:v>78.579129840935579</c:v>
                </c:pt>
                <c:pt idx="13">
                  <c:v>74.714898976745033</c:v>
                </c:pt>
                <c:pt idx="14">
                  <c:v>70.850668112544412</c:v>
                </c:pt>
                <c:pt idx="15">
                  <c:v>66.986437248353852</c:v>
                </c:pt>
                <c:pt idx="16">
                  <c:v>63.122206384153252</c:v>
                </c:pt>
                <c:pt idx="17">
                  <c:v>59.257975519972753</c:v>
                </c:pt>
                <c:pt idx="18">
                  <c:v>55.39374465576207</c:v>
                </c:pt>
                <c:pt idx="19">
                  <c:v>51.529513791571517</c:v>
                </c:pt>
                <c:pt idx="20">
                  <c:v>47.665282927391026</c:v>
                </c:pt>
                <c:pt idx="21">
                  <c:v>43.801052063210548</c:v>
                </c:pt>
                <c:pt idx="22">
                  <c:v>39.936821198999858</c:v>
                </c:pt>
                <c:pt idx="23">
                  <c:v>36.072590334819374</c:v>
                </c:pt>
                <c:pt idx="24">
                  <c:v>32.208359470608684</c:v>
                </c:pt>
                <c:pt idx="25">
                  <c:v>28.344128606428203</c:v>
                </c:pt>
                <c:pt idx="26">
                  <c:v>24.47989774223765</c:v>
                </c:pt>
                <c:pt idx="27">
                  <c:v>20.615666878037032</c:v>
                </c:pt>
                <c:pt idx="28">
                  <c:v>16.75143601384648</c:v>
                </c:pt>
                <c:pt idx="29">
                  <c:v>12.887205149645858</c:v>
                </c:pt>
                <c:pt idx="30">
                  <c:v>9.0229742854855139</c:v>
                </c:pt>
                <c:pt idx="31">
                  <c:v>5.1587434212748242</c:v>
                </c:pt>
                <c:pt idx="32">
                  <c:v>1.294512557084273</c:v>
                </c:pt>
                <c:pt idx="33">
                  <c:v>-2.5697183071062786</c:v>
                </c:pt>
                <c:pt idx="34">
                  <c:v>-6.4339491712968311</c:v>
                </c:pt>
                <c:pt idx="35">
                  <c:v>-10.298180035507519</c:v>
                </c:pt>
                <c:pt idx="36">
                  <c:v>-14.16241089969807</c:v>
                </c:pt>
                <c:pt idx="37">
                  <c:v>-18.026641763878555</c:v>
                </c:pt>
                <c:pt idx="38">
                  <c:v>-21.890872628079173</c:v>
                </c:pt>
                <c:pt idx="39">
                  <c:v>-25.755103492269729</c:v>
                </c:pt>
                <c:pt idx="40">
                  <c:v>-29.619334356450214</c:v>
                </c:pt>
                <c:pt idx="41">
                  <c:v>-33.483565220640763</c:v>
                </c:pt>
                <c:pt idx="42">
                  <c:v>-37.347796084841384</c:v>
                </c:pt>
                <c:pt idx="43">
                  <c:v>-41.212026949031937</c:v>
                </c:pt>
                <c:pt idx="44">
                  <c:v>-45.076257813232552</c:v>
                </c:pt>
                <c:pt idx="45">
                  <c:v>-48.940488677423104</c:v>
                </c:pt>
                <c:pt idx="46">
                  <c:v>-52.804719541623726</c:v>
                </c:pt>
                <c:pt idx="47">
                  <c:v>-56.668950405804217</c:v>
                </c:pt>
                <c:pt idx="48">
                  <c:v>-60.533181269994763</c:v>
                </c:pt>
                <c:pt idx="49">
                  <c:v>-64.397412134205439</c:v>
                </c:pt>
                <c:pt idx="50">
                  <c:v>-68.261642998375862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BCD-4AB3-8607-1A42AE26C775}"/>
            </c:ext>
          </c:extLst>
        </c:ser>
        <c:ser>
          <c:idx val="26"/>
          <c:order val="26"/>
          <c:tx>
            <c:strRef>
              <c:f>グラフ!$AO$5</c:f>
              <c:strCache>
                <c:ptCount val="1"/>
                <c:pt idx="0">
                  <c:v>outer応力:Δ+10℃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グラフ!$AO$6:$AO$56</c:f>
              <c:numCache>
                <c:formatCode>0.0</c:formatCode>
                <c:ptCount val="51"/>
                <c:pt idx="0">
                  <c:v>107.09553184688147</c:v>
                </c:pt>
                <c:pt idx="1">
                  <c:v>103.23130098268085</c:v>
                </c:pt>
                <c:pt idx="2">
                  <c:v>99.367070118500365</c:v>
                </c:pt>
                <c:pt idx="3">
                  <c:v>95.502839254299744</c:v>
                </c:pt>
                <c:pt idx="4">
                  <c:v>91.638608390099137</c:v>
                </c:pt>
                <c:pt idx="5">
                  <c:v>87.774377525908562</c:v>
                </c:pt>
                <c:pt idx="6">
                  <c:v>83.910146661728106</c:v>
                </c:pt>
                <c:pt idx="7">
                  <c:v>80.045915797527485</c:v>
                </c:pt>
                <c:pt idx="8">
                  <c:v>76.181684933326849</c:v>
                </c:pt>
                <c:pt idx="9">
                  <c:v>72.317454069146365</c:v>
                </c:pt>
                <c:pt idx="10">
                  <c:v>68.45322320496588</c:v>
                </c:pt>
                <c:pt idx="11">
                  <c:v>64.588992340765259</c:v>
                </c:pt>
                <c:pt idx="12">
                  <c:v>60.724761476564645</c:v>
                </c:pt>
                <c:pt idx="13">
                  <c:v>56.860530612374099</c:v>
                </c:pt>
                <c:pt idx="14">
                  <c:v>52.996299748173463</c:v>
                </c:pt>
                <c:pt idx="15">
                  <c:v>49.132068883993</c:v>
                </c:pt>
                <c:pt idx="16">
                  <c:v>45.267838019792372</c:v>
                </c:pt>
                <c:pt idx="17">
                  <c:v>41.403607155601819</c:v>
                </c:pt>
                <c:pt idx="18">
                  <c:v>37.539376291411266</c:v>
                </c:pt>
                <c:pt idx="19">
                  <c:v>33.675145427230788</c:v>
                </c:pt>
                <c:pt idx="20">
                  <c:v>29.810914563030163</c:v>
                </c:pt>
                <c:pt idx="21">
                  <c:v>25.94668369883961</c:v>
                </c:pt>
                <c:pt idx="22">
                  <c:v>22.082452834628917</c:v>
                </c:pt>
                <c:pt idx="23">
                  <c:v>18.218221970458508</c:v>
                </c:pt>
                <c:pt idx="24">
                  <c:v>14.353991106247818</c:v>
                </c:pt>
                <c:pt idx="25">
                  <c:v>10.489760242057267</c:v>
                </c:pt>
                <c:pt idx="26">
                  <c:v>6.6255293778667141</c:v>
                </c:pt>
                <c:pt idx="27">
                  <c:v>2.761298513676163</c:v>
                </c:pt>
                <c:pt idx="28">
                  <c:v>-1.1029323504942521</c:v>
                </c:pt>
                <c:pt idx="29">
                  <c:v>-4.9671632147049412</c:v>
                </c:pt>
                <c:pt idx="30">
                  <c:v>-8.8313940788854239</c:v>
                </c:pt>
                <c:pt idx="31">
                  <c:v>-12.695624943086044</c:v>
                </c:pt>
                <c:pt idx="32">
                  <c:v>-16.559855807276598</c:v>
                </c:pt>
                <c:pt idx="33">
                  <c:v>-20.424086671477216</c:v>
                </c:pt>
                <c:pt idx="34">
                  <c:v>-24.288317535667769</c:v>
                </c:pt>
                <c:pt idx="35">
                  <c:v>-28.152548399878462</c:v>
                </c:pt>
                <c:pt idx="36">
                  <c:v>-32.01677926405894</c:v>
                </c:pt>
                <c:pt idx="37">
                  <c:v>-35.881010128239424</c:v>
                </c:pt>
                <c:pt idx="38">
                  <c:v>-39.745240992429977</c:v>
                </c:pt>
                <c:pt idx="39">
                  <c:v>-43.609471856620523</c:v>
                </c:pt>
                <c:pt idx="40">
                  <c:v>-47.473702720811076</c:v>
                </c:pt>
                <c:pt idx="41">
                  <c:v>-51.337933585001629</c:v>
                </c:pt>
                <c:pt idx="42">
                  <c:v>-55.202164449212319</c:v>
                </c:pt>
                <c:pt idx="43">
                  <c:v>-59.066395313402865</c:v>
                </c:pt>
                <c:pt idx="44">
                  <c:v>-62.930626177593425</c:v>
                </c:pt>
                <c:pt idx="45">
                  <c:v>-66.79485704178397</c:v>
                </c:pt>
                <c:pt idx="46">
                  <c:v>-70.659087905994653</c:v>
                </c:pt>
                <c:pt idx="47">
                  <c:v>-74.523318770175138</c:v>
                </c:pt>
                <c:pt idx="48">
                  <c:v>-78.387549634345561</c:v>
                </c:pt>
                <c:pt idx="49">
                  <c:v>-82.251780498546168</c:v>
                </c:pt>
                <c:pt idx="50">
                  <c:v>-86.116011362736728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BCD-4AB3-8607-1A42AE26C775}"/>
            </c:ext>
          </c:extLst>
        </c:ser>
        <c:ser>
          <c:idx val="27"/>
          <c:order val="27"/>
          <c:tx>
            <c:strRef>
              <c:f>グラフ!$AP$5</c:f>
              <c:strCache>
                <c:ptCount val="1"/>
                <c:pt idx="0">
                  <c:v>outer応力:Δ+20℃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グラフ!$AP$6:$AP$56</c:f>
              <c:numCache>
                <c:formatCode>0.0</c:formatCode>
                <c:ptCount val="51"/>
                <c:pt idx="0">
                  <c:v>89.241163482520591</c:v>
                </c:pt>
                <c:pt idx="1">
                  <c:v>85.376932618319984</c:v>
                </c:pt>
                <c:pt idx="2">
                  <c:v>81.512701754129438</c:v>
                </c:pt>
                <c:pt idx="3">
                  <c:v>77.648470889938892</c:v>
                </c:pt>
                <c:pt idx="4">
                  <c:v>73.784240025748332</c:v>
                </c:pt>
                <c:pt idx="5">
                  <c:v>69.920009161547711</c:v>
                </c:pt>
                <c:pt idx="6">
                  <c:v>66.055778297357151</c:v>
                </c:pt>
                <c:pt idx="7">
                  <c:v>62.191547433156536</c:v>
                </c:pt>
                <c:pt idx="8">
                  <c:v>58.327316568976052</c:v>
                </c:pt>
                <c:pt idx="9">
                  <c:v>54.463085704795567</c:v>
                </c:pt>
                <c:pt idx="10">
                  <c:v>50.598854840594953</c:v>
                </c:pt>
                <c:pt idx="11">
                  <c:v>46.734623976394317</c:v>
                </c:pt>
                <c:pt idx="12">
                  <c:v>42.870393112193703</c:v>
                </c:pt>
                <c:pt idx="13">
                  <c:v>39.006162248013219</c:v>
                </c:pt>
                <c:pt idx="14">
                  <c:v>35.141931383812604</c:v>
                </c:pt>
                <c:pt idx="15">
                  <c:v>31.277700519622044</c:v>
                </c:pt>
                <c:pt idx="16">
                  <c:v>27.41346965544157</c:v>
                </c:pt>
                <c:pt idx="17">
                  <c:v>23.549238791261086</c:v>
                </c:pt>
                <c:pt idx="18">
                  <c:v>19.685007927050396</c:v>
                </c:pt>
                <c:pt idx="19">
                  <c:v>15.820777062859845</c:v>
                </c:pt>
                <c:pt idx="20">
                  <c:v>11.956546198659225</c:v>
                </c:pt>
                <c:pt idx="21">
                  <c:v>8.0923153344787409</c:v>
                </c:pt>
                <c:pt idx="22">
                  <c:v>4.228084470268052</c:v>
                </c:pt>
                <c:pt idx="23">
                  <c:v>0.36385360608756895</c:v>
                </c:pt>
                <c:pt idx="24">
                  <c:v>-3.5003772581231196</c:v>
                </c:pt>
                <c:pt idx="25">
                  <c:v>-7.3646081223036033</c:v>
                </c:pt>
                <c:pt idx="26">
                  <c:v>-11.228838986474017</c:v>
                </c:pt>
                <c:pt idx="27">
                  <c:v>-15.093069850674638</c:v>
                </c:pt>
                <c:pt idx="28">
                  <c:v>-18.957300714865188</c:v>
                </c:pt>
                <c:pt idx="29">
                  <c:v>-22.821531579065812</c:v>
                </c:pt>
                <c:pt idx="30">
                  <c:v>-26.685762443246293</c:v>
                </c:pt>
                <c:pt idx="31">
                  <c:v>-30.549993307456976</c:v>
                </c:pt>
                <c:pt idx="32">
                  <c:v>-34.41422417164754</c:v>
                </c:pt>
                <c:pt idx="33">
                  <c:v>-38.278455035848154</c:v>
                </c:pt>
                <c:pt idx="34">
                  <c:v>-42.142685900028646</c:v>
                </c:pt>
                <c:pt idx="35">
                  <c:v>-46.006916764239335</c:v>
                </c:pt>
                <c:pt idx="36">
                  <c:v>-49.871147628409737</c:v>
                </c:pt>
                <c:pt idx="37">
                  <c:v>-53.735378492590222</c:v>
                </c:pt>
                <c:pt idx="38">
                  <c:v>-57.599609356790836</c:v>
                </c:pt>
                <c:pt idx="39">
                  <c:v>-61.463840220981396</c:v>
                </c:pt>
                <c:pt idx="40">
                  <c:v>-65.328071085182017</c:v>
                </c:pt>
                <c:pt idx="41">
                  <c:v>-69.192301949372563</c:v>
                </c:pt>
                <c:pt idx="42">
                  <c:v>-73.056532813573185</c:v>
                </c:pt>
                <c:pt idx="43">
                  <c:v>-76.92076367776373</c:v>
                </c:pt>
                <c:pt idx="44">
                  <c:v>-80.784994541964366</c:v>
                </c:pt>
                <c:pt idx="45">
                  <c:v>-84.649225406154912</c:v>
                </c:pt>
                <c:pt idx="46">
                  <c:v>-88.513456270345458</c:v>
                </c:pt>
                <c:pt idx="47">
                  <c:v>-92.377687134515881</c:v>
                </c:pt>
                <c:pt idx="48">
                  <c:v>-96.241917998706413</c:v>
                </c:pt>
                <c:pt idx="49">
                  <c:v>-100.10614886291714</c:v>
                </c:pt>
                <c:pt idx="50">
                  <c:v>-103.97037972709759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BCD-4AB3-8607-1A42AE26C775}"/>
            </c:ext>
          </c:extLst>
        </c:ser>
        <c:ser>
          <c:idx val="28"/>
          <c:order val="28"/>
          <c:tx>
            <c:strRef>
              <c:f>グラフ!$AQ$5</c:f>
              <c:strCache>
                <c:ptCount val="1"/>
                <c:pt idx="0">
                  <c:v>outer応力:Δ+30℃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グラフ!$AQ$6:$AQ$56</c:f>
              <c:numCache>
                <c:formatCode>0.0</c:formatCode>
                <c:ptCount val="51"/>
                <c:pt idx="0">
                  <c:v>71.386795118149664</c:v>
                </c:pt>
                <c:pt idx="1">
                  <c:v>67.522564253959118</c:v>
                </c:pt>
                <c:pt idx="2">
                  <c:v>63.658333389778633</c:v>
                </c:pt>
                <c:pt idx="3">
                  <c:v>59.794102525578012</c:v>
                </c:pt>
                <c:pt idx="4">
                  <c:v>55.929871661377391</c:v>
                </c:pt>
                <c:pt idx="5">
                  <c:v>52.065640797176769</c:v>
                </c:pt>
                <c:pt idx="6">
                  <c:v>48.201409933006353</c:v>
                </c:pt>
                <c:pt idx="7">
                  <c:v>44.337179068805732</c:v>
                </c:pt>
                <c:pt idx="8">
                  <c:v>40.47294820460511</c:v>
                </c:pt>
                <c:pt idx="9">
                  <c:v>36.608717340424626</c:v>
                </c:pt>
                <c:pt idx="10">
                  <c:v>32.744486476224012</c:v>
                </c:pt>
                <c:pt idx="11">
                  <c:v>28.880255612033455</c:v>
                </c:pt>
                <c:pt idx="12">
                  <c:v>25.016024747832841</c:v>
                </c:pt>
                <c:pt idx="13">
                  <c:v>21.151793883642288</c:v>
                </c:pt>
                <c:pt idx="14">
                  <c:v>17.2875630194618</c:v>
                </c:pt>
                <c:pt idx="15">
                  <c:v>13.423332155281322</c:v>
                </c:pt>
                <c:pt idx="16">
                  <c:v>9.5591012910806992</c:v>
                </c:pt>
                <c:pt idx="17">
                  <c:v>5.6948704268901471</c:v>
                </c:pt>
                <c:pt idx="18">
                  <c:v>1.8306395626794587</c:v>
                </c:pt>
                <c:pt idx="19">
                  <c:v>-2.0335913015010245</c:v>
                </c:pt>
                <c:pt idx="20">
                  <c:v>-5.897822165701645</c:v>
                </c:pt>
                <c:pt idx="21">
                  <c:v>-9.762053029892197</c:v>
                </c:pt>
                <c:pt idx="22">
                  <c:v>-13.626283894102885</c:v>
                </c:pt>
                <c:pt idx="23">
                  <c:v>-17.490514758273299</c:v>
                </c:pt>
                <c:pt idx="24">
                  <c:v>-21.354745622463852</c:v>
                </c:pt>
                <c:pt idx="25">
                  <c:v>-25.218976486654405</c:v>
                </c:pt>
                <c:pt idx="26">
                  <c:v>-29.083207350844955</c:v>
                </c:pt>
                <c:pt idx="27">
                  <c:v>-32.947438215035504</c:v>
                </c:pt>
                <c:pt idx="28">
                  <c:v>-36.811669079226057</c:v>
                </c:pt>
                <c:pt idx="29">
                  <c:v>-40.67589994343674</c:v>
                </c:pt>
                <c:pt idx="30">
                  <c:v>-44.540130807617231</c:v>
                </c:pt>
                <c:pt idx="31">
                  <c:v>-48.404361671827921</c:v>
                </c:pt>
                <c:pt idx="32">
                  <c:v>-52.268592536008406</c:v>
                </c:pt>
                <c:pt idx="33">
                  <c:v>-56.132823400209027</c:v>
                </c:pt>
                <c:pt idx="34">
                  <c:v>-59.997054264379443</c:v>
                </c:pt>
                <c:pt idx="35">
                  <c:v>-63.861285128590133</c:v>
                </c:pt>
                <c:pt idx="36">
                  <c:v>-67.72551599277061</c:v>
                </c:pt>
                <c:pt idx="37">
                  <c:v>-71.589746856951095</c:v>
                </c:pt>
                <c:pt idx="38">
                  <c:v>-75.453977721161777</c:v>
                </c:pt>
                <c:pt idx="39">
                  <c:v>-79.318208585352323</c:v>
                </c:pt>
                <c:pt idx="40">
                  <c:v>-83.182439449542898</c:v>
                </c:pt>
                <c:pt idx="41">
                  <c:v>-87.046670313733443</c:v>
                </c:pt>
                <c:pt idx="42">
                  <c:v>-90.910901177944126</c:v>
                </c:pt>
                <c:pt idx="43">
                  <c:v>-94.775132042134672</c:v>
                </c:pt>
                <c:pt idx="44">
                  <c:v>-98.639362906315156</c:v>
                </c:pt>
                <c:pt idx="45">
                  <c:v>-102.50359377049566</c:v>
                </c:pt>
                <c:pt idx="46">
                  <c:v>-106.36782463470632</c:v>
                </c:pt>
                <c:pt idx="47">
                  <c:v>-110.23205549888682</c:v>
                </c:pt>
                <c:pt idx="48">
                  <c:v>-114.09628636306729</c:v>
                </c:pt>
                <c:pt idx="49">
                  <c:v>-117.96051722727799</c:v>
                </c:pt>
                <c:pt idx="50">
                  <c:v>-121.82474809146856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6-4D2A-9109-89209D590241}"/>
            </c:ext>
          </c:extLst>
        </c:ser>
        <c:ser>
          <c:idx val="29"/>
          <c:order val="29"/>
          <c:tx>
            <c:strRef>
              <c:f>グラフ!$AR$5</c:f>
              <c:strCache>
                <c:ptCount val="1"/>
                <c:pt idx="0">
                  <c:v>outer降伏点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グラフ!$N$6:$N$56</c:f>
              <c:numCache>
                <c:formatCode>General</c:formatCode>
                <c:ptCount val="5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</c:numCache>
            </c:numRef>
          </c:xVal>
          <c:yVal>
            <c:numRef>
              <c:f>グラフ!$AR$6:$AR$56</c:f>
              <c:numCache>
                <c:formatCode>0.0</c:formatCode>
                <c:ptCount val="5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6-4D2A-9109-89209D59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19104"/>
        <c:axId val="1878401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グラフ!$O$5</c15:sqref>
                        </c15:formulaRef>
                      </c:ext>
                    </c:extLst>
                    <c:strCache>
                      <c:ptCount val="1"/>
                      <c:pt idx="0">
                        <c:v>締め代：Δ-30℃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グラフ!$O$6:$O$56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6.2989174999998454E-2</c:v>
                      </c:pt>
                      <c:pt idx="1">
                        <c:v>6.162566249999557E-2</c:v>
                      </c:pt>
                      <c:pt idx="2">
                        <c:v>6.0262149999999792E-2</c:v>
                      </c:pt>
                      <c:pt idx="3">
                        <c:v>5.8898637500000461E-2</c:v>
                      </c:pt>
                      <c:pt idx="4">
                        <c:v>5.7535124999997578E-2</c:v>
                      </c:pt>
                      <c:pt idx="5">
                        <c:v>5.6171612499994694E-2</c:v>
                      </c:pt>
                      <c:pt idx="6">
                        <c:v>5.4808099999998916E-2</c:v>
                      </c:pt>
                      <c:pt idx="7">
                        <c:v>5.3444587499996032E-2</c:v>
                      </c:pt>
                      <c:pt idx="8">
                        <c:v>5.2081074999996702E-2</c:v>
                      </c:pt>
                      <c:pt idx="9">
                        <c:v>5.0717562500000923E-2</c:v>
                      </c:pt>
                      <c:pt idx="10">
                        <c:v>4.9354050000001592E-2</c:v>
                      </c:pt>
                      <c:pt idx="11">
                        <c:v>4.7990537499998709E-2</c:v>
                      </c:pt>
                      <c:pt idx="12">
                        <c:v>4.6627024999995825E-2</c:v>
                      </c:pt>
                      <c:pt idx="13">
                        <c:v>4.5263512500000047E-2</c:v>
                      </c:pt>
                      <c:pt idx="14">
                        <c:v>4.3900000000000716E-2</c:v>
                      </c:pt>
                      <c:pt idx="15">
                        <c:v>4.2536487500001385E-2</c:v>
                      </c:pt>
                      <c:pt idx="16">
                        <c:v>4.1172974999998502E-2</c:v>
                      </c:pt>
                      <c:pt idx="17">
                        <c:v>3.9809462499999171E-2</c:v>
                      </c:pt>
                      <c:pt idx="18">
                        <c:v>3.844594999999984E-2</c:v>
                      </c:pt>
                      <c:pt idx="19">
                        <c:v>3.7082437500000509E-2</c:v>
                      </c:pt>
                      <c:pt idx="20">
                        <c:v>3.5718924999997625E-2</c:v>
                      </c:pt>
                      <c:pt idx="21">
                        <c:v>3.4355412499998295E-2</c:v>
                      </c:pt>
                      <c:pt idx="22">
                        <c:v>3.2991899999991858E-2</c:v>
                      </c:pt>
                      <c:pt idx="23">
                        <c:v>3.1628387499999633E-2</c:v>
                      </c:pt>
                      <c:pt idx="24">
                        <c:v>3.0264874999993197E-2</c:v>
                      </c:pt>
                      <c:pt idx="25">
                        <c:v>2.8901362499993866E-2</c:v>
                      </c:pt>
                      <c:pt idx="26">
                        <c:v>2.753785000000164E-2</c:v>
                      </c:pt>
                      <c:pt idx="27">
                        <c:v>2.6174337500002309E-2</c:v>
                      </c:pt>
                      <c:pt idx="28">
                        <c:v>2.4810825000002978E-2</c:v>
                      </c:pt>
                      <c:pt idx="29">
                        <c:v>2.3447312499996542E-2</c:v>
                      </c:pt>
                      <c:pt idx="30">
                        <c:v>2.2083800000000764E-2</c:v>
                      </c:pt>
                      <c:pt idx="31">
                        <c:v>2.072028749999788E-2</c:v>
                      </c:pt>
                      <c:pt idx="32">
                        <c:v>1.9356774999998549E-2</c:v>
                      </c:pt>
                      <c:pt idx="33">
                        <c:v>1.7993262499995666E-2</c:v>
                      </c:pt>
                      <c:pt idx="34">
                        <c:v>1.6629749999996335E-2</c:v>
                      </c:pt>
                      <c:pt idx="35">
                        <c:v>1.5266237499993451E-2</c:v>
                      </c:pt>
                      <c:pt idx="36">
                        <c:v>1.3902725000001226E-2</c:v>
                      </c:pt>
                      <c:pt idx="37">
                        <c:v>1.2539212500005448E-2</c:v>
                      </c:pt>
                      <c:pt idx="38">
                        <c:v>1.1175699999999011E-2</c:v>
                      </c:pt>
                      <c:pt idx="39">
                        <c:v>9.8121875000032333E-3</c:v>
                      </c:pt>
                      <c:pt idx="40">
                        <c:v>8.4486750000003497E-3</c:v>
                      </c:pt>
                      <c:pt idx="41">
                        <c:v>7.0851625000010188E-3</c:v>
                      </c:pt>
                      <c:pt idx="42">
                        <c:v>5.7216499999945825E-3</c:v>
                      </c:pt>
                      <c:pt idx="43">
                        <c:v>4.3581374999952516E-3</c:v>
                      </c:pt>
                      <c:pt idx="44">
                        <c:v>2.9946249999959207E-3</c:v>
                      </c:pt>
                      <c:pt idx="45">
                        <c:v>1.6311124999965898E-3</c:v>
                      </c:pt>
                      <c:pt idx="46">
                        <c:v>2.6759999999725892E-4</c:v>
                      </c:pt>
                      <c:pt idx="47">
                        <c:v>-1.0959124999985193E-3</c:v>
                      </c:pt>
                      <c:pt idx="48">
                        <c:v>-2.4594249999942974E-3</c:v>
                      </c:pt>
                      <c:pt idx="49">
                        <c:v>-3.8229375000007337E-3</c:v>
                      </c:pt>
                      <c:pt idx="50">
                        <c:v>-5.1864500000000646E-3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BCD-4AB3-8607-1A42AE26C7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グラフ!$P$5</c15:sqref>
                        </c15:formulaRef>
                      </c:ext>
                    </c:extLst>
                    <c:strCache>
                      <c:ptCount val="1"/>
                      <c:pt idx="0">
                        <c:v>締め代：Δ-20℃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グラフ!$P$6:$P$56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5.6689174999998926E-2</c:v>
                      </c:pt>
                      <c:pt idx="1">
                        <c:v>5.5325662499999595E-2</c:v>
                      </c:pt>
                      <c:pt idx="2">
                        <c:v>5.3962150000000264E-2</c:v>
                      </c:pt>
                      <c:pt idx="3">
                        <c:v>5.259863749999738E-2</c:v>
                      </c:pt>
                      <c:pt idx="4">
                        <c:v>5.123512499999805E-2</c:v>
                      </c:pt>
                      <c:pt idx="5">
                        <c:v>4.9871612499995166E-2</c:v>
                      </c:pt>
                      <c:pt idx="6">
                        <c:v>4.8508099999999388E-2</c:v>
                      </c:pt>
                      <c:pt idx="7">
                        <c:v>4.7144587499996504E-2</c:v>
                      </c:pt>
                      <c:pt idx="8">
                        <c:v>4.5781074999997173E-2</c:v>
                      </c:pt>
                      <c:pt idx="9">
                        <c:v>4.4417562500001395E-2</c:v>
                      </c:pt>
                      <c:pt idx="10">
                        <c:v>4.3054049999998512E-2</c:v>
                      </c:pt>
                      <c:pt idx="11">
                        <c:v>4.1690537499999181E-2</c:v>
                      </c:pt>
                      <c:pt idx="12">
                        <c:v>4.032702499999985E-2</c:v>
                      </c:pt>
                      <c:pt idx="13">
                        <c:v>3.8963512500000519E-2</c:v>
                      </c:pt>
                      <c:pt idx="14">
                        <c:v>3.7599999999997635E-2</c:v>
                      </c:pt>
                      <c:pt idx="15">
                        <c:v>3.6236487499998304E-2</c:v>
                      </c:pt>
                      <c:pt idx="16">
                        <c:v>3.4872975000002526E-2</c:v>
                      </c:pt>
                      <c:pt idx="17">
                        <c:v>3.3509462500003195E-2</c:v>
                      </c:pt>
                      <c:pt idx="18">
                        <c:v>3.2145949999996759E-2</c:v>
                      </c:pt>
                      <c:pt idx="19">
                        <c:v>3.0782437499997428E-2</c:v>
                      </c:pt>
                      <c:pt idx="20">
                        <c:v>2.9418924999994545E-2</c:v>
                      </c:pt>
                      <c:pt idx="21">
                        <c:v>2.8055412499998766E-2</c:v>
                      </c:pt>
                      <c:pt idx="22">
                        <c:v>2.669189999999233E-2</c:v>
                      </c:pt>
                      <c:pt idx="23">
                        <c:v>2.5328387499996552E-2</c:v>
                      </c:pt>
                      <c:pt idx="24">
                        <c:v>2.3964874999997221E-2</c:v>
                      </c:pt>
                      <c:pt idx="25">
                        <c:v>2.2601362500001443E-2</c:v>
                      </c:pt>
                      <c:pt idx="26">
                        <c:v>2.1237850000002112E-2</c:v>
                      </c:pt>
                      <c:pt idx="27">
                        <c:v>1.9874337499999228E-2</c:v>
                      </c:pt>
                      <c:pt idx="28">
                        <c:v>1.8510824999999897E-2</c:v>
                      </c:pt>
                      <c:pt idx="29">
                        <c:v>1.7147312499997014E-2</c:v>
                      </c:pt>
                      <c:pt idx="30">
                        <c:v>1.5783800000001236E-2</c:v>
                      </c:pt>
                      <c:pt idx="31">
                        <c:v>1.4420287499994799E-2</c:v>
                      </c:pt>
                      <c:pt idx="32">
                        <c:v>1.3056774999995469E-2</c:v>
                      </c:pt>
                      <c:pt idx="33">
                        <c:v>1.1693262499996138E-2</c:v>
                      </c:pt>
                      <c:pt idx="34">
                        <c:v>1.0329750000003912E-2</c:v>
                      </c:pt>
                      <c:pt idx="35">
                        <c:v>8.9662374999974759E-3</c:v>
                      </c:pt>
                      <c:pt idx="36">
                        <c:v>7.602724999998145E-3</c:v>
                      </c:pt>
                      <c:pt idx="37">
                        <c:v>6.2392125000059195E-3</c:v>
                      </c:pt>
                      <c:pt idx="38">
                        <c:v>4.8756999999994832E-3</c:v>
                      </c:pt>
                      <c:pt idx="39">
                        <c:v>3.5121875000001523E-3</c:v>
                      </c:pt>
                      <c:pt idx="40">
                        <c:v>2.1486749999972687E-3</c:v>
                      </c:pt>
                      <c:pt idx="41">
                        <c:v>7.8516249999793786E-4</c:v>
                      </c:pt>
                      <c:pt idx="42">
                        <c:v>-5.7835000000494574E-4</c:v>
                      </c:pt>
                      <c:pt idx="43">
                        <c:v>-1.9418625000042766E-3</c:v>
                      </c:pt>
                      <c:pt idx="44">
                        <c:v>-3.3053750000000548E-3</c:v>
                      </c:pt>
                      <c:pt idx="45">
                        <c:v>-4.6688874999993857E-3</c:v>
                      </c:pt>
                      <c:pt idx="46">
                        <c:v>-6.0324000000022693E-3</c:v>
                      </c:pt>
                      <c:pt idx="47">
                        <c:v>-7.3959124999980475E-3</c:v>
                      </c:pt>
                      <c:pt idx="48">
                        <c:v>-8.7594249999973783E-3</c:v>
                      </c:pt>
                      <c:pt idx="49">
                        <c:v>-1.0122937500003815E-2</c:v>
                      </c:pt>
                      <c:pt idx="50">
                        <c:v>-1.1486449999999593E-2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CD-4AB3-8607-1A42AE26C7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グラフ!$Q$5</c15:sqref>
                        </c15:formulaRef>
                      </c:ext>
                    </c:extLst>
                    <c:strCache>
                      <c:ptCount val="1"/>
                      <c:pt idx="0">
                        <c:v>締め代：Δ-10℃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グラフ!$Q$6:$Q$56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5.0389174999999398E-2</c:v>
                      </c:pt>
                      <c:pt idx="1">
                        <c:v>4.9025662499996514E-2</c:v>
                      </c:pt>
                      <c:pt idx="2">
                        <c:v>4.7662150000000736E-2</c:v>
                      </c:pt>
                      <c:pt idx="3">
                        <c:v>4.6298637499997852E-2</c:v>
                      </c:pt>
                      <c:pt idx="4">
                        <c:v>4.4935124999998521E-2</c:v>
                      </c:pt>
                      <c:pt idx="5">
                        <c:v>4.3571612499995638E-2</c:v>
                      </c:pt>
                      <c:pt idx="6">
                        <c:v>4.220809999999986E-2</c:v>
                      </c:pt>
                      <c:pt idx="7">
                        <c:v>4.0844587499996976E-2</c:v>
                      </c:pt>
                      <c:pt idx="8">
                        <c:v>3.9481074999994092E-2</c:v>
                      </c:pt>
                      <c:pt idx="9">
                        <c:v>3.8117562500001867E-2</c:v>
                      </c:pt>
                      <c:pt idx="10">
                        <c:v>3.6754050000002536E-2</c:v>
                      </c:pt>
                      <c:pt idx="11">
                        <c:v>3.5390537499999652E-2</c:v>
                      </c:pt>
                      <c:pt idx="12">
                        <c:v>3.4027024999996769E-2</c:v>
                      </c:pt>
                      <c:pt idx="13">
                        <c:v>3.2663512499997438E-2</c:v>
                      </c:pt>
                      <c:pt idx="14">
                        <c:v>3.130000000000166E-2</c:v>
                      </c:pt>
                      <c:pt idx="15">
                        <c:v>2.9936487500002329E-2</c:v>
                      </c:pt>
                      <c:pt idx="16">
                        <c:v>2.8572974999999445E-2</c:v>
                      </c:pt>
                      <c:pt idx="17">
                        <c:v>2.7209462500000114E-2</c:v>
                      </c:pt>
                      <c:pt idx="18">
                        <c:v>2.5845949999993678E-2</c:v>
                      </c:pt>
                      <c:pt idx="19">
                        <c:v>2.44824374999979E-2</c:v>
                      </c:pt>
                      <c:pt idx="20">
                        <c:v>2.3118924999995016E-2</c:v>
                      </c:pt>
                      <c:pt idx="21">
                        <c:v>2.1755412499995685E-2</c:v>
                      </c:pt>
                      <c:pt idx="22">
                        <c:v>2.0391899999996355E-2</c:v>
                      </c:pt>
                      <c:pt idx="23">
                        <c:v>1.9028387500004129E-2</c:v>
                      </c:pt>
                      <c:pt idx="24">
                        <c:v>1.7664874999997693E-2</c:v>
                      </c:pt>
                      <c:pt idx="25">
                        <c:v>1.6301362499998362E-2</c:v>
                      </c:pt>
                      <c:pt idx="26">
                        <c:v>1.4937849999999031E-2</c:v>
                      </c:pt>
                      <c:pt idx="27">
                        <c:v>1.35743374999997E-2</c:v>
                      </c:pt>
                      <c:pt idx="28">
                        <c:v>1.2210825000000369E-2</c:v>
                      </c:pt>
                      <c:pt idx="29">
                        <c:v>1.0847312499993933E-2</c:v>
                      </c:pt>
                      <c:pt idx="30">
                        <c:v>9.4837999999981548E-3</c:v>
                      </c:pt>
                      <c:pt idx="31">
                        <c:v>8.1202874999952712E-3</c:v>
                      </c:pt>
                      <c:pt idx="32">
                        <c:v>6.7567750000030458E-3</c:v>
                      </c:pt>
                      <c:pt idx="33">
                        <c:v>5.3932625000001622E-3</c:v>
                      </c:pt>
                      <c:pt idx="34">
                        <c:v>4.0297500000008313E-3</c:v>
                      </c:pt>
                      <c:pt idx="35">
                        <c:v>2.6662374999979477E-3</c:v>
                      </c:pt>
                      <c:pt idx="36">
                        <c:v>1.3027249999986168E-3</c:v>
                      </c:pt>
                      <c:pt idx="37">
                        <c:v>-6.0787499997161376E-5</c:v>
                      </c:pt>
                      <c:pt idx="38">
                        <c:v>-1.4243000000035977E-3</c:v>
                      </c:pt>
                      <c:pt idx="39">
                        <c:v>-2.7878125000029286E-3</c:v>
                      </c:pt>
                      <c:pt idx="40">
                        <c:v>-4.1513250000022595E-3</c:v>
                      </c:pt>
                      <c:pt idx="41">
                        <c:v>-5.5148375000015903E-3</c:v>
                      </c:pt>
                      <c:pt idx="42">
                        <c:v>-6.8783500000009212E-3</c:v>
                      </c:pt>
                      <c:pt idx="43">
                        <c:v>-8.2418625000002521E-3</c:v>
                      </c:pt>
                      <c:pt idx="44">
                        <c:v>-9.605374999999583E-3</c:v>
                      </c:pt>
                      <c:pt idx="45">
                        <c:v>-1.0968887499998914E-2</c:v>
                      </c:pt>
                      <c:pt idx="46">
                        <c:v>-1.233240000000535E-2</c:v>
                      </c:pt>
                      <c:pt idx="47">
                        <c:v>-1.3695912500001128E-2</c:v>
                      </c:pt>
                      <c:pt idx="48">
                        <c:v>-1.5059424999996907E-2</c:v>
                      </c:pt>
                      <c:pt idx="49">
                        <c:v>-1.6422937500003343E-2</c:v>
                      </c:pt>
                      <c:pt idx="50">
                        <c:v>-1.7786450000002674E-2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CD-4AB3-8607-1A42AE26C7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グラフ!$R$5</c15:sqref>
                        </c15:formulaRef>
                      </c:ext>
                    </c:extLst>
                    <c:strCache>
                      <c:ptCount val="1"/>
                      <c:pt idx="0">
                        <c:v>締め代：Δ0℃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グラフ!$R$6:$R$56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4.4089174999999869E-2</c:v>
                      </c:pt>
                      <c:pt idx="1">
                        <c:v>4.2725662499996986E-2</c:v>
                      </c:pt>
                      <c:pt idx="2">
                        <c:v>4.1362150000001208E-2</c:v>
                      </c:pt>
                      <c:pt idx="3">
                        <c:v>3.9998637499998324E-2</c:v>
                      </c:pt>
                      <c:pt idx="4">
                        <c:v>3.8635124999998993E-2</c:v>
                      </c:pt>
                      <c:pt idx="5">
                        <c:v>3.727161249999611E-2</c:v>
                      </c:pt>
                      <c:pt idx="6">
                        <c:v>3.5908099999996779E-2</c:v>
                      </c:pt>
                      <c:pt idx="7">
                        <c:v>3.4544587499997448E-2</c:v>
                      </c:pt>
                      <c:pt idx="8">
                        <c:v>3.3181074999998117E-2</c:v>
                      </c:pt>
                      <c:pt idx="9">
                        <c:v>3.1817562500002339E-2</c:v>
                      </c:pt>
                      <c:pt idx="10">
                        <c:v>3.0454049999999455E-2</c:v>
                      </c:pt>
                      <c:pt idx="11">
                        <c:v>2.9090537499996572E-2</c:v>
                      </c:pt>
                      <c:pt idx="12">
                        <c:v>2.7727025000000793E-2</c:v>
                      </c:pt>
                      <c:pt idx="13">
                        <c:v>2.6363512500001463E-2</c:v>
                      </c:pt>
                      <c:pt idx="14">
                        <c:v>2.4999999999998579E-2</c:v>
                      </c:pt>
                      <c:pt idx="15">
                        <c:v>2.3636487499999248E-2</c:v>
                      </c:pt>
                      <c:pt idx="16">
                        <c:v>2.2272974999996364E-2</c:v>
                      </c:pt>
                      <c:pt idx="17">
                        <c:v>2.0909462500000586E-2</c:v>
                      </c:pt>
                      <c:pt idx="18">
                        <c:v>1.954594999999415E-2</c:v>
                      </c:pt>
                      <c:pt idx="19">
                        <c:v>1.8182437499994819E-2</c:v>
                      </c:pt>
                      <c:pt idx="20">
                        <c:v>1.6818924999999041E-2</c:v>
                      </c:pt>
                      <c:pt idx="21">
                        <c:v>1.5455412500003263E-2</c:v>
                      </c:pt>
                      <c:pt idx="22">
                        <c:v>1.4091899999996826E-2</c:v>
                      </c:pt>
                      <c:pt idx="23">
                        <c:v>1.2728387500001048E-2</c:v>
                      </c:pt>
                      <c:pt idx="24">
                        <c:v>1.1364874999994612E-2</c:v>
                      </c:pt>
                      <c:pt idx="25">
                        <c:v>1.0001362499998834E-2</c:v>
                      </c:pt>
                      <c:pt idx="26">
                        <c:v>8.6378499999995029E-3</c:v>
                      </c:pt>
                      <c:pt idx="27">
                        <c:v>7.2743374999966193E-3</c:v>
                      </c:pt>
                      <c:pt idx="28">
                        <c:v>5.9108249999972884E-3</c:v>
                      </c:pt>
                      <c:pt idx="29">
                        <c:v>4.5473124999944048E-3</c:v>
                      </c:pt>
                      <c:pt idx="30">
                        <c:v>3.183800000005732E-3</c:v>
                      </c:pt>
                      <c:pt idx="31">
                        <c:v>1.8202874999992957E-3</c:v>
                      </c:pt>
                      <c:pt idx="32">
                        <c:v>4.5677499999996485E-4</c:v>
                      </c:pt>
                      <c:pt idx="33">
                        <c:v>-9.0673749999936604E-4</c:v>
                      </c:pt>
                      <c:pt idx="34">
                        <c:v>-2.2702499999986969E-3</c:v>
                      </c:pt>
                      <c:pt idx="35">
                        <c:v>-3.6337625000051332E-3</c:v>
                      </c:pt>
                      <c:pt idx="36">
                        <c:v>-4.9972750000044641E-3</c:v>
                      </c:pt>
                      <c:pt idx="37">
                        <c:v>-6.3607875000002423E-3</c:v>
                      </c:pt>
                      <c:pt idx="38">
                        <c:v>-7.7243000000031259E-3</c:v>
                      </c:pt>
                      <c:pt idx="39">
                        <c:v>-9.0878125000024568E-3</c:v>
                      </c:pt>
                      <c:pt idx="40">
                        <c:v>-1.0451324999998235E-2</c:v>
                      </c:pt>
                      <c:pt idx="41">
                        <c:v>-1.1814837499997566E-2</c:v>
                      </c:pt>
                      <c:pt idx="42">
                        <c:v>-1.3178350000000449E-2</c:v>
                      </c:pt>
                      <c:pt idx="43">
                        <c:v>-1.454186249999978E-2</c:v>
                      </c:pt>
                      <c:pt idx="44">
                        <c:v>-1.5905375000002664E-2</c:v>
                      </c:pt>
                      <c:pt idx="45">
                        <c:v>-1.7268887500001995E-2</c:v>
                      </c:pt>
                      <c:pt idx="46">
                        <c:v>-1.8632400000004878E-2</c:v>
                      </c:pt>
                      <c:pt idx="47">
                        <c:v>-1.9995912500000657E-2</c:v>
                      </c:pt>
                      <c:pt idx="48">
                        <c:v>-2.1359424999999987E-2</c:v>
                      </c:pt>
                      <c:pt idx="49">
                        <c:v>-2.2722937500006424E-2</c:v>
                      </c:pt>
                      <c:pt idx="50">
                        <c:v>-2.4086449999998649E-2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CD-4AB3-8607-1A42AE26C7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グラフ!$S$5</c15:sqref>
                        </c15:formulaRef>
                      </c:ext>
                    </c:extLst>
                    <c:strCache>
                      <c:ptCount val="1"/>
                      <c:pt idx="0">
                        <c:v>締め代：Δ+10℃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グラフ!$S$6:$S$56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3.7789175000000341E-2</c:v>
                      </c:pt>
                      <c:pt idx="1">
                        <c:v>3.6425662499997458E-2</c:v>
                      </c:pt>
                      <c:pt idx="2">
                        <c:v>3.5062150000001679E-2</c:v>
                      </c:pt>
                      <c:pt idx="3">
                        <c:v>3.3698637499998796E-2</c:v>
                      </c:pt>
                      <c:pt idx="4">
                        <c:v>3.2335124999995912E-2</c:v>
                      </c:pt>
                      <c:pt idx="5">
                        <c:v>3.0971612499996581E-2</c:v>
                      </c:pt>
                      <c:pt idx="6">
                        <c:v>2.9608100000000803E-2</c:v>
                      </c:pt>
                      <c:pt idx="7">
                        <c:v>2.824458749999792E-2</c:v>
                      </c:pt>
                      <c:pt idx="8">
                        <c:v>2.6881074999995036E-2</c:v>
                      </c:pt>
                      <c:pt idx="9">
                        <c:v>2.5517562499999258E-2</c:v>
                      </c:pt>
                      <c:pt idx="10">
                        <c:v>2.415405000000348E-2</c:v>
                      </c:pt>
                      <c:pt idx="11">
                        <c:v>2.2790537500000596E-2</c:v>
                      </c:pt>
                      <c:pt idx="12">
                        <c:v>2.1427024999997712E-2</c:v>
                      </c:pt>
                      <c:pt idx="13">
                        <c:v>2.0063512499998382E-2</c:v>
                      </c:pt>
                      <c:pt idx="14">
                        <c:v>1.8699999999995498E-2</c:v>
                      </c:pt>
                      <c:pt idx="15">
                        <c:v>1.733648749999972E-2</c:v>
                      </c:pt>
                      <c:pt idx="16">
                        <c:v>1.5972974999996836E-2</c:v>
                      </c:pt>
                      <c:pt idx="17">
                        <c:v>1.4609462499997505E-2</c:v>
                      </c:pt>
                      <c:pt idx="18">
                        <c:v>1.3245949999998174E-2</c:v>
                      </c:pt>
                      <c:pt idx="19">
                        <c:v>1.1882437500002396E-2</c:v>
                      </c:pt>
                      <c:pt idx="20">
                        <c:v>1.0518924999999513E-2</c:v>
                      </c:pt>
                      <c:pt idx="21">
                        <c:v>9.1554125000001818E-3</c:v>
                      </c:pt>
                      <c:pt idx="22">
                        <c:v>7.7918999999937455E-3</c:v>
                      </c:pt>
                      <c:pt idx="23">
                        <c:v>6.42838750000152E-3</c:v>
                      </c:pt>
                      <c:pt idx="24">
                        <c:v>5.0648749999950837E-3</c:v>
                      </c:pt>
                      <c:pt idx="25">
                        <c:v>3.7013624999957528E-3</c:v>
                      </c:pt>
                      <c:pt idx="26">
                        <c:v>2.337849999996422E-3</c:v>
                      </c:pt>
                      <c:pt idx="27">
                        <c:v>9.7433749999709107E-4</c:v>
                      </c:pt>
                      <c:pt idx="28">
                        <c:v>-3.8917499999513439E-4</c:v>
                      </c:pt>
                      <c:pt idx="29">
                        <c:v>-1.7526875000015707E-3</c:v>
                      </c:pt>
                      <c:pt idx="30">
                        <c:v>-3.1161999999973489E-3</c:v>
                      </c:pt>
                      <c:pt idx="31">
                        <c:v>-4.4797125000002325E-3</c:v>
                      </c:pt>
                      <c:pt idx="32">
                        <c:v>-5.8432249999995634E-3</c:v>
                      </c:pt>
                      <c:pt idx="33">
                        <c:v>-7.206737500002447E-3</c:v>
                      </c:pt>
                      <c:pt idx="34">
                        <c:v>-8.5702500000017778E-3</c:v>
                      </c:pt>
                      <c:pt idx="35">
                        <c:v>-9.9337625000082141E-3</c:v>
                      </c:pt>
                      <c:pt idx="36">
                        <c:v>-1.1297275000003992E-2</c:v>
                      </c:pt>
                      <c:pt idx="37">
                        <c:v>-1.266078749999977E-2</c:v>
                      </c:pt>
                      <c:pt idx="38">
                        <c:v>-1.4024299999999101E-2</c:v>
                      </c:pt>
                      <c:pt idx="39">
                        <c:v>-1.5387812499998432E-2</c:v>
                      </c:pt>
                      <c:pt idx="40">
                        <c:v>-1.6751324999997763E-2</c:v>
                      </c:pt>
                      <c:pt idx="41">
                        <c:v>-1.8114837499997094E-2</c:v>
                      </c:pt>
                      <c:pt idx="42">
                        <c:v>-1.947835000000353E-2</c:v>
                      </c:pt>
                      <c:pt idx="43">
                        <c:v>-2.0841862500002861E-2</c:v>
                      </c:pt>
                      <c:pt idx="44">
                        <c:v>-2.2205375000002192E-2</c:v>
                      </c:pt>
                      <c:pt idx="45">
                        <c:v>-2.3568887500001523E-2</c:v>
                      </c:pt>
                      <c:pt idx="46">
                        <c:v>-2.4932400000007959E-2</c:v>
                      </c:pt>
                      <c:pt idx="47">
                        <c:v>-2.6295912500003737E-2</c:v>
                      </c:pt>
                      <c:pt idx="48">
                        <c:v>-2.7659424999995963E-2</c:v>
                      </c:pt>
                      <c:pt idx="49">
                        <c:v>-2.9022937499998847E-2</c:v>
                      </c:pt>
                      <c:pt idx="50">
                        <c:v>-3.0386449999998177E-2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CD-4AB3-8607-1A42AE26C7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グラフ!$T$5</c15:sqref>
                        </c15:formulaRef>
                      </c:ext>
                    </c:extLst>
                    <c:strCache>
                      <c:ptCount val="1"/>
                      <c:pt idx="0">
                        <c:v>締め代：Δ+20℃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グラフ!$T$6:$T$56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3.1489175000000813E-2</c:v>
                      </c:pt>
                      <c:pt idx="1">
                        <c:v>3.0125662499997929E-2</c:v>
                      </c:pt>
                      <c:pt idx="2">
                        <c:v>2.8762149999998599E-2</c:v>
                      </c:pt>
                      <c:pt idx="3">
                        <c:v>2.7398637499999268E-2</c:v>
                      </c:pt>
                      <c:pt idx="4">
                        <c:v>2.6035124999999937E-2</c:v>
                      </c:pt>
                      <c:pt idx="5">
                        <c:v>2.4671612499997053E-2</c:v>
                      </c:pt>
                      <c:pt idx="6">
                        <c:v>2.3308099999997722E-2</c:v>
                      </c:pt>
                      <c:pt idx="7">
                        <c:v>2.1944587499994839E-2</c:v>
                      </c:pt>
                      <c:pt idx="8">
                        <c:v>2.0581074999999061E-2</c:v>
                      </c:pt>
                      <c:pt idx="9">
                        <c:v>1.9217562500003282E-2</c:v>
                      </c:pt>
                      <c:pt idx="10">
                        <c:v>1.7854050000000399E-2</c:v>
                      </c:pt>
                      <c:pt idx="11">
                        <c:v>1.6490537499997515E-2</c:v>
                      </c:pt>
                      <c:pt idx="12">
                        <c:v>1.5127024999994632E-2</c:v>
                      </c:pt>
                      <c:pt idx="13">
                        <c:v>1.3763512499998853E-2</c:v>
                      </c:pt>
                      <c:pt idx="14">
                        <c:v>1.239999999999597E-2</c:v>
                      </c:pt>
                      <c:pt idx="15">
                        <c:v>1.1036487499996639E-2</c:v>
                      </c:pt>
                      <c:pt idx="16">
                        <c:v>9.6729750000008607E-3</c:v>
                      </c:pt>
                      <c:pt idx="17">
                        <c:v>8.3094625000050826E-3</c:v>
                      </c:pt>
                      <c:pt idx="18">
                        <c:v>6.9459499999986463E-3</c:v>
                      </c:pt>
                      <c:pt idx="19">
                        <c:v>5.5824374999993154E-3</c:v>
                      </c:pt>
                      <c:pt idx="20">
                        <c:v>4.2189249999964318E-3</c:v>
                      </c:pt>
                      <c:pt idx="21">
                        <c:v>2.8554125000006536E-3</c:v>
                      </c:pt>
                      <c:pt idx="22">
                        <c:v>1.4918999999942173E-3</c:v>
                      </c:pt>
                      <c:pt idx="23">
                        <c:v>1.2838749999843913E-4</c:v>
                      </c:pt>
                      <c:pt idx="24">
                        <c:v>-1.2351250000079972E-3</c:v>
                      </c:pt>
                      <c:pt idx="25">
                        <c:v>-2.5986375000037754E-3</c:v>
                      </c:pt>
                      <c:pt idx="26">
                        <c:v>-3.9621499999960008E-3</c:v>
                      </c:pt>
                      <c:pt idx="27">
                        <c:v>-5.3256624999988844E-3</c:v>
                      </c:pt>
                      <c:pt idx="28">
                        <c:v>-6.6891749999982153E-3</c:v>
                      </c:pt>
                      <c:pt idx="29">
                        <c:v>-8.0526875000010989E-3</c:v>
                      </c:pt>
                      <c:pt idx="30">
                        <c:v>-9.4161999999968771E-3</c:v>
                      </c:pt>
                      <c:pt idx="31">
                        <c:v>-1.0779712500003313E-2</c:v>
                      </c:pt>
                      <c:pt idx="32">
                        <c:v>-1.2143225000002644E-2</c:v>
                      </c:pt>
                      <c:pt idx="33">
                        <c:v>-1.3506737500005528E-2</c:v>
                      </c:pt>
                      <c:pt idx="34">
                        <c:v>-1.4870250000001306E-2</c:v>
                      </c:pt>
                      <c:pt idx="35">
                        <c:v>-1.6233762500007742E-2</c:v>
                      </c:pt>
                      <c:pt idx="36">
                        <c:v>-1.7597274999999968E-2</c:v>
                      </c:pt>
                      <c:pt idx="37">
                        <c:v>-1.8960787499995746E-2</c:v>
                      </c:pt>
                      <c:pt idx="38">
                        <c:v>-2.032429999999863E-2</c:v>
                      </c:pt>
                      <c:pt idx="39">
                        <c:v>-2.168781249999796E-2</c:v>
                      </c:pt>
                      <c:pt idx="40">
                        <c:v>-2.3051325000000844E-2</c:v>
                      </c:pt>
                      <c:pt idx="41">
                        <c:v>-2.4414837500000175E-2</c:v>
                      </c:pt>
                      <c:pt idx="42">
                        <c:v>-2.5778350000003059E-2</c:v>
                      </c:pt>
                      <c:pt idx="43">
                        <c:v>-2.7141862500002389E-2</c:v>
                      </c:pt>
                      <c:pt idx="44">
                        <c:v>-2.8505375000005273E-2</c:v>
                      </c:pt>
                      <c:pt idx="45">
                        <c:v>-2.9868887500004604E-2</c:v>
                      </c:pt>
                      <c:pt idx="46">
                        <c:v>-3.1232400000003935E-2</c:v>
                      </c:pt>
                      <c:pt idx="47">
                        <c:v>-3.259591249999616E-2</c:v>
                      </c:pt>
                      <c:pt idx="48">
                        <c:v>-3.3959424999995491E-2</c:v>
                      </c:pt>
                      <c:pt idx="49">
                        <c:v>-3.5322937500001927E-2</c:v>
                      </c:pt>
                      <c:pt idx="50">
                        <c:v>-3.6686449999997706E-2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BCD-4AB3-8607-1A42AE26C7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グラフ!$U$5</c15:sqref>
                        </c15:formulaRef>
                      </c:ext>
                    </c:extLst>
                    <c:strCache>
                      <c:ptCount val="1"/>
                      <c:pt idx="0">
                        <c:v>締め代：Δ+30℃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グラフ!$U$6:$U$56</c15:sqref>
                        </c15:formulaRef>
                      </c:ext>
                    </c:extLst>
                    <c:numCache>
                      <c:formatCode>0.000</c:formatCode>
                      <c:ptCount val="51"/>
                      <c:pt idx="0">
                        <c:v>2.5189174999997732E-2</c:v>
                      </c:pt>
                      <c:pt idx="1">
                        <c:v>2.3825662499998401E-2</c:v>
                      </c:pt>
                      <c:pt idx="2">
                        <c:v>2.2462150000002623E-2</c:v>
                      </c:pt>
                      <c:pt idx="3">
                        <c:v>2.1098637499999739E-2</c:v>
                      </c:pt>
                      <c:pt idx="4">
                        <c:v>1.9735124999996856E-2</c:v>
                      </c:pt>
                      <c:pt idx="5">
                        <c:v>1.8371612499993972E-2</c:v>
                      </c:pt>
                      <c:pt idx="6">
                        <c:v>1.7008100000001747E-2</c:v>
                      </c:pt>
                      <c:pt idx="7">
                        <c:v>1.5644587499998863E-2</c:v>
                      </c:pt>
                      <c:pt idx="8">
                        <c:v>1.428107499999598E-2</c:v>
                      </c:pt>
                      <c:pt idx="9">
                        <c:v>1.2917562500000201E-2</c:v>
                      </c:pt>
                      <c:pt idx="10">
                        <c:v>1.1554049999997318E-2</c:v>
                      </c:pt>
                      <c:pt idx="11">
                        <c:v>1.0190537499997987E-2</c:v>
                      </c:pt>
                      <c:pt idx="12">
                        <c:v>8.8270249999951034E-3</c:v>
                      </c:pt>
                      <c:pt idx="13">
                        <c:v>7.4635124999957725E-3</c:v>
                      </c:pt>
                      <c:pt idx="14">
                        <c:v>6.0999999999999943E-3</c:v>
                      </c:pt>
                      <c:pt idx="15">
                        <c:v>4.7364875000042161E-3</c:v>
                      </c:pt>
                      <c:pt idx="16">
                        <c:v>3.3729750000013325E-3</c:v>
                      </c:pt>
                      <c:pt idx="17">
                        <c:v>2.0094625000020017E-3</c:v>
                      </c:pt>
                      <c:pt idx="18">
                        <c:v>6.4594999999556535E-4</c:v>
                      </c:pt>
                      <c:pt idx="19">
                        <c:v>-7.1756250000021282E-4</c:v>
                      </c:pt>
                      <c:pt idx="20">
                        <c:v>-2.0810750000030964E-3</c:v>
                      </c:pt>
                      <c:pt idx="21">
                        <c:v>-3.4445875000024273E-3</c:v>
                      </c:pt>
                      <c:pt idx="22">
                        <c:v>-4.8081000000088636E-3</c:v>
                      </c:pt>
                      <c:pt idx="23">
                        <c:v>-6.1716125000010891E-3</c:v>
                      </c:pt>
                      <c:pt idx="24">
                        <c:v>-7.53512500000042E-3</c:v>
                      </c:pt>
                      <c:pt idx="25">
                        <c:v>-8.8986374999997508E-3</c:v>
                      </c:pt>
                      <c:pt idx="26">
                        <c:v>-1.0262149999999082E-2</c:v>
                      </c:pt>
                      <c:pt idx="27">
                        <c:v>-1.1625662499998413E-2</c:v>
                      </c:pt>
                      <c:pt idx="28">
                        <c:v>-1.2989174999997743E-2</c:v>
                      </c:pt>
                      <c:pt idx="29">
                        <c:v>-1.435268750000418E-2</c:v>
                      </c:pt>
                      <c:pt idx="30">
                        <c:v>-1.5716199999999958E-2</c:v>
                      </c:pt>
                      <c:pt idx="31">
                        <c:v>-1.7079712500006394E-2</c:v>
                      </c:pt>
                      <c:pt idx="32">
                        <c:v>-1.8443225000002172E-2</c:v>
                      </c:pt>
                      <c:pt idx="33">
                        <c:v>-1.9806737500005056E-2</c:v>
                      </c:pt>
                      <c:pt idx="34">
                        <c:v>-2.1170249999997282E-2</c:v>
                      </c:pt>
                      <c:pt idx="35">
                        <c:v>-2.2533762500003718E-2</c:v>
                      </c:pt>
                      <c:pt idx="36">
                        <c:v>-2.3897274999999496E-2</c:v>
                      </c:pt>
                      <c:pt idx="37">
                        <c:v>-2.5260787499995274E-2</c:v>
                      </c:pt>
                      <c:pt idx="38">
                        <c:v>-2.662430000000171E-2</c:v>
                      </c:pt>
                      <c:pt idx="39">
                        <c:v>-2.7987812500001041E-2</c:v>
                      </c:pt>
                      <c:pt idx="40">
                        <c:v>-2.9351325000000372E-2</c:v>
                      </c:pt>
                      <c:pt idx="41">
                        <c:v>-3.0714837499999703E-2</c:v>
                      </c:pt>
                      <c:pt idx="42">
                        <c:v>-3.2078350000006139E-2</c:v>
                      </c:pt>
                      <c:pt idx="43">
                        <c:v>-3.344186250000547E-2</c:v>
                      </c:pt>
                      <c:pt idx="44">
                        <c:v>-3.4805375000001249E-2</c:v>
                      </c:pt>
                      <c:pt idx="45">
                        <c:v>-3.6168887499997027E-2</c:v>
                      </c:pt>
                      <c:pt idx="46">
                        <c:v>-3.7532400000003463E-2</c:v>
                      </c:pt>
                      <c:pt idx="47">
                        <c:v>-3.8895912499999241E-2</c:v>
                      </c:pt>
                      <c:pt idx="48">
                        <c:v>-4.0259424999995019E-2</c:v>
                      </c:pt>
                      <c:pt idx="49">
                        <c:v>-4.1622937500001456E-2</c:v>
                      </c:pt>
                      <c:pt idx="50">
                        <c:v>-4.2986450000000787E-2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BCD-4AB3-8607-1A42AE26C7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グラフ!$V$5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グラフ!$V$6:$V$56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65.159818559125597</c:v>
                      </c:pt>
                      <c:pt idx="1">
                        <c:v>63.74931862634682</c:v>
                      </c:pt>
                      <c:pt idx="2">
                        <c:v>62.338818693575412</c:v>
                      </c:pt>
                      <c:pt idx="3">
                        <c:v>60.928318760800316</c:v>
                      </c:pt>
                      <c:pt idx="4">
                        <c:v>59.517818828021554</c:v>
                      </c:pt>
                      <c:pt idx="5">
                        <c:v>58.107318895242791</c:v>
                      </c:pt>
                      <c:pt idx="6">
                        <c:v>56.696818962471376</c:v>
                      </c:pt>
                      <c:pt idx="7">
                        <c:v>55.286319029692613</c:v>
                      </c:pt>
                      <c:pt idx="8">
                        <c:v>53.875819096917525</c:v>
                      </c:pt>
                      <c:pt idx="9">
                        <c:v>52.465319164146116</c:v>
                      </c:pt>
                      <c:pt idx="10">
                        <c:v>51.054819231371027</c:v>
                      </c:pt>
                      <c:pt idx="11">
                        <c:v>49.644319298592258</c:v>
                      </c:pt>
                      <c:pt idx="12">
                        <c:v>48.233819365813488</c:v>
                      </c:pt>
                      <c:pt idx="13">
                        <c:v>46.82331943304208</c:v>
                      </c:pt>
                      <c:pt idx="14">
                        <c:v>45.412819500266991</c:v>
                      </c:pt>
                      <c:pt idx="15">
                        <c:v>44.002319567491902</c:v>
                      </c:pt>
                      <c:pt idx="16">
                        <c:v>42.59181963471314</c:v>
                      </c:pt>
                      <c:pt idx="17">
                        <c:v>41.181319701938051</c:v>
                      </c:pt>
                      <c:pt idx="18">
                        <c:v>39.770819769162962</c:v>
                      </c:pt>
                      <c:pt idx="19">
                        <c:v>38.360319836387873</c:v>
                      </c:pt>
                      <c:pt idx="20">
                        <c:v>36.949819903609111</c:v>
                      </c:pt>
                      <c:pt idx="21">
                        <c:v>35.539319970834022</c:v>
                      </c:pt>
                      <c:pt idx="22">
                        <c:v>34.128820038051579</c:v>
                      </c:pt>
                      <c:pt idx="23">
                        <c:v>32.718320105283844</c:v>
                      </c:pt>
                      <c:pt idx="24">
                        <c:v>31.307820172501405</c:v>
                      </c:pt>
                      <c:pt idx="25">
                        <c:v>29.897320239726316</c:v>
                      </c:pt>
                      <c:pt idx="26">
                        <c:v>28.486820306958577</c:v>
                      </c:pt>
                      <c:pt idx="27">
                        <c:v>27.076320374183489</c:v>
                      </c:pt>
                      <c:pt idx="28">
                        <c:v>25.6658204414084</c:v>
                      </c:pt>
                      <c:pt idx="29">
                        <c:v>24.255320508625957</c:v>
                      </c:pt>
                      <c:pt idx="30">
                        <c:v>22.844820575854545</c:v>
                      </c:pt>
                      <c:pt idx="31">
                        <c:v>21.434320643075782</c:v>
                      </c:pt>
                      <c:pt idx="32">
                        <c:v>20.023820710300694</c:v>
                      </c:pt>
                      <c:pt idx="33">
                        <c:v>18.613320777521928</c:v>
                      </c:pt>
                      <c:pt idx="34">
                        <c:v>17.202820844746839</c:v>
                      </c:pt>
                      <c:pt idx="35">
                        <c:v>15.792320911968076</c:v>
                      </c:pt>
                      <c:pt idx="36">
                        <c:v>14.381820979200338</c:v>
                      </c:pt>
                      <c:pt idx="37">
                        <c:v>12.971321046428923</c:v>
                      </c:pt>
                      <c:pt idx="38">
                        <c:v>11.560821113646485</c:v>
                      </c:pt>
                      <c:pt idx="39">
                        <c:v>10.15032118087507</c:v>
                      </c:pt>
                      <c:pt idx="40">
                        <c:v>8.7398212480963053</c:v>
                      </c:pt>
                      <c:pt idx="41">
                        <c:v>7.3293213153212173</c:v>
                      </c:pt>
                      <c:pt idx="42">
                        <c:v>5.9188213825387779</c:v>
                      </c:pt>
                      <c:pt idx="43">
                        <c:v>4.5083214497636899</c:v>
                      </c:pt>
                      <c:pt idx="44">
                        <c:v>3.0978215169886005</c:v>
                      </c:pt>
                      <c:pt idx="45">
                        <c:v>1.6873215842135119</c:v>
                      </c:pt>
                      <c:pt idx="46">
                        <c:v>0.27682165143842297</c:v>
                      </c:pt>
                      <c:pt idx="47">
                        <c:v>-1.1336782813329909</c:v>
                      </c:pt>
                      <c:pt idx="48">
                        <c:v>-2.5441782141044045</c:v>
                      </c:pt>
                      <c:pt idx="49">
                        <c:v>-3.9546781468868435</c:v>
                      </c:pt>
                      <c:pt idx="50">
                        <c:v>-5.3651780796619324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BCD-4AB3-8607-1A42AE26C77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グラフ!$W$5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グラフ!$W$6:$W$56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58.642716899634557</c:v>
                      </c:pt>
                      <c:pt idx="1">
                        <c:v>57.232216966859468</c:v>
                      </c:pt>
                      <c:pt idx="2">
                        <c:v>55.821717034084379</c:v>
                      </c:pt>
                      <c:pt idx="3">
                        <c:v>54.411217101305617</c:v>
                      </c:pt>
                      <c:pt idx="4">
                        <c:v>53.000717168530528</c:v>
                      </c:pt>
                      <c:pt idx="5">
                        <c:v>51.590217235751766</c:v>
                      </c:pt>
                      <c:pt idx="6">
                        <c:v>50.17971730298035</c:v>
                      </c:pt>
                      <c:pt idx="7">
                        <c:v>48.769217370201588</c:v>
                      </c:pt>
                      <c:pt idx="8">
                        <c:v>47.358717437426499</c:v>
                      </c:pt>
                      <c:pt idx="9">
                        <c:v>45.948217504655091</c:v>
                      </c:pt>
                      <c:pt idx="10">
                        <c:v>44.537717571876328</c:v>
                      </c:pt>
                      <c:pt idx="11">
                        <c:v>43.127217639101239</c:v>
                      </c:pt>
                      <c:pt idx="12">
                        <c:v>41.716717706326151</c:v>
                      </c:pt>
                      <c:pt idx="13">
                        <c:v>40.306217773551055</c:v>
                      </c:pt>
                      <c:pt idx="14">
                        <c:v>38.895717840772292</c:v>
                      </c:pt>
                      <c:pt idx="15">
                        <c:v>37.485217907997203</c:v>
                      </c:pt>
                      <c:pt idx="16">
                        <c:v>36.074717975225788</c:v>
                      </c:pt>
                      <c:pt idx="17">
                        <c:v>34.664218042450699</c:v>
                      </c:pt>
                      <c:pt idx="18">
                        <c:v>33.253718109668263</c:v>
                      </c:pt>
                      <c:pt idx="19">
                        <c:v>31.843218176893174</c:v>
                      </c:pt>
                      <c:pt idx="20">
                        <c:v>30.432718244114412</c:v>
                      </c:pt>
                      <c:pt idx="21">
                        <c:v>29.022218311342996</c:v>
                      </c:pt>
                      <c:pt idx="22">
                        <c:v>27.611718378560557</c:v>
                      </c:pt>
                      <c:pt idx="23">
                        <c:v>26.201218445789141</c:v>
                      </c:pt>
                      <c:pt idx="24">
                        <c:v>24.790718513014053</c:v>
                      </c:pt>
                      <c:pt idx="25">
                        <c:v>23.380218580242641</c:v>
                      </c:pt>
                      <c:pt idx="26">
                        <c:v>21.969718647467552</c:v>
                      </c:pt>
                      <c:pt idx="27">
                        <c:v>20.559218714688789</c:v>
                      </c:pt>
                      <c:pt idx="28">
                        <c:v>19.148718781913701</c:v>
                      </c:pt>
                      <c:pt idx="29">
                        <c:v>17.738218849134935</c:v>
                      </c:pt>
                      <c:pt idx="30">
                        <c:v>16.327718916363519</c:v>
                      </c:pt>
                      <c:pt idx="31">
                        <c:v>14.917218983581082</c:v>
                      </c:pt>
                      <c:pt idx="32">
                        <c:v>13.506719050805993</c:v>
                      </c:pt>
                      <c:pt idx="33">
                        <c:v>12.096219118030904</c:v>
                      </c:pt>
                      <c:pt idx="34">
                        <c:v>10.685719185263165</c:v>
                      </c:pt>
                      <c:pt idx="35">
                        <c:v>9.275219252480726</c:v>
                      </c:pt>
                      <c:pt idx="36">
                        <c:v>7.8647193197056371</c:v>
                      </c:pt>
                      <c:pt idx="37">
                        <c:v>6.4542193869378988</c:v>
                      </c:pt>
                      <c:pt idx="38">
                        <c:v>5.0437194541554602</c:v>
                      </c:pt>
                      <c:pt idx="39">
                        <c:v>3.6332195213803713</c:v>
                      </c:pt>
                      <c:pt idx="40">
                        <c:v>2.2227195886016071</c:v>
                      </c:pt>
                      <c:pt idx="41">
                        <c:v>0.81221965582651823</c:v>
                      </c:pt>
                      <c:pt idx="42">
                        <c:v>-0.59828027695224573</c:v>
                      </c:pt>
                      <c:pt idx="43">
                        <c:v>-2.0087802097273344</c:v>
                      </c:pt>
                      <c:pt idx="44">
                        <c:v>-3.419280142498748</c:v>
                      </c:pt>
                      <c:pt idx="45">
                        <c:v>-4.8297800752738365</c:v>
                      </c:pt>
                      <c:pt idx="46">
                        <c:v>-6.2402800080526006</c:v>
                      </c:pt>
                      <c:pt idx="47">
                        <c:v>-7.6507799408240142</c:v>
                      </c:pt>
                      <c:pt idx="48">
                        <c:v>-9.0612798735991031</c:v>
                      </c:pt>
                      <c:pt idx="49">
                        <c:v>-10.471779806381543</c:v>
                      </c:pt>
                      <c:pt idx="50">
                        <c:v>-11.882279739152956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BCD-4AB3-8607-1A42AE26C7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グラフ!$X$5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グラフ!$X$6:$X$56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52.125615240143539</c:v>
                      </c:pt>
                      <c:pt idx="1">
                        <c:v>50.715115307364769</c:v>
                      </c:pt>
                      <c:pt idx="2">
                        <c:v>49.304615374593354</c:v>
                      </c:pt>
                      <c:pt idx="3">
                        <c:v>47.894115441814591</c:v>
                      </c:pt>
                      <c:pt idx="4">
                        <c:v>46.483615509039502</c:v>
                      </c:pt>
                      <c:pt idx="5">
                        <c:v>45.07311557626074</c:v>
                      </c:pt>
                      <c:pt idx="6">
                        <c:v>43.662615643489325</c:v>
                      </c:pt>
                      <c:pt idx="7">
                        <c:v>42.252115710710562</c:v>
                      </c:pt>
                      <c:pt idx="8">
                        <c:v>40.8416157779318</c:v>
                      </c:pt>
                      <c:pt idx="9">
                        <c:v>39.431115845164065</c:v>
                      </c:pt>
                      <c:pt idx="10">
                        <c:v>38.020615912388976</c:v>
                      </c:pt>
                      <c:pt idx="11">
                        <c:v>36.610115979610214</c:v>
                      </c:pt>
                      <c:pt idx="12">
                        <c:v>35.199616046831451</c:v>
                      </c:pt>
                      <c:pt idx="13">
                        <c:v>33.789116114056363</c:v>
                      </c:pt>
                      <c:pt idx="14">
                        <c:v>32.378616181284947</c:v>
                      </c:pt>
                      <c:pt idx="15">
                        <c:v>30.968116248509855</c:v>
                      </c:pt>
                      <c:pt idx="16">
                        <c:v>29.557616315731092</c:v>
                      </c:pt>
                      <c:pt idx="17">
                        <c:v>28.147116382956003</c:v>
                      </c:pt>
                      <c:pt idx="18">
                        <c:v>26.73661645017356</c:v>
                      </c:pt>
                      <c:pt idx="19">
                        <c:v>25.326116517402149</c:v>
                      </c:pt>
                      <c:pt idx="20">
                        <c:v>23.915616584623386</c:v>
                      </c:pt>
                      <c:pt idx="21">
                        <c:v>22.505116651848297</c:v>
                      </c:pt>
                      <c:pt idx="22">
                        <c:v>21.094616719073208</c:v>
                      </c:pt>
                      <c:pt idx="23">
                        <c:v>19.68411678630547</c:v>
                      </c:pt>
                      <c:pt idx="24">
                        <c:v>18.273616853523031</c:v>
                      </c:pt>
                      <c:pt idx="25">
                        <c:v>16.863116920747938</c:v>
                      </c:pt>
                      <c:pt idx="26">
                        <c:v>15.452616987972853</c:v>
                      </c:pt>
                      <c:pt idx="27">
                        <c:v>14.042117055197762</c:v>
                      </c:pt>
                      <c:pt idx="28">
                        <c:v>12.631617122422675</c:v>
                      </c:pt>
                      <c:pt idx="29">
                        <c:v>11.221117189640236</c:v>
                      </c:pt>
                      <c:pt idx="30">
                        <c:v>9.8106172568688219</c:v>
                      </c:pt>
                      <c:pt idx="31">
                        <c:v>8.4001173240900577</c:v>
                      </c:pt>
                      <c:pt idx="32">
                        <c:v>6.9896173913223185</c:v>
                      </c:pt>
                      <c:pt idx="33">
                        <c:v>5.5791174585435552</c:v>
                      </c:pt>
                      <c:pt idx="34">
                        <c:v>4.1686175257684663</c:v>
                      </c:pt>
                      <c:pt idx="35">
                        <c:v>2.7581175929897026</c:v>
                      </c:pt>
                      <c:pt idx="36">
                        <c:v>1.3476176602146135</c:v>
                      </c:pt>
                      <c:pt idx="37">
                        <c:v>-6.2882272556800109E-2</c:v>
                      </c:pt>
                      <c:pt idx="38">
                        <c:v>-1.4733822053392394</c:v>
                      </c:pt>
                      <c:pt idx="39">
                        <c:v>-2.8838821381143278</c:v>
                      </c:pt>
                      <c:pt idx="40">
                        <c:v>-4.2943820708894176</c:v>
                      </c:pt>
                      <c:pt idx="41">
                        <c:v>-5.7048820036645056</c:v>
                      </c:pt>
                      <c:pt idx="42">
                        <c:v>-7.1153819364395945</c:v>
                      </c:pt>
                      <c:pt idx="43">
                        <c:v>-8.5258818692146825</c:v>
                      </c:pt>
                      <c:pt idx="44">
                        <c:v>-9.9363818019897732</c:v>
                      </c:pt>
                      <c:pt idx="45">
                        <c:v>-11.34688173476486</c:v>
                      </c:pt>
                      <c:pt idx="46">
                        <c:v>-12.7573816675473</c:v>
                      </c:pt>
                      <c:pt idx="47">
                        <c:v>-14.167881600318713</c:v>
                      </c:pt>
                      <c:pt idx="48">
                        <c:v>-15.578381533090127</c:v>
                      </c:pt>
                      <c:pt idx="49">
                        <c:v>-16.988881465872566</c:v>
                      </c:pt>
                      <c:pt idx="50">
                        <c:v>-18.399381398647655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BCD-4AB3-8607-1A42AE26C7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グラフ!$Y$5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グラフ!$Y$6:$Y$56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45.608513580652513</c:v>
                      </c:pt>
                      <c:pt idx="1">
                        <c:v>44.198013647873751</c:v>
                      </c:pt>
                      <c:pt idx="2">
                        <c:v>42.787513715102335</c:v>
                      </c:pt>
                      <c:pt idx="3">
                        <c:v>41.377013782323566</c:v>
                      </c:pt>
                      <c:pt idx="4">
                        <c:v>39.966513849548477</c:v>
                      </c:pt>
                      <c:pt idx="5">
                        <c:v>38.556013916769714</c:v>
                      </c:pt>
                      <c:pt idx="6">
                        <c:v>37.145513983994626</c:v>
                      </c:pt>
                      <c:pt idx="7">
                        <c:v>35.735014051219537</c:v>
                      </c:pt>
                      <c:pt idx="8">
                        <c:v>34.324514118444455</c:v>
                      </c:pt>
                      <c:pt idx="9">
                        <c:v>32.914014185673039</c:v>
                      </c:pt>
                      <c:pt idx="10">
                        <c:v>31.503514252894277</c:v>
                      </c:pt>
                      <c:pt idx="11">
                        <c:v>30.093014320115511</c:v>
                      </c:pt>
                      <c:pt idx="12">
                        <c:v>28.682514387344099</c:v>
                      </c:pt>
                      <c:pt idx="13">
                        <c:v>27.27201445456901</c:v>
                      </c:pt>
                      <c:pt idx="14">
                        <c:v>25.861514521790244</c:v>
                      </c:pt>
                      <c:pt idx="15">
                        <c:v>24.451014589015156</c:v>
                      </c:pt>
                      <c:pt idx="16">
                        <c:v>23.040514656236393</c:v>
                      </c:pt>
                      <c:pt idx="17">
                        <c:v>21.630014723464978</c:v>
                      </c:pt>
                      <c:pt idx="18">
                        <c:v>20.219514790682538</c:v>
                      </c:pt>
                      <c:pt idx="19">
                        <c:v>18.809014857907449</c:v>
                      </c:pt>
                      <c:pt idx="20">
                        <c:v>17.398514925136034</c:v>
                      </c:pt>
                      <c:pt idx="21">
                        <c:v>15.988014992364624</c:v>
                      </c:pt>
                      <c:pt idx="22">
                        <c:v>14.577515059582183</c:v>
                      </c:pt>
                      <c:pt idx="23">
                        <c:v>13.167015126810769</c:v>
                      </c:pt>
                      <c:pt idx="24">
                        <c:v>11.75651519402833</c:v>
                      </c:pt>
                      <c:pt idx="25">
                        <c:v>10.346015261256916</c:v>
                      </c:pt>
                      <c:pt idx="26">
                        <c:v>8.9355153284818272</c:v>
                      </c:pt>
                      <c:pt idx="27">
                        <c:v>7.5250153957030639</c:v>
                      </c:pt>
                      <c:pt idx="28">
                        <c:v>6.1145154629279759</c:v>
                      </c:pt>
                      <c:pt idx="29">
                        <c:v>4.7040155301492108</c:v>
                      </c:pt>
                      <c:pt idx="30">
                        <c:v>3.2935155973851482</c:v>
                      </c:pt>
                      <c:pt idx="31">
                        <c:v>1.8830156646027087</c:v>
                      </c:pt>
                      <c:pt idx="32">
                        <c:v>0.47251573182762008</c:v>
                      </c:pt>
                      <c:pt idx="33">
                        <c:v>-0.9379842009474687</c:v>
                      </c:pt>
                      <c:pt idx="34">
                        <c:v>-2.3484841337225575</c:v>
                      </c:pt>
                      <c:pt idx="35">
                        <c:v>-3.7589840665049965</c:v>
                      </c:pt>
                      <c:pt idx="36">
                        <c:v>-5.169483999280085</c:v>
                      </c:pt>
                      <c:pt idx="37">
                        <c:v>-6.5799839320514995</c:v>
                      </c:pt>
                      <c:pt idx="38">
                        <c:v>-7.9904838648302627</c:v>
                      </c:pt>
                      <c:pt idx="39">
                        <c:v>-9.4009837976053525</c:v>
                      </c:pt>
                      <c:pt idx="40">
                        <c:v>-10.811483730376766</c:v>
                      </c:pt>
                      <c:pt idx="41">
                        <c:v>-12.221983663151855</c:v>
                      </c:pt>
                      <c:pt idx="42">
                        <c:v>-13.632483595930619</c:v>
                      </c:pt>
                      <c:pt idx="43">
                        <c:v>-15.042983528705708</c:v>
                      </c:pt>
                      <c:pt idx="44">
                        <c:v>-16.45348346148447</c:v>
                      </c:pt>
                      <c:pt idx="45">
                        <c:v>-17.863983394259559</c:v>
                      </c:pt>
                      <c:pt idx="46">
                        <c:v>-19.274483327038325</c:v>
                      </c:pt>
                      <c:pt idx="47">
                        <c:v>-20.684983259809741</c:v>
                      </c:pt>
                      <c:pt idx="48">
                        <c:v>-22.095483192584826</c:v>
                      </c:pt>
                      <c:pt idx="49">
                        <c:v>-23.505983125367266</c:v>
                      </c:pt>
                      <c:pt idx="50">
                        <c:v>-24.916483058135004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BCD-4AB3-8607-1A42AE26C7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グラフ!$Z$5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グラフ!$Z$6:$Z$56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39.091411921161487</c:v>
                      </c:pt>
                      <c:pt idx="1">
                        <c:v>37.680911988382725</c:v>
                      </c:pt>
                      <c:pt idx="2">
                        <c:v>36.27041205561131</c:v>
                      </c:pt>
                      <c:pt idx="3">
                        <c:v>34.859912122832547</c:v>
                      </c:pt>
                      <c:pt idx="4">
                        <c:v>33.449412190053785</c:v>
                      </c:pt>
                      <c:pt idx="5">
                        <c:v>32.038912257278689</c:v>
                      </c:pt>
                      <c:pt idx="6">
                        <c:v>30.628412324507284</c:v>
                      </c:pt>
                      <c:pt idx="7">
                        <c:v>29.217912391728518</c:v>
                      </c:pt>
                      <c:pt idx="8">
                        <c:v>27.807412458949752</c:v>
                      </c:pt>
                      <c:pt idx="9">
                        <c:v>26.396912526178337</c:v>
                      </c:pt>
                      <c:pt idx="10">
                        <c:v>24.986412593406925</c:v>
                      </c:pt>
                      <c:pt idx="11">
                        <c:v>23.575912660628163</c:v>
                      </c:pt>
                      <c:pt idx="12">
                        <c:v>22.165412727849397</c:v>
                      </c:pt>
                      <c:pt idx="13">
                        <c:v>20.754912795074311</c:v>
                      </c:pt>
                      <c:pt idx="14">
                        <c:v>19.344412862295542</c:v>
                      </c:pt>
                      <c:pt idx="15">
                        <c:v>17.933912929524134</c:v>
                      </c:pt>
                      <c:pt idx="16">
                        <c:v>16.523412996745368</c:v>
                      </c:pt>
                      <c:pt idx="17">
                        <c:v>15.112913063970279</c:v>
                      </c:pt>
                      <c:pt idx="18">
                        <c:v>13.70241313119519</c:v>
                      </c:pt>
                      <c:pt idx="19">
                        <c:v>12.291913198423776</c:v>
                      </c:pt>
                      <c:pt idx="20">
                        <c:v>10.881413265645014</c:v>
                      </c:pt>
                      <c:pt idx="21">
                        <c:v>9.4709133328699231</c:v>
                      </c:pt>
                      <c:pt idx="22">
                        <c:v>8.0604134000874836</c:v>
                      </c:pt>
                      <c:pt idx="23">
                        <c:v>6.6499134673197462</c:v>
                      </c:pt>
                      <c:pt idx="24">
                        <c:v>5.2394135345373067</c:v>
                      </c:pt>
                      <c:pt idx="25">
                        <c:v>3.8289136017622183</c:v>
                      </c:pt>
                      <c:pt idx="26">
                        <c:v>2.418413668987129</c:v>
                      </c:pt>
                      <c:pt idx="27">
                        <c:v>1.0079137362120403</c:v>
                      </c:pt>
                      <c:pt idx="28">
                        <c:v>-0.40258619655569833</c:v>
                      </c:pt>
                      <c:pt idx="29">
                        <c:v>-1.8130861293381375</c:v>
                      </c:pt>
                      <c:pt idx="30">
                        <c:v>-3.2235860621095509</c:v>
                      </c:pt>
                      <c:pt idx="31">
                        <c:v>-4.6340859948883146</c:v>
                      </c:pt>
                      <c:pt idx="32">
                        <c:v>-6.0445859276634044</c:v>
                      </c:pt>
                      <c:pt idx="33">
                        <c:v>-7.4550858604421677</c:v>
                      </c:pt>
                      <c:pt idx="34">
                        <c:v>-8.8655857932172566</c:v>
                      </c:pt>
                      <c:pt idx="35">
                        <c:v>-10.276085725999696</c:v>
                      </c:pt>
                      <c:pt idx="36">
                        <c:v>-11.68658565877111</c:v>
                      </c:pt>
                      <c:pt idx="37">
                        <c:v>-13.097085591542523</c:v>
                      </c:pt>
                      <c:pt idx="38">
                        <c:v>-14.507585524317612</c:v>
                      </c:pt>
                      <c:pt idx="39">
                        <c:v>-15.918085457092701</c:v>
                      </c:pt>
                      <c:pt idx="40">
                        <c:v>-17.32858538986779</c:v>
                      </c:pt>
                      <c:pt idx="41">
                        <c:v>-18.739085322642879</c:v>
                      </c:pt>
                      <c:pt idx="42">
                        <c:v>-20.149585255425318</c:v>
                      </c:pt>
                      <c:pt idx="43">
                        <c:v>-21.560085188200407</c:v>
                      </c:pt>
                      <c:pt idx="44">
                        <c:v>-22.970585120975496</c:v>
                      </c:pt>
                      <c:pt idx="45">
                        <c:v>-24.381085053750585</c:v>
                      </c:pt>
                      <c:pt idx="46">
                        <c:v>-25.791584986533021</c:v>
                      </c:pt>
                      <c:pt idx="47">
                        <c:v>-27.202084919304436</c:v>
                      </c:pt>
                      <c:pt idx="48">
                        <c:v>-28.612584852072175</c:v>
                      </c:pt>
                      <c:pt idx="49">
                        <c:v>-30.023084784850937</c:v>
                      </c:pt>
                      <c:pt idx="50">
                        <c:v>-31.433584717626029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BCD-4AB3-8607-1A42AE26C77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グラフ!$AA$5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グラフ!$AA$6:$AA$56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32.574310261670462</c:v>
                      </c:pt>
                      <c:pt idx="1">
                        <c:v>31.163810328891699</c:v>
                      </c:pt>
                      <c:pt idx="2">
                        <c:v>29.753310396116614</c:v>
                      </c:pt>
                      <c:pt idx="3">
                        <c:v>28.342810463341525</c:v>
                      </c:pt>
                      <c:pt idx="4">
                        <c:v>26.932310530566436</c:v>
                      </c:pt>
                      <c:pt idx="5">
                        <c:v>25.52181059778767</c:v>
                      </c:pt>
                      <c:pt idx="6">
                        <c:v>24.111310665012581</c:v>
                      </c:pt>
                      <c:pt idx="7">
                        <c:v>22.700810732233819</c:v>
                      </c:pt>
                      <c:pt idx="8">
                        <c:v>21.290310799462404</c:v>
                      </c:pt>
                      <c:pt idx="9">
                        <c:v>19.879810866690992</c:v>
                      </c:pt>
                      <c:pt idx="10">
                        <c:v>18.469310933912229</c:v>
                      </c:pt>
                      <c:pt idx="11">
                        <c:v>17.05881100113346</c:v>
                      </c:pt>
                      <c:pt idx="12">
                        <c:v>15.648311068354698</c:v>
                      </c:pt>
                      <c:pt idx="13">
                        <c:v>14.237811135583284</c:v>
                      </c:pt>
                      <c:pt idx="14">
                        <c:v>12.827311202804522</c:v>
                      </c:pt>
                      <c:pt idx="15">
                        <c:v>11.416811270029431</c:v>
                      </c:pt>
                      <c:pt idx="16">
                        <c:v>10.006311337258019</c:v>
                      </c:pt>
                      <c:pt idx="17">
                        <c:v>8.5958114044866054</c:v>
                      </c:pt>
                      <c:pt idx="18">
                        <c:v>7.185311471704166</c:v>
                      </c:pt>
                      <c:pt idx="19">
                        <c:v>5.7748115389290771</c:v>
                      </c:pt>
                      <c:pt idx="20">
                        <c:v>4.3643116061503138</c:v>
                      </c:pt>
                      <c:pt idx="21">
                        <c:v>2.9538116733788993</c:v>
                      </c:pt>
                      <c:pt idx="22">
                        <c:v>1.5433117405964603</c:v>
                      </c:pt>
                      <c:pt idx="23">
                        <c:v>0.13281180782504667</c:v>
                      </c:pt>
                      <c:pt idx="24">
                        <c:v>-1.2776881249573924</c:v>
                      </c:pt>
                      <c:pt idx="25">
                        <c:v>-2.6881880577288064</c:v>
                      </c:pt>
                      <c:pt idx="26">
                        <c:v>-4.0986879904965443</c:v>
                      </c:pt>
                      <c:pt idx="27">
                        <c:v>-5.5091879232753085</c:v>
                      </c:pt>
                      <c:pt idx="28">
                        <c:v>-6.9196878560503974</c:v>
                      </c:pt>
                      <c:pt idx="29">
                        <c:v>-8.3301877888291624</c:v>
                      </c:pt>
                      <c:pt idx="30">
                        <c:v>-9.7406877216005743</c:v>
                      </c:pt>
                      <c:pt idx="31">
                        <c:v>-11.151187654383014</c:v>
                      </c:pt>
                      <c:pt idx="32">
                        <c:v>-12.561687587158104</c:v>
                      </c:pt>
                      <c:pt idx="33">
                        <c:v>-13.972187519936867</c:v>
                      </c:pt>
                      <c:pt idx="34">
                        <c:v>-15.382687452708282</c:v>
                      </c:pt>
                      <c:pt idx="35">
                        <c:v>-16.793187385490722</c:v>
                      </c:pt>
                      <c:pt idx="36">
                        <c:v>-18.203687318258456</c:v>
                      </c:pt>
                      <c:pt idx="37">
                        <c:v>-19.614187251029872</c:v>
                      </c:pt>
                      <c:pt idx="38">
                        <c:v>-21.024687183808634</c:v>
                      </c:pt>
                      <c:pt idx="39">
                        <c:v>-22.435187116583727</c:v>
                      </c:pt>
                      <c:pt idx="40">
                        <c:v>-23.845687049362489</c:v>
                      </c:pt>
                      <c:pt idx="41">
                        <c:v>-25.256186982137578</c:v>
                      </c:pt>
                      <c:pt idx="42">
                        <c:v>-26.66668691491634</c:v>
                      </c:pt>
                      <c:pt idx="43">
                        <c:v>-28.077186847691429</c:v>
                      </c:pt>
                      <c:pt idx="44">
                        <c:v>-29.487686780470195</c:v>
                      </c:pt>
                      <c:pt idx="45">
                        <c:v>-30.898186713245284</c:v>
                      </c:pt>
                      <c:pt idx="46">
                        <c:v>-32.308686646020369</c:v>
                      </c:pt>
                      <c:pt idx="47">
                        <c:v>-33.719186578788111</c:v>
                      </c:pt>
                      <c:pt idx="48">
                        <c:v>-35.129686511563193</c:v>
                      </c:pt>
                      <c:pt idx="49">
                        <c:v>-36.540186444345643</c:v>
                      </c:pt>
                      <c:pt idx="50">
                        <c:v>-37.950686377117052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BCD-4AB3-8607-1A42AE26C7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グラフ!$AB$5</c15:sqref>
                        </c15:formulaRef>
                      </c:ext>
                    </c:extLst>
                    <c:strCache>
                      <c:ptCount val="1"/>
                      <c:pt idx="0">
                        <c:v>半径方向応力:Δ+30℃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グラフ!$AB$6:$AB$56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26.057208602175766</c:v>
                      </c:pt>
                      <c:pt idx="1">
                        <c:v>24.646708669400677</c:v>
                      </c:pt>
                      <c:pt idx="2">
                        <c:v>23.236208736629262</c:v>
                      </c:pt>
                      <c:pt idx="3">
                        <c:v>21.8257088038505</c:v>
                      </c:pt>
                      <c:pt idx="4">
                        <c:v>20.415208871071737</c:v>
                      </c:pt>
                      <c:pt idx="5">
                        <c:v>19.004708938292971</c:v>
                      </c:pt>
                      <c:pt idx="6">
                        <c:v>17.594209005525233</c:v>
                      </c:pt>
                      <c:pt idx="7">
                        <c:v>16.183709072746467</c:v>
                      </c:pt>
                      <c:pt idx="8">
                        <c:v>14.773209139967705</c:v>
                      </c:pt>
                      <c:pt idx="9">
                        <c:v>13.362709207196291</c:v>
                      </c:pt>
                      <c:pt idx="10">
                        <c:v>11.952209274417529</c:v>
                      </c:pt>
                      <c:pt idx="11">
                        <c:v>10.541709341642438</c:v>
                      </c:pt>
                      <c:pt idx="12">
                        <c:v>9.1312094088636755</c:v>
                      </c:pt>
                      <c:pt idx="13">
                        <c:v>7.7207094760885857</c:v>
                      </c:pt>
                      <c:pt idx="14">
                        <c:v>6.3102095433171721</c:v>
                      </c:pt>
                      <c:pt idx="15">
                        <c:v>4.8997096105457594</c:v>
                      </c:pt>
                      <c:pt idx="16">
                        <c:v>3.4892096777669948</c:v>
                      </c:pt>
                      <c:pt idx="17">
                        <c:v>2.0787097449919059</c:v>
                      </c:pt>
                      <c:pt idx="18">
                        <c:v>0.66820981220946685</c:v>
                      </c:pt>
                      <c:pt idx="19">
                        <c:v>-0.74229012056194676</c:v>
                      </c:pt>
                      <c:pt idx="20">
                        <c:v>-2.1527900533407109</c:v>
                      </c:pt>
                      <c:pt idx="21">
                        <c:v>-3.5632899861157998</c:v>
                      </c:pt>
                      <c:pt idx="22">
                        <c:v>-4.9737899188982384</c:v>
                      </c:pt>
                      <c:pt idx="23">
                        <c:v>-6.3842898516659767</c:v>
                      </c:pt>
                      <c:pt idx="24">
                        <c:v>-7.7947897844410656</c:v>
                      </c:pt>
                      <c:pt idx="25">
                        <c:v>-9.2052897172161554</c:v>
                      </c:pt>
                      <c:pt idx="26">
                        <c:v>-10.615789649991244</c:v>
                      </c:pt>
                      <c:pt idx="27">
                        <c:v>-12.026289582766333</c:v>
                      </c:pt>
                      <c:pt idx="28">
                        <c:v>-13.43678951554142</c:v>
                      </c:pt>
                      <c:pt idx="29">
                        <c:v>-14.84728944832386</c:v>
                      </c:pt>
                      <c:pt idx="30">
                        <c:v>-16.257789381095275</c:v>
                      </c:pt>
                      <c:pt idx="31">
                        <c:v>-17.668289313877715</c:v>
                      </c:pt>
                      <c:pt idx="32">
                        <c:v>-19.078789246649126</c:v>
                      </c:pt>
                      <c:pt idx="33">
                        <c:v>-20.489289179427892</c:v>
                      </c:pt>
                      <c:pt idx="34">
                        <c:v>-21.899789112195631</c:v>
                      </c:pt>
                      <c:pt idx="35">
                        <c:v>-23.31028904497807</c:v>
                      </c:pt>
                      <c:pt idx="36">
                        <c:v>-24.720788977749482</c:v>
                      </c:pt>
                      <c:pt idx="37">
                        <c:v>-26.131288910520897</c:v>
                      </c:pt>
                      <c:pt idx="38">
                        <c:v>-27.541788843303333</c:v>
                      </c:pt>
                      <c:pt idx="39">
                        <c:v>-28.952288776078422</c:v>
                      </c:pt>
                      <c:pt idx="40">
                        <c:v>-30.362788708853515</c:v>
                      </c:pt>
                      <c:pt idx="41">
                        <c:v>-31.773288641628604</c:v>
                      </c:pt>
                      <c:pt idx="42">
                        <c:v>-33.183788574411039</c:v>
                      </c:pt>
                      <c:pt idx="43">
                        <c:v>-34.594288507186128</c:v>
                      </c:pt>
                      <c:pt idx="44">
                        <c:v>-36.004788439957544</c:v>
                      </c:pt>
                      <c:pt idx="45">
                        <c:v>-37.415288372728959</c:v>
                      </c:pt>
                      <c:pt idx="46">
                        <c:v>-38.825788305511395</c:v>
                      </c:pt>
                      <c:pt idx="47">
                        <c:v>-40.23628823828281</c:v>
                      </c:pt>
                      <c:pt idx="48">
                        <c:v>-41.646788171054219</c:v>
                      </c:pt>
                      <c:pt idx="49">
                        <c:v>-43.057288103836662</c:v>
                      </c:pt>
                      <c:pt idx="50">
                        <c:v>-44.467788036611758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BCD-4AB3-8607-1A42AE26C7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グラフ!$AC$5</c15:sqref>
                        </c15:formulaRef>
                      </c:ext>
                    </c:extLst>
                    <c:strCache>
                      <c:ptCount val="1"/>
                      <c:pt idx="0">
                        <c:v>inner応力:Δ-30℃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グラフ!$AC$6:$AC$56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174.47866834705596</c:v>
                      </c:pt>
                      <c:pt idx="1">
                        <c:v>170.70176786732947</c:v>
                      </c:pt>
                      <c:pt idx="2">
                        <c:v>166.9248673876227</c:v>
                      </c:pt>
                      <c:pt idx="3">
                        <c:v>163.14796690790604</c:v>
                      </c:pt>
                      <c:pt idx="4">
                        <c:v>159.37106642817957</c:v>
                      </c:pt>
                      <c:pt idx="5">
                        <c:v>155.59416594845314</c:v>
                      </c:pt>
                      <c:pt idx="6">
                        <c:v>151.81726546874634</c:v>
                      </c:pt>
                      <c:pt idx="7">
                        <c:v>148.04036498901991</c:v>
                      </c:pt>
                      <c:pt idx="8">
                        <c:v>144.26346450930328</c:v>
                      </c:pt>
                      <c:pt idx="9">
                        <c:v>140.48656402959651</c:v>
                      </c:pt>
                      <c:pt idx="10">
                        <c:v>136.70966354987988</c:v>
                      </c:pt>
                      <c:pt idx="11">
                        <c:v>132.93276307015338</c:v>
                      </c:pt>
                      <c:pt idx="12">
                        <c:v>129.15586259042692</c:v>
                      </c:pt>
                      <c:pt idx="13">
                        <c:v>125.37896211072015</c:v>
                      </c:pt>
                      <c:pt idx="14">
                        <c:v>121.60206163100355</c:v>
                      </c:pt>
                      <c:pt idx="15">
                        <c:v>117.82516115128692</c:v>
                      </c:pt>
                      <c:pt idx="16">
                        <c:v>114.04826067156047</c:v>
                      </c:pt>
                      <c:pt idx="17">
                        <c:v>110.27136019184384</c:v>
                      </c:pt>
                      <c:pt idx="18">
                        <c:v>106.49445971212722</c:v>
                      </c:pt>
                      <c:pt idx="19">
                        <c:v>102.71755923241059</c:v>
                      </c:pt>
                      <c:pt idx="20">
                        <c:v>98.940658752684143</c:v>
                      </c:pt>
                      <c:pt idx="21">
                        <c:v>95.163758272967513</c:v>
                      </c:pt>
                      <c:pt idx="22">
                        <c:v>91.386857793231201</c:v>
                      </c:pt>
                      <c:pt idx="23">
                        <c:v>87.609957313534281</c:v>
                      </c:pt>
                      <c:pt idx="24">
                        <c:v>83.833056833797983</c:v>
                      </c:pt>
                      <c:pt idx="25">
                        <c:v>80.056156354081352</c:v>
                      </c:pt>
                      <c:pt idx="26">
                        <c:v>76.279255874384418</c:v>
                      </c:pt>
                      <c:pt idx="27">
                        <c:v>72.502355394667802</c:v>
                      </c:pt>
                      <c:pt idx="28">
                        <c:v>68.725454914951172</c:v>
                      </c:pt>
                      <c:pt idx="29">
                        <c:v>64.948554435214874</c:v>
                      </c:pt>
                      <c:pt idx="30">
                        <c:v>61.171653955508084</c:v>
                      </c:pt>
                      <c:pt idx="31">
                        <c:v>57.394753475781627</c:v>
                      </c:pt>
                      <c:pt idx="32">
                        <c:v>53.617852996065011</c:v>
                      </c:pt>
                      <c:pt idx="33">
                        <c:v>49.840952516338547</c:v>
                      </c:pt>
                      <c:pt idx="34">
                        <c:v>46.064052036621923</c:v>
                      </c:pt>
                      <c:pt idx="35">
                        <c:v>42.287151556895466</c:v>
                      </c:pt>
                      <c:pt idx="36">
                        <c:v>38.510251077198525</c:v>
                      </c:pt>
                      <c:pt idx="37">
                        <c:v>34.733350597491743</c:v>
                      </c:pt>
                      <c:pt idx="38">
                        <c:v>30.956450117755445</c:v>
                      </c:pt>
                      <c:pt idx="39">
                        <c:v>27.179549638048659</c:v>
                      </c:pt>
                      <c:pt idx="40">
                        <c:v>23.402649158322198</c:v>
                      </c:pt>
                      <c:pt idx="41">
                        <c:v>19.625748678605582</c:v>
                      </c:pt>
                      <c:pt idx="42">
                        <c:v>15.848848198869277</c:v>
                      </c:pt>
                      <c:pt idx="43">
                        <c:v>12.071947719152657</c:v>
                      </c:pt>
                      <c:pt idx="44">
                        <c:v>8.2950472394360357</c:v>
                      </c:pt>
                      <c:pt idx="45">
                        <c:v>4.518146759719416</c:v>
                      </c:pt>
                      <c:pt idx="46">
                        <c:v>0.7412462800027948</c:v>
                      </c:pt>
                      <c:pt idx="47">
                        <c:v>-3.0356541997039854</c:v>
                      </c:pt>
                      <c:pt idx="48">
                        <c:v>-6.8125546794107645</c:v>
                      </c:pt>
                      <c:pt idx="49">
                        <c:v>-10.589455159147068</c:v>
                      </c:pt>
                      <c:pt idx="50">
                        <c:v>-14.366355638863688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D-4AB3-8607-1A42AE26C7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グラフ!$AD$5</c15:sqref>
                        </c15:formulaRef>
                      </c:ext>
                    </c:extLst>
                    <c:strCache>
                      <c:ptCount val="1"/>
                      <c:pt idx="0">
                        <c:v>inner応力:Δ-20℃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グラフ!$AD$6:$AD$56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157.02780301048978</c:v>
                      </c:pt>
                      <c:pt idx="1">
                        <c:v>153.25090253077315</c:v>
                      </c:pt>
                      <c:pt idx="2">
                        <c:v>149.47400205105654</c:v>
                      </c:pt>
                      <c:pt idx="3">
                        <c:v>145.69710157133008</c:v>
                      </c:pt>
                      <c:pt idx="4">
                        <c:v>141.92020109161348</c:v>
                      </c:pt>
                      <c:pt idx="5">
                        <c:v>138.14330061188701</c:v>
                      </c:pt>
                      <c:pt idx="6">
                        <c:v>134.36640013218022</c:v>
                      </c:pt>
                      <c:pt idx="7">
                        <c:v>130.58949965245375</c:v>
                      </c:pt>
                      <c:pt idx="8">
                        <c:v>126.81259917273715</c:v>
                      </c:pt>
                      <c:pt idx="9">
                        <c:v>123.03569869303038</c:v>
                      </c:pt>
                      <c:pt idx="10">
                        <c:v>119.25879821330393</c:v>
                      </c:pt>
                      <c:pt idx="11">
                        <c:v>115.4818977335873</c:v>
                      </c:pt>
                      <c:pt idx="12">
                        <c:v>111.70499725387069</c:v>
                      </c:pt>
                      <c:pt idx="13">
                        <c:v>107.92809677415404</c:v>
                      </c:pt>
                      <c:pt idx="14">
                        <c:v>104.15119629442759</c:v>
                      </c:pt>
                      <c:pt idx="15">
                        <c:v>100.37429581471096</c:v>
                      </c:pt>
                      <c:pt idx="16">
                        <c:v>96.59739533500418</c:v>
                      </c:pt>
                      <c:pt idx="17">
                        <c:v>92.820494855287563</c:v>
                      </c:pt>
                      <c:pt idx="18">
                        <c:v>89.043594375551265</c:v>
                      </c:pt>
                      <c:pt idx="19">
                        <c:v>85.266693895834649</c:v>
                      </c:pt>
                      <c:pt idx="20">
                        <c:v>81.489793416108185</c:v>
                      </c:pt>
                      <c:pt idx="21">
                        <c:v>77.712892936401403</c:v>
                      </c:pt>
                      <c:pt idx="22">
                        <c:v>73.935992456665105</c:v>
                      </c:pt>
                      <c:pt idx="23">
                        <c:v>70.159091976958322</c:v>
                      </c:pt>
                      <c:pt idx="24">
                        <c:v>66.382191497241706</c:v>
                      </c:pt>
                      <c:pt idx="25">
                        <c:v>62.605291017534917</c:v>
                      </c:pt>
                      <c:pt idx="26">
                        <c:v>58.828390537818301</c:v>
                      </c:pt>
                      <c:pt idx="27">
                        <c:v>55.051490058091836</c:v>
                      </c:pt>
                      <c:pt idx="28">
                        <c:v>51.27458957837522</c:v>
                      </c:pt>
                      <c:pt idx="29">
                        <c:v>47.497689098648756</c:v>
                      </c:pt>
                      <c:pt idx="30">
                        <c:v>43.720788618941967</c:v>
                      </c:pt>
                      <c:pt idx="31">
                        <c:v>39.943888139205669</c:v>
                      </c:pt>
                      <c:pt idx="32">
                        <c:v>36.166987659489052</c:v>
                      </c:pt>
                      <c:pt idx="33">
                        <c:v>32.390087179772429</c:v>
                      </c:pt>
                      <c:pt idx="34">
                        <c:v>28.613186700075488</c:v>
                      </c:pt>
                      <c:pt idx="35">
                        <c:v>24.83628622033919</c:v>
                      </c:pt>
                      <c:pt idx="36">
                        <c:v>21.059385740622567</c:v>
                      </c:pt>
                      <c:pt idx="37">
                        <c:v>17.282485260925629</c:v>
                      </c:pt>
                      <c:pt idx="38">
                        <c:v>13.505584781189327</c:v>
                      </c:pt>
                      <c:pt idx="39">
                        <c:v>9.7286843014727058</c:v>
                      </c:pt>
                      <c:pt idx="40">
                        <c:v>5.9517838217462451</c:v>
                      </c:pt>
                      <c:pt idx="41">
                        <c:v>2.1748833420296241</c:v>
                      </c:pt>
                      <c:pt idx="42">
                        <c:v>-1.6020171376968373</c:v>
                      </c:pt>
                      <c:pt idx="43">
                        <c:v>-5.3789176174134576</c:v>
                      </c:pt>
                      <c:pt idx="44">
                        <c:v>-9.1558180971202372</c:v>
                      </c:pt>
                      <c:pt idx="45">
                        <c:v>-12.932718576836857</c:v>
                      </c:pt>
                      <c:pt idx="46">
                        <c:v>-16.709619056563319</c:v>
                      </c:pt>
                      <c:pt idx="47">
                        <c:v>-20.486519536270098</c:v>
                      </c:pt>
                      <c:pt idx="48">
                        <c:v>-24.263420015986718</c:v>
                      </c:pt>
                      <c:pt idx="49">
                        <c:v>-28.040320495723023</c:v>
                      </c:pt>
                      <c:pt idx="50">
                        <c:v>-31.817220975429805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CD-4AB3-8607-1A42AE26C77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グラフ!$AE$5</c15:sqref>
                        </c15:formulaRef>
                      </c:ext>
                    </c:extLst>
                    <c:strCache>
                      <c:ptCount val="1"/>
                      <c:pt idx="0">
                        <c:v>inner応力:Δ-10℃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グラフ!$AE$6:$AE$56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139.57693767392368</c:v>
                      </c:pt>
                      <c:pt idx="1">
                        <c:v>135.80003719419722</c:v>
                      </c:pt>
                      <c:pt idx="2">
                        <c:v>132.02313671449042</c:v>
                      </c:pt>
                      <c:pt idx="3">
                        <c:v>128.24623623476396</c:v>
                      </c:pt>
                      <c:pt idx="4">
                        <c:v>124.46933575504735</c:v>
                      </c:pt>
                      <c:pt idx="5">
                        <c:v>120.6924352753209</c:v>
                      </c:pt>
                      <c:pt idx="6">
                        <c:v>116.91553479561411</c:v>
                      </c:pt>
                      <c:pt idx="7">
                        <c:v>113.13863431588764</c:v>
                      </c:pt>
                      <c:pt idx="8">
                        <c:v>109.36173383616119</c:v>
                      </c:pt>
                      <c:pt idx="9">
                        <c:v>105.58483335646426</c:v>
                      </c:pt>
                      <c:pt idx="10">
                        <c:v>101.80793287674766</c:v>
                      </c:pt>
                      <c:pt idx="11">
                        <c:v>98.031032397021178</c:v>
                      </c:pt>
                      <c:pt idx="12">
                        <c:v>94.254131917294728</c:v>
                      </c:pt>
                      <c:pt idx="13">
                        <c:v>90.477231437578098</c:v>
                      </c:pt>
                      <c:pt idx="14">
                        <c:v>86.700330957871316</c:v>
                      </c:pt>
                      <c:pt idx="15">
                        <c:v>82.923430478154685</c:v>
                      </c:pt>
                      <c:pt idx="16">
                        <c:v>79.146529998428235</c:v>
                      </c:pt>
                      <c:pt idx="17">
                        <c:v>75.369629518711605</c:v>
                      </c:pt>
                      <c:pt idx="18">
                        <c:v>71.592729038975307</c:v>
                      </c:pt>
                      <c:pt idx="19">
                        <c:v>67.815828559268525</c:v>
                      </c:pt>
                      <c:pt idx="20">
                        <c:v>64.038928079542075</c:v>
                      </c:pt>
                      <c:pt idx="21">
                        <c:v>60.262027599825451</c:v>
                      </c:pt>
                      <c:pt idx="22">
                        <c:v>56.485127120108821</c:v>
                      </c:pt>
                      <c:pt idx="23">
                        <c:v>52.708226640411894</c:v>
                      </c:pt>
                      <c:pt idx="24">
                        <c:v>48.931326160675582</c:v>
                      </c:pt>
                      <c:pt idx="25">
                        <c:v>45.154425680958958</c:v>
                      </c:pt>
                      <c:pt idx="26">
                        <c:v>41.377525201242342</c:v>
                      </c:pt>
                      <c:pt idx="27">
                        <c:v>37.600624721525719</c:v>
                      </c:pt>
                      <c:pt idx="28">
                        <c:v>33.823724241809103</c:v>
                      </c:pt>
                      <c:pt idx="29">
                        <c:v>30.046823762072798</c:v>
                      </c:pt>
                      <c:pt idx="30">
                        <c:v>26.269923282366015</c:v>
                      </c:pt>
                      <c:pt idx="31">
                        <c:v>22.493022802639558</c:v>
                      </c:pt>
                      <c:pt idx="32">
                        <c:v>18.716122322942617</c:v>
                      </c:pt>
                      <c:pt idx="33">
                        <c:v>14.939221843216156</c:v>
                      </c:pt>
                      <c:pt idx="34">
                        <c:v>11.162321363499537</c:v>
                      </c:pt>
                      <c:pt idx="35">
                        <c:v>7.385420883773075</c:v>
                      </c:pt>
                      <c:pt idx="36">
                        <c:v>3.6085204040564527</c:v>
                      </c:pt>
                      <c:pt idx="37">
                        <c:v>-0.16838007565032631</c:v>
                      </c:pt>
                      <c:pt idx="38">
                        <c:v>-3.9452805553866295</c:v>
                      </c:pt>
                      <c:pt idx="39">
                        <c:v>-7.7221810351032483</c:v>
                      </c:pt>
                      <c:pt idx="40">
                        <c:v>-11.499081514819872</c:v>
                      </c:pt>
                      <c:pt idx="41">
                        <c:v>-15.27598199453649</c:v>
                      </c:pt>
                      <c:pt idx="42">
                        <c:v>-19.052882474253114</c:v>
                      </c:pt>
                      <c:pt idx="43">
                        <c:v>-22.82978295396973</c:v>
                      </c:pt>
                      <c:pt idx="44">
                        <c:v>-26.606683433686356</c:v>
                      </c:pt>
                      <c:pt idx="45">
                        <c:v>-30.383583913402973</c:v>
                      </c:pt>
                      <c:pt idx="46">
                        <c:v>-34.160484393139278</c:v>
                      </c:pt>
                      <c:pt idx="47">
                        <c:v>-37.937384872846053</c:v>
                      </c:pt>
                      <c:pt idx="48">
                        <c:v>-41.714285352552828</c:v>
                      </c:pt>
                      <c:pt idx="49">
                        <c:v>-45.491185832289133</c:v>
                      </c:pt>
                      <c:pt idx="50">
                        <c:v>-49.268086312005757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CD-4AB3-8607-1A42AE26C77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グラフ!$AF$5</c15:sqref>
                        </c15:formulaRef>
                      </c:ext>
                    </c:extLst>
                    <c:strCache>
                      <c:ptCount val="1"/>
                      <c:pt idx="0">
                        <c:v>inner応力:Δ0℃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グラフ!$AF$6:$AF$56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122.12607233735757</c:v>
                      </c:pt>
                      <c:pt idx="1">
                        <c:v>118.34917185763111</c:v>
                      </c:pt>
                      <c:pt idx="2">
                        <c:v>114.57227137792434</c:v>
                      </c:pt>
                      <c:pt idx="3">
                        <c:v>110.79537089819785</c:v>
                      </c:pt>
                      <c:pt idx="4">
                        <c:v>107.01847041848123</c:v>
                      </c:pt>
                      <c:pt idx="5">
                        <c:v>103.24156993875476</c:v>
                      </c:pt>
                      <c:pt idx="6">
                        <c:v>99.464669459038149</c:v>
                      </c:pt>
                      <c:pt idx="7">
                        <c:v>95.687768979321532</c:v>
                      </c:pt>
                      <c:pt idx="8">
                        <c:v>91.910868499604916</c:v>
                      </c:pt>
                      <c:pt idx="9">
                        <c:v>88.133968019898148</c:v>
                      </c:pt>
                      <c:pt idx="10">
                        <c:v>84.357067540171684</c:v>
                      </c:pt>
                      <c:pt idx="11">
                        <c:v>80.58016706044522</c:v>
                      </c:pt>
                      <c:pt idx="12">
                        <c:v>76.803266580738438</c:v>
                      </c:pt>
                      <c:pt idx="13">
                        <c:v>73.026366101021821</c:v>
                      </c:pt>
                      <c:pt idx="14">
                        <c:v>69.249465621295357</c:v>
                      </c:pt>
                      <c:pt idx="15">
                        <c:v>65.472565141578727</c:v>
                      </c:pt>
                      <c:pt idx="16">
                        <c:v>61.69566466185227</c:v>
                      </c:pt>
                      <c:pt idx="17">
                        <c:v>57.918764182145495</c:v>
                      </c:pt>
                      <c:pt idx="18">
                        <c:v>54.141863702409196</c:v>
                      </c:pt>
                      <c:pt idx="19">
                        <c:v>50.364963222692573</c:v>
                      </c:pt>
                      <c:pt idx="20">
                        <c:v>46.588062742985791</c:v>
                      </c:pt>
                      <c:pt idx="21">
                        <c:v>42.811162263279016</c:v>
                      </c:pt>
                      <c:pt idx="22">
                        <c:v>39.034261783542711</c:v>
                      </c:pt>
                      <c:pt idx="23">
                        <c:v>35.257361303835928</c:v>
                      </c:pt>
                      <c:pt idx="24">
                        <c:v>31.480460824099623</c:v>
                      </c:pt>
                      <c:pt idx="25">
                        <c:v>27.703560344392844</c:v>
                      </c:pt>
                      <c:pt idx="26">
                        <c:v>23.926659864676225</c:v>
                      </c:pt>
                      <c:pt idx="27">
                        <c:v>20.149759384949764</c:v>
                      </c:pt>
                      <c:pt idx="28">
                        <c:v>16.372858905233148</c:v>
                      </c:pt>
                      <c:pt idx="29">
                        <c:v>12.595958425506682</c:v>
                      </c:pt>
                      <c:pt idx="30">
                        <c:v>8.819057945819587</c:v>
                      </c:pt>
                      <c:pt idx="31">
                        <c:v>5.0421574660832817</c:v>
                      </c:pt>
                      <c:pt idx="32">
                        <c:v>1.2652569863666621</c:v>
                      </c:pt>
                      <c:pt idx="33">
                        <c:v>-2.5116434933499585</c:v>
                      </c:pt>
                      <c:pt idx="34">
                        <c:v>-6.2885439730665782</c:v>
                      </c:pt>
                      <c:pt idx="35">
                        <c:v>-10.065444452802883</c:v>
                      </c:pt>
                      <c:pt idx="36">
                        <c:v>-13.8423449325195</c:v>
                      </c:pt>
                      <c:pt idx="37">
                        <c:v>-17.619245412226284</c:v>
                      </c:pt>
                      <c:pt idx="38">
                        <c:v>-21.396145891952742</c:v>
                      </c:pt>
                      <c:pt idx="39">
                        <c:v>-25.173046371669365</c:v>
                      </c:pt>
                      <c:pt idx="40">
                        <c:v>-28.949946851376147</c:v>
                      </c:pt>
                      <c:pt idx="41">
                        <c:v>-32.726847331092763</c:v>
                      </c:pt>
                      <c:pt idx="42">
                        <c:v>-36.503747810819227</c:v>
                      </c:pt>
                      <c:pt idx="43">
                        <c:v>-40.280648290535851</c:v>
                      </c:pt>
                      <c:pt idx="44">
                        <c:v>-44.057548770262308</c:v>
                      </c:pt>
                      <c:pt idx="45">
                        <c:v>-47.834449249978924</c:v>
                      </c:pt>
                      <c:pt idx="46">
                        <c:v>-51.611349729705395</c:v>
                      </c:pt>
                      <c:pt idx="47">
                        <c:v>-55.388250209412178</c:v>
                      </c:pt>
                      <c:pt idx="48">
                        <c:v>-59.165150689128787</c:v>
                      </c:pt>
                      <c:pt idx="49">
                        <c:v>-62.942051168865092</c:v>
                      </c:pt>
                      <c:pt idx="50">
                        <c:v>-66.71895164856204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CD-4AB3-8607-1A42AE26C77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グラフ!$AG$5</c15:sqref>
                        </c15:formulaRef>
                      </c:ext>
                    </c:extLst>
                    <c:strCache>
                      <c:ptCount val="1"/>
                      <c:pt idx="0">
                        <c:v>inner応力:Δ+10℃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グラフ!$AG$6:$AG$56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104.67520700079146</c:v>
                      </c:pt>
                      <c:pt idx="1">
                        <c:v>100.89830652106498</c:v>
                      </c:pt>
                      <c:pt idx="2">
                        <c:v>97.121406041358199</c:v>
                      </c:pt>
                      <c:pt idx="3">
                        <c:v>93.344505561631749</c:v>
                      </c:pt>
                      <c:pt idx="4">
                        <c:v>89.567605081905299</c:v>
                      </c:pt>
                      <c:pt idx="5">
                        <c:v>85.790704602188654</c:v>
                      </c:pt>
                      <c:pt idx="6">
                        <c:v>82.013804122481901</c:v>
                      </c:pt>
                      <c:pt idx="7">
                        <c:v>78.236903642755422</c:v>
                      </c:pt>
                      <c:pt idx="8">
                        <c:v>74.460003163028958</c:v>
                      </c:pt>
                      <c:pt idx="9">
                        <c:v>70.683102683322176</c:v>
                      </c:pt>
                      <c:pt idx="10">
                        <c:v>66.906202203615408</c:v>
                      </c:pt>
                      <c:pt idx="11">
                        <c:v>63.129301723888943</c:v>
                      </c:pt>
                      <c:pt idx="12">
                        <c:v>59.352401244162472</c:v>
                      </c:pt>
                      <c:pt idx="13">
                        <c:v>55.575500764445863</c:v>
                      </c:pt>
                      <c:pt idx="14">
                        <c:v>51.798600284719392</c:v>
                      </c:pt>
                      <c:pt idx="15">
                        <c:v>48.021699805012624</c:v>
                      </c:pt>
                      <c:pt idx="16">
                        <c:v>44.244799325286159</c:v>
                      </c:pt>
                      <c:pt idx="17">
                        <c:v>40.467898845569543</c:v>
                      </c:pt>
                      <c:pt idx="18">
                        <c:v>36.690998365852913</c:v>
                      </c:pt>
                      <c:pt idx="19">
                        <c:v>32.914097886146138</c:v>
                      </c:pt>
                      <c:pt idx="20">
                        <c:v>29.137197406419681</c:v>
                      </c:pt>
                      <c:pt idx="21">
                        <c:v>25.360296926703054</c:v>
                      </c:pt>
                      <c:pt idx="22">
                        <c:v>21.583396446966749</c:v>
                      </c:pt>
                      <c:pt idx="23">
                        <c:v>17.806495967269814</c:v>
                      </c:pt>
                      <c:pt idx="24">
                        <c:v>14.029595487533513</c:v>
                      </c:pt>
                      <c:pt idx="25">
                        <c:v>10.252695007816893</c:v>
                      </c:pt>
                      <c:pt idx="26">
                        <c:v>6.4757945281002707</c:v>
                      </c:pt>
                      <c:pt idx="27">
                        <c:v>2.6988940483836505</c:v>
                      </c:pt>
                      <c:pt idx="28">
                        <c:v>-1.0780064313132884</c:v>
                      </c:pt>
                      <c:pt idx="29">
                        <c:v>-4.854906911049591</c:v>
                      </c:pt>
                      <c:pt idx="30">
                        <c:v>-8.6318073907563697</c:v>
                      </c:pt>
                      <c:pt idx="31">
                        <c:v>-12.408707870482832</c:v>
                      </c:pt>
                      <c:pt idx="32">
                        <c:v>-16.185608350199455</c:v>
                      </c:pt>
                      <c:pt idx="33">
                        <c:v>-19.962508829925913</c:v>
                      </c:pt>
                      <c:pt idx="34">
                        <c:v>-23.739409309642532</c:v>
                      </c:pt>
                      <c:pt idx="35">
                        <c:v>-27.516309789378838</c:v>
                      </c:pt>
                      <c:pt idx="36">
                        <c:v>-31.29321026908562</c:v>
                      </c:pt>
                      <c:pt idx="37">
                        <c:v>-35.070110748792402</c:v>
                      </c:pt>
                      <c:pt idx="38">
                        <c:v>-38.847011228509018</c:v>
                      </c:pt>
                      <c:pt idx="39">
                        <c:v>-42.623911708225641</c:v>
                      </c:pt>
                      <c:pt idx="40">
                        <c:v>-46.400812187942257</c:v>
                      </c:pt>
                      <c:pt idx="41">
                        <c:v>-50.177712667658881</c:v>
                      </c:pt>
                      <c:pt idx="42">
                        <c:v>-53.954613147395186</c:v>
                      </c:pt>
                      <c:pt idx="43">
                        <c:v>-57.731513627111802</c:v>
                      </c:pt>
                      <c:pt idx="44">
                        <c:v>-61.508414106828425</c:v>
                      </c:pt>
                      <c:pt idx="45">
                        <c:v>-65.285314586545041</c:v>
                      </c:pt>
                      <c:pt idx="46">
                        <c:v>-69.06221506628134</c:v>
                      </c:pt>
                      <c:pt idx="47">
                        <c:v>-72.839115545988122</c:v>
                      </c:pt>
                      <c:pt idx="48">
                        <c:v>-76.616016025685056</c:v>
                      </c:pt>
                      <c:pt idx="49">
                        <c:v>-80.39291650541152</c:v>
                      </c:pt>
                      <c:pt idx="50">
                        <c:v>-84.169816985128151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CD-4AB3-8607-1A42AE26C77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グラフ!$AH$5</c15:sqref>
                        </c15:formulaRef>
                      </c:ext>
                    </c:extLst>
                    <c:strCache>
                      <c:ptCount val="1"/>
                      <c:pt idx="0">
                        <c:v>inner応力:Δ+20℃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グラフ!$AH$6:$AH$56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87.224341664225321</c:v>
                      </c:pt>
                      <c:pt idx="1">
                        <c:v>83.447441184498871</c:v>
                      </c:pt>
                      <c:pt idx="2">
                        <c:v>79.670540704782255</c:v>
                      </c:pt>
                      <c:pt idx="3">
                        <c:v>75.893640225065639</c:v>
                      </c:pt>
                      <c:pt idx="4">
                        <c:v>72.116739745349022</c:v>
                      </c:pt>
                      <c:pt idx="5">
                        <c:v>68.339839265622558</c:v>
                      </c:pt>
                      <c:pt idx="6">
                        <c:v>64.562938785905928</c:v>
                      </c:pt>
                      <c:pt idx="7">
                        <c:v>60.786038306179478</c:v>
                      </c:pt>
                      <c:pt idx="8">
                        <c:v>57.009137826472688</c:v>
                      </c:pt>
                      <c:pt idx="9">
                        <c:v>53.232237346765913</c:v>
                      </c:pt>
                      <c:pt idx="10">
                        <c:v>49.455336867039456</c:v>
                      </c:pt>
                      <c:pt idx="11">
                        <c:v>45.678436387312978</c:v>
                      </c:pt>
                      <c:pt idx="12">
                        <c:v>41.901535907586521</c:v>
                      </c:pt>
                      <c:pt idx="13">
                        <c:v>38.124635427879738</c:v>
                      </c:pt>
                      <c:pt idx="14">
                        <c:v>34.347734948153288</c:v>
                      </c:pt>
                      <c:pt idx="15">
                        <c:v>30.570834468436662</c:v>
                      </c:pt>
                      <c:pt idx="16">
                        <c:v>26.793933988729886</c:v>
                      </c:pt>
                      <c:pt idx="17">
                        <c:v>23.017033509023108</c:v>
                      </c:pt>
                      <c:pt idx="18">
                        <c:v>19.240133029286802</c:v>
                      </c:pt>
                      <c:pt idx="19">
                        <c:v>15.463232549570183</c:v>
                      </c:pt>
                      <c:pt idx="20">
                        <c:v>11.686332069843722</c:v>
                      </c:pt>
                      <c:pt idx="21">
                        <c:v>7.9094315901369407</c:v>
                      </c:pt>
                      <c:pt idx="22">
                        <c:v>4.1325311104006381</c:v>
                      </c:pt>
                      <c:pt idx="23">
                        <c:v>0.35563063069385892</c:v>
                      </c:pt>
                      <c:pt idx="24">
                        <c:v>-3.4212698490424436</c:v>
                      </c:pt>
                      <c:pt idx="25">
                        <c:v>-7.1981703287492236</c:v>
                      </c:pt>
                      <c:pt idx="26">
                        <c:v>-10.97507080844616</c:v>
                      </c:pt>
                      <c:pt idx="27">
                        <c:v>-14.751971288172623</c:v>
                      </c:pt>
                      <c:pt idx="28">
                        <c:v>-18.528871767889246</c:v>
                      </c:pt>
                      <c:pt idx="29">
                        <c:v>-22.30577224761571</c:v>
                      </c:pt>
                      <c:pt idx="30">
                        <c:v>-26.082672727322482</c:v>
                      </c:pt>
                      <c:pt idx="31">
                        <c:v>-29.859573207058787</c:v>
                      </c:pt>
                      <c:pt idx="32">
                        <c:v>-33.63647368677541</c:v>
                      </c:pt>
                      <c:pt idx="33">
                        <c:v>-37.413374166501875</c:v>
                      </c:pt>
                      <c:pt idx="34">
                        <c:v>-41.19027464620865</c:v>
                      </c:pt>
                      <c:pt idx="35">
                        <c:v>-44.967175125944955</c:v>
                      </c:pt>
                      <c:pt idx="36">
                        <c:v>-48.744075605641882</c:v>
                      </c:pt>
                      <c:pt idx="37">
                        <c:v>-52.520976085348671</c:v>
                      </c:pt>
                      <c:pt idx="38">
                        <c:v>-56.297876565075128</c:v>
                      </c:pt>
                      <c:pt idx="39">
                        <c:v>-60.074777044791759</c:v>
                      </c:pt>
                      <c:pt idx="40">
                        <c:v>-63.851677524518209</c:v>
                      </c:pt>
                      <c:pt idx="41">
                        <c:v>-67.628578004234825</c:v>
                      </c:pt>
                      <c:pt idx="42">
                        <c:v>-71.405478483961289</c:v>
                      </c:pt>
                      <c:pt idx="43">
                        <c:v>-75.182378963677905</c:v>
                      </c:pt>
                      <c:pt idx="44">
                        <c:v>-78.959279443404384</c:v>
                      </c:pt>
                      <c:pt idx="45">
                        <c:v>-82.736179923121</c:v>
                      </c:pt>
                      <c:pt idx="46">
                        <c:v>-86.513080402837616</c:v>
                      </c:pt>
                      <c:pt idx="47">
                        <c:v>-90.289980882534564</c:v>
                      </c:pt>
                      <c:pt idx="48">
                        <c:v>-94.066881362251152</c:v>
                      </c:pt>
                      <c:pt idx="49">
                        <c:v>-97.843781841987493</c:v>
                      </c:pt>
                      <c:pt idx="50">
                        <c:v>-101.62068232169426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CD-4AB3-8607-1A42AE26C77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グラフ!$AI$5</c15:sqref>
                        </c15:formulaRef>
                      </c:ext>
                    </c:extLst>
                    <c:strCache>
                      <c:ptCount val="1"/>
                      <c:pt idx="0">
                        <c:v>inner応力:Δ+30℃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グラフ!$AI$6:$AI$56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69.773476327649377</c:v>
                      </c:pt>
                      <c:pt idx="1">
                        <c:v>65.99657584793276</c:v>
                      </c:pt>
                      <c:pt idx="2">
                        <c:v>62.219675368225978</c:v>
                      </c:pt>
                      <c:pt idx="3">
                        <c:v>58.442774888499521</c:v>
                      </c:pt>
                      <c:pt idx="4">
                        <c:v>54.665874408773057</c:v>
                      </c:pt>
                      <c:pt idx="5">
                        <c:v>50.8889739290466</c:v>
                      </c:pt>
                      <c:pt idx="6">
                        <c:v>47.112073449349658</c:v>
                      </c:pt>
                      <c:pt idx="7">
                        <c:v>43.335172969623194</c:v>
                      </c:pt>
                      <c:pt idx="8">
                        <c:v>39.55827248989673</c:v>
                      </c:pt>
                      <c:pt idx="9">
                        <c:v>35.781372010189955</c:v>
                      </c:pt>
                      <c:pt idx="10">
                        <c:v>32.004471530463491</c:v>
                      </c:pt>
                      <c:pt idx="11">
                        <c:v>28.227571050746867</c:v>
                      </c:pt>
                      <c:pt idx="12">
                        <c:v>24.450670571020414</c:v>
                      </c:pt>
                      <c:pt idx="13">
                        <c:v>20.673770091303791</c:v>
                      </c:pt>
                      <c:pt idx="14">
                        <c:v>16.896869611597012</c:v>
                      </c:pt>
                      <c:pt idx="15">
                        <c:v>13.119969131890233</c:v>
                      </c:pt>
                      <c:pt idx="16">
                        <c:v>9.3430686521637707</c:v>
                      </c:pt>
                      <c:pt idx="17">
                        <c:v>5.5661681724471501</c:v>
                      </c:pt>
                      <c:pt idx="18">
                        <c:v>1.7892676927108471</c:v>
                      </c:pt>
                      <c:pt idx="19">
                        <c:v>-1.9876327869959323</c:v>
                      </c:pt>
                      <c:pt idx="20">
                        <c:v>-5.7645332667223945</c:v>
                      </c:pt>
                      <c:pt idx="21">
                        <c:v>-9.5414337464390151</c:v>
                      </c:pt>
                      <c:pt idx="22">
                        <c:v>-13.318334226175315</c:v>
                      </c:pt>
                      <c:pt idx="23">
                        <c:v>-17.095234705872254</c:v>
                      </c:pt>
                      <c:pt idx="24">
                        <c:v>-20.872135185588874</c:v>
                      </c:pt>
                      <c:pt idx="25">
                        <c:v>-24.649035665305501</c:v>
                      </c:pt>
                      <c:pt idx="26">
                        <c:v>-28.425936145022121</c:v>
                      </c:pt>
                      <c:pt idx="27">
                        <c:v>-32.202836624738737</c:v>
                      </c:pt>
                      <c:pt idx="28">
                        <c:v>-35.979737104455353</c:v>
                      </c:pt>
                      <c:pt idx="29">
                        <c:v>-39.756637584191658</c:v>
                      </c:pt>
                      <c:pt idx="30">
                        <c:v>-43.533538063898447</c:v>
                      </c:pt>
                      <c:pt idx="31">
                        <c:v>-47.310438543634746</c:v>
                      </c:pt>
                      <c:pt idx="32">
                        <c:v>-51.087339023341521</c:v>
                      </c:pt>
                      <c:pt idx="33">
                        <c:v>-54.864239503067992</c:v>
                      </c:pt>
                      <c:pt idx="34">
                        <c:v>-58.641139982764933</c:v>
                      </c:pt>
                      <c:pt idx="35">
                        <c:v>-62.418040462501232</c:v>
                      </c:pt>
                      <c:pt idx="36">
                        <c:v>-66.194940942208007</c:v>
                      </c:pt>
                      <c:pt idx="37">
                        <c:v>-69.971841421914789</c:v>
                      </c:pt>
                      <c:pt idx="38">
                        <c:v>-73.748741901651073</c:v>
                      </c:pt>
                      <c:pt idx="39">
                        <c:v>-77.525642381367703</c:v>
                      </c:pt>
                      <c:pt idx="40">
                        <c:v>-81.302542861084333</c:v>
                      </c:pt>
                      <c:pt idx="41">
                        <c:v>-85.079443340800964</c:v>
                      </c:pt>
                      <c:pt idx="42">
                        <c:v>-88.856343820537248</c:v>
                      </c:pt>
                      <c:pt idx="43">
                        <c:v>-92.633244300253864</c:v>
                      </c:pt>
                      <c:pt idx="44">
                        <c:v>-96.41014477996066</c:v>
                      </c:pt>
                      <c:pt idx="45">
                        <c:v>-100.18704525966743</c:v>
                      </c:pt>
                      <c:pt idx="46">
                        <c:v>-103.96394573940374</c:v>
                      </c:pt>
                      <c:pt idx="47">
                        <c:v>-107.74084621911051</c:v>
                      </c:pt>
                      <c:pt idx="48">
                        <c:v>-111.51774669881728</c:v>
                      </c:pt>
                      <c:pt idx="49">
                        <c:v>-115.29464717855359</c:v>
                      </c:pt>
                      <c:pt idx="50">
                        <c:v>-119.07154765827023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CD-4AB3-8607-1A42AE26C77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グラフ!$AJ$5</c15:sqref>
                        </c15:formulaRef>
                      </c:ext>
                    </c:extLst>
                    <c:strCache>
                      <c:ptCount val="1"/>
                      <c:pt idx="0">
                        <c:v>inner降伏点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グラフ!$N$6:$N$56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-50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-35</c:v>
                      </c:pt>
                      <c:pt idx="4">
                        <c:v>-30</c:v>
                      </c:pt>
                      <c:pt idx="5">
                        <c:v>-25</c:v>
                      </c:pt>
                      <c:pt idx="6">
                        <c:v>-20</c:v>
                      </c:pt>
                      <c:pt idx="7">
                        <c:v>-15</c:v>
                      </c:pt>
                      <c:pt idx="8">
                        <c:v>-10</c:v>
                      </c:pt>
                      <c:pt idx="9">
                        <c:v>-5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35</c:v>
                      </c:pt>
                      <c:pt idx="18">
                        <c:v>40</c:v>
                      </c:pt>
                      <c:pt idx="19">
                        <c:v>45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65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110</c:v>
                      </c:pt>
                      <c:pt idx="33">
                        <c:v>115</c:v>
                      </c:pt>
                      <c:pt idx="34">
                        <c:v>120</c:v>
                      </c:pt>
                      <c:pt idx="35">
                        <c:v>125</c:v>
                      </c:pt>
                      <c:pt idx="36">
                        <c:v>130</c:v>
                      </c:pt>
                      <c:pt idx="37">
                        <c:v>135</c:v>
                      </c:pt>
                      <c:pt idx="38">
                        <c:v>140</c:v>
                      </c:pt>
                      <c:pt idx="39">
                        <c:v>145</c:v>
                      </c:pt>
                      <c:pt idx="40">
                        <c:v>150</c:v>
                      </c:pt>
                      <c:pt idx="41">
                        <c:v>155</c:v>
                      </c:pt>
                      <c:pt idx="42">
                        <c:v>160</c:v>
                      </c:pt>
                      <c:pt idx="43">
                        <c:v>165</c:v>
                      </c:pt>
                      <c:pt idx="44">
                        <c:v>170</c:v>
                      </c:pt>
                      <c:pt idx="45">
                        <c:v>175</c:v>
                      </c:pt>
                      <c:pt idx="46">
                        <c:v>180</c:v>
                      </c:pt>
                      <c:pt idx="47">
                        <c:v>185</c:v>
                      </c:pt>
                      <c:pt idx="48">
                        <c:v>190</c:v>
                      </c:pt>
                      <c:pt idx="49">
                        <c:v>195</c:v>
                      </c:pt>
                      <c:pt idx="50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グラフ!$AJ$6:$AJ$56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345</c:v>
                      </c:pt>
                      <c:pt idx="1">
                        <c:v>345</c:v>
                      </c:pt>
                      <c:pt idx="2">
                        <c:v>345</c:v>
                      </c:pt>
                      <c:pt idx="3">
                        <c:v>345</c:v>
                      </c:pt>
                      <c:pt idx="4">
                        <c:v>345</c:v>
                      </c:pt>
                      <c:pt idx="5">
                        <c:v>345</c:v>
                      </c:pt>
                      <c:pt idx="6">
                        <c:v>345</c:v>
                      </c:pt>
                      <c:pt idx="7">
                        <c:v>345</c:v>
                      </c:pt>
                      <c:pt idx="8">
                        <c:v>345</c:v>
                      </c:pt>
                      <c:pt idx="9">
                        <c:v>345</c:v>
                      </c:pt>
                      <c:pt idx="10">
                        <c:v>345</c:v>
                      </c:pt>
                      <c:pt idx="11">
                        <c:v>345</c:v>
                      </c:pt>
                      <c:pt idx="12">
                        <c:v>345</c:v>
                      </c:pt>
                      <c:pt idx="13">
                        <c:v>345</c:v>
                      </c:pt>
                      <c:pt idx="14">
                        <c:v>345</c:v>
                      </c:pt>
                      <c:pt idx="15">
                        <c:v>345</c:v>
                      </c:pt>
                      <c:pt idx="16">
                        <c:v>345</c:v>
                      </c:pt>
                      <c:pt idx="17">
                        <c:v>345</c:v>
                      </c:pt>
                      <c:pt idx="18">
                        <c:v>345</c:v>
                      </c:pt>
                      <c:pt idx="19">
                        <c:v>345</c:v>
                      </c:pt>
                      <c:pt idx="20">
                        <c:v>345</c:v>
                      </c:pt>
                      <c:pt idx="21">
                        <c:v>345</c:v>
                      </c:pt>
                      <c:pt idx="22">
                        <c:v>345</c:v>
                      </c:pt>
                      <c:pt idx="23">
                        <c:v>345</c:v>
                      </c:pt>
                      <c:pt idx="24">
                        <c:v>345</c:v>
                      </c:pt>
                      <c:pt idx="25">
                        <c:v>345</c:v>
                      </c:pt>
                      <c:pt idx="26">
                        <c:v>345</c:v>
                      </c:pt>
                      <c:pt idx="27">
                        <c:v>345</c:v>
                      </c:pt>
                      <c:pt idx="28">
                        <c:v>345</c:v>
                      </c:pt>
                      <c:pt idx="29">
                        <c:v>345</c:v>
                      </c:pt>
                      <c:pt idx="30">
                        <c:v>345</c:v>
                      </c:pt>
                      <c:pt idx="31">
                        <c:v>345</c:v>
                      </c:pt>
                      <c:pt idx="32">
                        <c:v>345</c:v>
                      </c:pt>
                      <c:pt idx="33">
                        <c:v>345</c:v>
                      </c:pt>
                      <c:pt idx="34">
                        <c:v>345</c:v>
                      </c:pt>
                      <c:pt idx="35">
                        <c:v>345</c:v>
                      </c:pt>
                      <c:pt idx="36">
                        <c:v>345</c:v>
                      </c:pt>
                      <c:pt idx="37">
                        <c:v>345</c:v>
                      </c:pt>
                      <c:pt idx="38">
                        <c:v>345</c:v>
                      </c:pt>
                      <c:pt idx="39">
                        <c:v>345</c:v>
                      </c:pt>
                      <c:pt idx="40">
                        <c:v>345</c:v>
                      </c:pt>
                      <c:pt idx="41">
                        <c:v>345</c:v>
                      </c:pt>
                      <c:pt idx="42">
                        <c:v>345</c:v>
                      </c:pt>
                      <c:pt idx="43">
                        <c:v>345</c:v>
                      </c:pt>
                      <c:pt idx="44">
                        <c:v>345</c:v>
                      </c:pt>
                      <c:pt idx="45">
                        <c:v>345</c:v>
                      </c:pt>
                      <c:pt idx="46">
                        <c:v>345</c:v>
                      </c:pt>
                      <c:pt idx="47">
                        <c:v>345</c:v>
                      </c:pt>
                      <c:pt idx="48">
                        <c:v>345</c:v>
                      </c:pt>
                      <c:pt idx="49">
                        <c:v>345</c:v>
                      </c:pt>
                      <c:pt idx="50">
                        <c:v>345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BCD-4AB3-8607-1A42AE26C775}"/>
                  </c:ext>
                </c:extLst>
              </c15:ser>
            </c15:filteredScatterSeries>
          </c:ext>
        </c:extLst>
      </c:scatterChart>
      <c:valAx>
        <c:axId val="1878419104"/>
        <c:scaling>
          <c:orientation val="minMax"/>
          <c:max val="20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グラフ!$N$5</c:f>
              <c:strCache>
                <c:ptCount val="1"/>
                <c:pt idx="0">
                  <c:v>inner温度[℃]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401216"/>
        <c:crosses val="autoZero"/>
        <c:crossBetween val="midCat"/>
      </c:valAx>
      <c:valAx>
        <c:axId val="187840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グラフ!$AK$4</c:f>
              <c:strCache>
                <c:ptCount val="1"/>
                <c:pt idx="0">
                  <c:v>outer応力[MPa]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419104"/>
        <c:crossesAt val="-1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png"/><Relationship Id="rId4" Type="http://schemas.microsoft.com/office/2017/06/relationships/model3d" Target="../media/model3d1.glb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773556</xdr:colOff>
      <xdr:row>22</xdr:row>
      <xdr:rowOff>153597</xdr:rowOff>
    </xdr:from>
    <xdr:to>
      <xdr:col>13</xdr:col>
      <xdr:colOff>267357</xdr:colOff>
      <xdr:row>39</xdr:row>
      <xdr:rowOff>202407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855684</xdr:colOff>
      <xdr:row>46</xdr:row>
      <xdr:rowOff>97922</xdr:rowOff>
    </xdr:from>
    <xdr:to>
      <xdr:col>13</xdr:col>
      <xdr:colOff>345982</xdr:colOff>
      <xdr:row>65</xdr:row>
      <xdr:rowOff>117665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25563</xdr:colOff>
      <xdr:row>41</xdr:row>
      <xdr:rowOff>92799</xdr:rowOff>
    </xdr:from>
    <xdr:to>
      <xdr:col>9</xdr:col>
      <xdr:colOff>59181</xdr:colOff>
      <xdr:row>45</xdr:row>
      <xdr:rowOff>27664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8F3CF16-88E2-431B-88DC-EA9353E0E27B}"/>
            </a:ext>
          </a:extLst>
        </xdr:cNvPr>
        <xdr:cNvSpPr txBox="1"/>
      </xdr:nvSpPr>
      <xdr:spPr>
        <a:xfrm>
          <a:off x="8115861" y="10314315"/>
          <a:ext cx="1902899" cy="11671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内外径と応力のグラフ</a:t>
          </a:r>
        </a:p>
      </xdr:txBody>
    </xdr:sp>
    <xdr:clientData/>
  </xdr:twoCellAnchor>
  <xdr:twoCellAnchor>
    <xdr:from>
      <xdr:col>7</xdr:col>
      <xdr:colOff>584311</xdr:colOff>
      <xdr:row>1</xdr:row>
      <xdr:rowOff>128868</xdr:rowOff>
    </xdr:from>
    <xdr:to>
      <xdr:col>12</xdr:col>
      <xdr:colOff>448737</xdr:colOff>
      <xdr:row>21</xdr:row>
      <xdr:rowOff>149246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31CC6885-27A1-901F-2EAF-74BC342B1346}"/>
            </a:ext>
          </a:extLst>
        </xdr:cNvPr>
        <xdr:cNvGrpSpPr/>
      </xdr:nvGrpSpPr>
      <xdr:grpSpPr>
        <a:xfrm>
          <a:off x="8674609" y="355087"/>
          <a:ext cx="5091269" cy="4967425"/>
          <a:chOff x="8673992" y="352213"/>
          <a:chExt cx="5090038" cy="4920826"/>
        </a:xfrm>
      </xdr:grpSpPr>
      <xdr:grpSp>
        <xdr:nvGrpSpPr>
          <xdr:cNvPr id="78" name="グループ化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>
            <a:grpSpLocks/>
          </xdr:cNvGrpSpPr>
        </xdr:nvGrpSpPr>
        <xdr:grpSpPr>
          <a:xfrm>
            <a:off x="8673992" y="352213"/>
            <a:ext cx="5090038" cy="4920826"/>
            <a:chOff x="8381880" y="1692847"/>
            <a:chExt cx="5092186" cy="4925754"/>
          </a:xfrm>
        </xdr:grpSpPr>
        <xdr:grpSp>
          <xdr:nvGrpSpPr>
            <xdr:cNvPr id="63" name="グループ化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GrpSpPr/>
          </xdr:nvGrpSpPr>
          <xdr:grpSpPr>
            <a:xfrm>
              <a:off x="8659026" y="1692847"/>
              <a:ext cx="4815040" cy="4925754"/>
              <a:chOff x="8219125" y="1048978"/>
              <a:chExt cx="4811742" cy="4930465"/>
            </a:xfrm>
          </xdr:grpSpPr>
          <xdr:pic>
            <xdr:nvPicPr>
              <xdr:cNvPr id="9" name="図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8219125" y="1350965"/>
                <a:ext cx="4811742" cy="4276131"/>
              </a:xfrm>
              <a:prstGeom prst="rect">
                <a:avLst/>
              </a:prstGeom>
            </xdr:spPr>
          </xdr:pic>
          <xdr:cxnSp macro="">
            <xdr:nvCxnSpPr>
              <xdr:cNvPr id="11" name="直線矢印コネクタ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9322387" y="4541993"/>
                <a:ext cx="448467" cy="979078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oval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直線矢印コネクタ 12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>
                <a:cxnSpLocks/>
                <a:stCxn id="18" idx="0"/>
              </xdr:cNvCxnSpPr>
            </xdr:nvCxnSpPr>
            <xdr:spPr>
              <a:xfrm flipV="1">
                <a:off x="10727230" y="4949026"/>
                <a:ext cx="193163" cy="59363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oval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線矢印コネクタ 14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CxnSpPr>
                <a:cxnSpLocks/>
                <a:stCxn id="19" idx="0"/>
              </xdr:cNvCxnSpPr>
            </xdr:nvCxnSpPr>
            <xdr:spPr>
              <a:xfrm flipV="1">
                <a:off x="12002960" y="4029424"/>
                <a:ext cx="50603" cy="1513233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oval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テキスト ボックス 16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 txBox="1">
                <a:spLocks/>
              </xdr:cNvSpPr>
            </xdr:nvSpPr>
            <xdr:spPr>
              <a:xfrm>
                <a:off x="8859276" y="5532073"/>
                <a:ext cx="874967" cy="43678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>
                <a:spAutoFit/>
              </a:bodyPr>
              <a:lstStyle/>
              <a:p>
                <a:pPr algn="ctr"/>
                <a:r>
                  <a:rPr kumimoji="1" lang="en-US" altLang="ja-JP" sz="1100"/>
                  <a:t>Inner Part</a:t>
                </a:r>
              </a:p>
              <a:p>
                <a:pPr algn="ctr"/>
                <a:r>
                  <a:rPr kumimoji="1" lang="en-US" altLang="ja-JP" sz="1100"/>
                  <a:t>(Blue)</a:t>
                </a:r>
                <a:endParaRPr kumimoji="1" lang="ja-JP" altLang="en-US" sz="1100"/>
              </a:p>
            </xdr:txBody>
          </xdr:sp>
          <xdr:sp macro="" textlink="">
            <xdr:nvSpPr>
              <xdr:cNvPr id="18" name="テキスト ボックス 17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 txBox="1">
                <a:spLocks/>
              </xdr:cNvSpPr>
            </xdr:nvSpPr>
            <xdr:spPr>
              <a:xfrm>
                <a:off x="10325393" y="5542657"/>
                <a:ext cx="803673" cy="43678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>
                <a:spAutoFit/>
              </a:bodyPr>
              <a:lstStyle/>
              <a:p>
                <a:pPr algn="ctr"/>
                <a:r>
                  <a:rPr kumimoji="1" lang="en-US" altLang="ja-JP" sz="1100"/>
                  <a:t>Outer Part</a:t>
                </a:r>
              </a:p>
              <a:p>
                <a:pPr algn="ctr"/>
                <a:r>
                  <a:rPr kumimoji="1" lang="en-US" altLang="ja-JP" sz="1100"/>
                  <a:t>(Yellow)</a:t>
                </a:r>
                <a:endParaRPr kumimoji="1" lang="ja-JP" altLang="en-US" sz="1100"/>
              </a:p>
            </xdr:txBody>
          </xdr:sp>
          <xdr:sp macro="" textlink="">
            <xdr:nvSpPr>
              <xdr:cNvPr id="19" name="テキスト ボックス 18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SpPr txBox="1">
                <a:spLocks/>
              </xdr:cNvSpPr>
            </xdr:nvSpPr>
            <xdr:spPr>
              <a:xfrm>
                <a:off x="11434435" y="5542657"/>
                <a:ext cx="1137047" cy="43678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>
                <a:spAutoFit/>
              </a:bodyPr>
              <a:lstStyle/>
              <a:p>
                <a:pPr algn="ctr"/>
                <a:r>
                  <a:rPr kumimoji="1" lang="en-US" altLang="ja-JP" sz="1100"/>
                  <a:t>Be Pushed Part</a:t>
                </a:r>
              </a:p>
              <a:p>
                <a:pPr algn="ctr"/>
                <a:r>
                  <a:rPr kumimoji="1" lang="en-US" altLang="ja-JP" sz="1100"/>
                  <a:t>(Green)</a:t>
                </a:r>
                <a:endParaRPr kumimoji="1" lang="ja-JP" altLang="en-US" sz="1100"/>
              </a:p>
            </xdr:txBody>
          </xdr:sp>
          <xdr:cxnSp macro="">
            <xdr:nvCxnSpPr>
              <xdr:cNvPr id="36" name="直線矢印コネクタ 35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CxnSpPr>
                <a:cxnSpLocks/>
                <a:stCxn id="37" idx="2"/>
              </xdr:cNvCxnSpPr>
            </xdr:nvCxnSpPr>
            <xdr:spPr>
              <a:xfrm>
                <a:off x="9072334" y="1377401"/>
                <a:ext cx="1002379" cy="1177096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" name="テキスト ボックス 36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SpPr txBox="1">
                <a:spLocks/>
              </xdr:cNvSpPr>
            </xdr:nvSpPr>
            <xdr:spPr>
              <a:xfrm>
                <a:off x="8500504" y="1048978"/>
                <a:ext cx="1143660" cy="32842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>
                <a:spAutoFit/>
              </a:bodyPr>
              <a:lstStyle/>
              <a:p>
                <a:pPr algn="ctr"/>
                <a:r>
                  <a:rPr kumimoji="1" lang="ja-JP" altLang="en-US" sz="1100"/>
                  <a:t>はめあい部</a:t>
                </a:r>
              </a:p>
            </xdr:txBody>
          </xdr:sp>
          <xdr:sp macro="" textlink="">
            <xdr:nvSpPr>
              <xdr:cNvPr id="41" name="テキスト ボックス 40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SpPr txBox="1">
                <a:spLocks/>
              </xdr:cNvSpPr>
            </xdr:nvSpPr>
            <xdr:spPr>
              <a:xfrm>
                <a:off x="10358253" y="1048978"/>
                <a:ext cx="1338262" cy="32842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>
                <a:spAutoFit/>
              </a:bodyPr>
              <a:lstStyle/>
              <a:p>
                <a:pPr algn="ctr"/>
                <a:r>
                  <a:rPr kumimoji="1" lang="ja-JP" altLang="en-US" sz="1100"/>
                  <a:t>圧入時押し当て部</a:t>
                </a:r>
              </a:p>
            </xdr:txBody>
          </xdr:sp>
          <xdr:cxnSp macro="">
            <xdr:nvCxnSpPr>
              <xdr:cNvPr id="42" name="直線矢印コネクタ 41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CxnSpPr>
                <a:cxnSpLocks/>
                <a:stCxn id="41" idx="2"/>
              </xdr:cNvCxnSpPr>
            </xdr:nvCxnSpPr>
            <xdr:spPr>
              <a:xfrm flipH="1">
                <a:off x="10363016" y="1377401"/>
                <a:ext cx="664369" cy="800493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oval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77" name="グループ化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GrpSpPr/>
          </xdr:nvGrpSpPr>
          <xdr:grpSpPr>
            <a:xfrm>
              <a:off x="8381880" y="2688340"/>
              <a:ext cx="1652974" cy="823132"/>
              <a:chOff x="8345245" y="2702994"/>
              <a:chExt cx="1652974" cy="823132"/>
            </a:xfrm>
          </xdr:grpSpPr>
          <mc:AlternateContent xmlns:mc="http://schemas.openxmlformats.org/markup-compatibility/2006">
            <mc:Choice xmlns:am3d="http://schemas.microsoft.com/office/drawing/2017/model3d" Requires="am3d">
              <xdr:graphicFrame macro="">
                <xdr:nvGraphicFramePr>
                  <xdr:cNvPr id="70" name="3D モデル 69" descr="太くて薄い灰色をした直線の矢印">
                    <a:extLst>
                      <a:ext uri="{FF2B5EF4-FFF2-40B4-BE49-F238E27FC236}">
                        <a16:creationId xmlns:a16="http://schemas.microsoft.com/office/drawing/2014/main" id="{00000000-0008-0000-0000-000046000000}"/>
                      </a:ext>
                    </a:extLst>
                  </xdr:cNvPr>
                  <xdr:cNvGraphicFramePr>
                    <a:graphicFrameLocks noChangeAspect="1"/>
                  </xdr:cNvGraphicFramePr>
                </xdr:nvGraphicFramePr>
                <xdr:xfrm>
                  <a:off x="8345245" y="2702994"/>
                  <a:ext cx="1652974" cy="823132"/>
                </xdr:xfrm>
                <a:graphic>
                  <a:graphicData uri="http://schemas.microsoft.com/office/drawing/2017/model3d">
                    <am3d:model3d xmlns:r="http://schemas.openxmlformats.org/officeDocument/2006/relationships" r:embed="rId4">
                      <am3d:spPr>
                        <a:xfrm>
                          <a:off x="0" y="0"/>
                          <a:ext cx="1652676" cy="830096"/>
                        </a:xfrm>
                        <a:prstGeom prst="rect">
                          <a:avLst/>
                        </a:prstGeom>
                      </am3d:spPr>
                      <am3d:camera>
                        <am3d:pos x="0" y="0" z="49265132"/>
                        <am3d:up dx="0" dy="36000000" dz="0"/>
                        <am3d:lookAt x="0" y="0" z="0"/>
                        <am3d:perspective fov="2700000"/>
                      </am3d:camera>
                      <am3d:trans>
                        <am3d:meterPerModelUnit n="2106943" d="1000000"/>
                        <am3d:preTrans dx="0" dy="-9860495" dz="-1482"/>
                        <am3d:scale>
                          <am3d:sx n="1000000" d="1000000"/>
                          <am3d:sy n="1000000" d="1000000"/>
                          <am3d:sz n="1000000" d="1000000"/>
                        </am3d:scale>
                        <am3d:rot ax="1560771" ay="1877885" az="853526"/>
                        <am3d:postTrans dx="0" dy="0" dz="0"/>
                      </am3d:trans>
                      <am3d:raster rName="Office3DRenderer" rVer="16.0.8326">
                        <am3d:blip r:embed="rId5"/>
                      </am3d:raster>
                      <am3d:objViewport viewportSz="1712730"/>
                      <am3d:ambientLight>
                        <am3d:clr>
                          <a:scrgbClr r="50000" g="50000" b="50000"/>
                        </am3d:clr>
                        <am3d:illuminance n="500000" d="1000000"/>
                      </am3d:ambientLight>
                      <am3d:ptLight rad="0">
                        <am3d:clr>
                          <a:scrgbClr r="100000" g="75000" b="50000"/>
                        </am3d:clr>
                        <am3d:intensity n="9765625" d="1000000"/>
                        <am3d:pos x="21959998" y="70920001" z="16344003"/>
                      </am3d:ptLight>
                      <am3d:ptLight rad="0">
                        <am3d:clr>
                          <a:scrgbClr r="40000" g="60000" b="95000"/>
                        </am3d:clr>
                        <am3d:intensity n="12250000" d="1000000"/>
                        <am3d:pos x="-37964106" y="51130435" z="57631972"/>
                      </am3d:ptLight>
                      <am3d:ptLight rad="0">
                        <am3d:clr>
                          <a:scrgbClr r="86837" g="72700" b="100000"/>
                        </am3d:clr>
                        <am3d:intensity n="3125000" d="1000000"/>
                        <am3d:pos x="-37739122" y="58056624" z="-34769649"/>
                      </am3d:ptLight>
                    </am3d:model3d>
                  </a:graphicData>
                </a:graphic>
              </xdr:graphicFrame>
            </mc:Choice>
            <mc:Fallback>
              <xdr:pic>
                <xdr:nvPicPr>
                  <xdr:cNvPr id="70" name="3D モデル 69" descr="太くて薄い灰色をした直線の矢印">
                    <a:extLst>
                      <a:ext uri="{FF2B5EF4-FFF2-40B4-BE49-F238E27FC236}">
                        <a16:creationId xmlns:a16="http://schemas.microsoft.com/office/drawing/2014/main" id="{00000000-0008-0000-0000-000046000000}"/>
                      </a:ext>
                    </a:extLst>
                  </xdr:cNvPr>
                  <xdr:cNvPicPr>
                    <a:picLocks noGrp="1" noRot="1" noChangeAspect="1" noMove="1" noResize="1" noEditPoints="1" noAdjustHandles="1" noChangeArrowheads="1" noChangeShapeType="1" noCrop="1"/>
                  </xdr:cNvPicPr>
                </xdr:nvPicPr>
                <xdr:blipFill>
                  <a:blip xmlns:r="http://schemas.openxmlformats.org/officeDocument/2006/relationships" r:embed="rId5"/>
                  <a:stretch>
                    <a:fillRect/>
                  </a:stretch>
                </xdr:blipFill>
                <xdr:spPr>
                  <a:xfrm>
                    <a:off x="8674609" y="1359002"/>
                    <a:ext cx="1652676" cy="830096"/>
                  </a:xfrm>
                  <a:prstGeom prst="rect">
                    <a:avLst/>
                  </a:prstGeom>
                </xdr:spPr>
              </xdr:pic>
            </mc:Fallback>
          </mc:AlternateContent>
          <xdr:sp macro="" textlink="">
            <xdr:nvSpPr>
              <xdr:cNvPr id="76" name="テキスト ボックス 75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SpPr txBox="1"/>
            </xdr:nvSpPr>
            <xdr:spPr>
              <a:xfrm rot="20722907">
                <a:off x="8436305" y="3017400"/>
                <a:ext cx="1053137" cy="3292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200" b="1">
                    <a:solidFill>
                      <a:schemeClr val="bg1"/>
                    </a:solidFill>
                  </a:rPr>
                  <a:t>圧入方向</a:t>
                </a:r>
              </a:p>
            </xdr:txBody>
          </xdr:sp>
        </xdr:grpSp>
      </xdr:grp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8DBC3EF3-C0F2-8298-750A-47308A5935CC}"/>
              </a:ext>
            </a:extLst>
          </xdr:cNvPr>
          <xdr:cNvCxnSpPr/>
        </xdr:nvCxnSpPr>
        <xdr:spPr>
          <a:xfrm flipV="1">
            <a:off x="10444655" y="1785985"/>
            <a:ext cx="642020" cy="18470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8319C417-38E0-44AF-9144-003A1029ABAF}"/>
              </a:ext>
            </a:extLst>
          </xdr:cNvPr>
          <xdr:cNvCxnSpPr/>
        </xdr:nvCxnSpPr>
        <xdr:spPr>
          <a:xfrm flipV="1">
            <a:off x="11058853" y="3107661"/>
            <a:ext cx="659756" cy="173537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62407</xdr:colOff>
          <xdr:row>71</xdr:row>
          <xdr:rowOff>202407</xdr:rowOff>
        </xdr:from>
        <xdr:to>
          <xdr:col>13</xdr:col>
          <xdr:colOff>372666</xdr:colOff>
          <xdr:row>87</xdr:row>
          <xdr:rowOff>117873</xdr:rowOff>
        </xdr:to>
        <xdr:pic>
          <xdr:nvPicPr>
            <xdr:cNvPr id="27" name="図 26">
              <a:extLst>
                <a:ext uri="{FF2B5EF4-FFF2-40B4-BE49-F238E27FC236}">
                  <a16:creationId xmlns:a16="http://schemas.microsoft.com/office/drawing/2014/main" id="{09C002A2-11BF-8DB3-2700-441F1F97DE9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グラフ!$AU$3:$BQ$25" spid="_x0000_s10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021861" y="16406813"/>
              <a:ext cx="5352555" cy="35349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83343</xdr:colOff>
          <xdr:row>88</xdr:row>
          <xdr:rowOff>107156</xdr:rowOff>
        </xdr:from>
        <xdr:to>
          <xdr:col>13</xdr:col>
          <xdr:colOff>413024</xdr:colOff>
          <xdr:row>101</xdr:row>
          <xdr:rowOff>214312</xdr:rowOff>
        </xdr:to>
        <xdr:pic>
          <xdr:nvPicPr>
            <xdr:cNvPr id="28" name="図 27">
              <a:extLst>
                <a:ext uri="{FF2B5EF4-FFF2-40B4-BE49-F238E27FC236}">
                  <a16:creationId xmlns:a16="http://schemas.microsoft.com/office/drawing/2014/main" id="{EE48C521-7A8A-CCE0-0D3C-BC712B598F9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グラフ!$AU$53:$BQ$75" spid="_x0000_s104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042797" y="20157281"/>
              <a:ext cx="5371977" cy="3048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204788</xdr:rowOff>
    </xdr:from>
    <xdr:to>
      <xdr:col>4</xdr:col>
      <xdr:colOff>533591</xdr:colOff>
      <xdr:row>26</xdr:row>
      <xdr:rowOff>202607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471488</xdr:colOff>
      <xdr:row>10</xdr:row>
      <xdr:rowOff>180975</xdr:rowOff>
    </xdr:from>
    <xdr:to>
      <xdr:col>10</xdr:col>
      <xdr:colOff>598103</xdr:colOff>
      <xdr:row>26</xdr:row>
      <xdr:rowOff>178794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598882</xdr:colOff>
      <xdr:row>10</xdr:row>
      <xdr:rowOff>165145</xdr:rowOff>
    </xdr:from>
    <xdr:to>
      <xdr:col>22</xdr:col>
      <xdr:colOff>275224</xdr:colOff>
      <xdr:row>26</xdr:row>
      <xdr:rowOff>162964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630874</xdr:colOff>
      <xdr:row>13</xdr:row>
      <xdr:rowOff>215238</xdr:rowOff>
    </xdr:from>
    <xdr:to>
      <xdr:col>17</xdr:col>
      <xdr:colOff>272579</xdr:colOff>
      <xdr:row>29</xdr:row>
      <xdr:rowOff>213056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300682</xdr:colOff>
      <xdr:row>30</xdr:row>
      <xdr:rowOff>216755</xdr:rowOff>
    </xdr:from>
    <xdr:to>
      <xdr:col>21</xdr:col>
      <xdr:colOff>1622251</xdr:colOff>
      <xdr:row>46</xdr:row>
      <xdr:rowOff>214573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4</xdr:row>
      <xdr:rowOff>70115</xdr:rowOff>
    </xdr:from>
    <xdr:to>
      <xdr:col>11</xdr:col>
      <xdr:colOff>419991</xdr:colOff>
      <xdr:row>14</xdr:row>
      <xdr:rowOff>133833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965465"/>
          <a:ext cx="4249041" cy="23020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160547</xdr:colOff>
      <xdr:row>9</xdr:row>
      <xdr:rowOff>14287</xdr:rowOff>
    </xdr:from>
    <xdr:to>
      <xdr:col>20</xdr:col>
      <xdr:colOff>369105</xdr:colOff>
      <xdr:row>28</xdr:row>
      <xdr:rowOff>201529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8547" y="2028825"/>
          <a:ext cx="7066558" cy="44401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453286</xdr:colOff>
      <xdr:row>31</xdr:row>
      <xdr:rowOff>176213</xdr:rowOff>
    </xdr:from>
    <xdr:to>
      <xdr:col>17</xdr:col>
      <xdr:colOff>383667</xdr:colOff>
      <xdr:row>44</xdr:row>
      <xdr:rowOff>163063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3886" y="7115176"/>
          <a:ext cx="6788381" cy="2896737"/>
        </a:xfrm>
        <a:prstGeom prst="rect">
          <a:avLst/>
        </a:prstGeom>
      </xdr:spPr>
    </xdr:pic>
    <xdr:clientData/>
  </xdr:twoCellAnchor>
  <xdr:twoCellAnchor editAs="oneCell">
    <xdr:from>
      <xdr:col>0</xdr:col>
      <xdr:colOff>633412</xdr:colOff>
      <xdr:row>46</xdr:row>
      <xdr:rowOff>195263</xdr:rowOff>
    </xdr:from>
    <xdr:to>
      <xdr:col>14</xdr:col>
      <xdr:colOff>243863</xdr:colOff>
      <xdr:row>105</xdr:row>
      <xdr:rowOff>116831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C604944-6F6B-4539-AC49-60E26999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412" y="10491788"/>
          <a:ext cx="9211651" cy="131279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11;&#20837;&#26908;&#35342;&#26360;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寸法→圧入力"/>
      <sheetName val="Sheet1"/>
      <sheetName val="グラフ"/>
      <sheetName val="外力→寸法"/>
      <sheetName val="外力→寸法(焼き嵌め）"/>
      <sheetName val="はめあい公差表"/>
      <sheetName val="Sheet4"/>
      <sheetName val="Material Table"/>
      <sheetName val="圧入力推定"/>
      <sheetName val="圧入力推定 (2)"/>
      <sheetName val="円筒近似"/>
      <sheetName val="円周応力"/>
    </sheetNames>
    <sheetDataSet>
      <sheetData sheetId="0">
        <row r="3">
          <cell r="D3" t="str">
            <v>穴を軸に圧入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6B141-72F2-43FB-B484-DDB88721D59A}" name="テーブル3" displayName="テーブル3" ref="A5:K56" totalsRowShown="0">
  <autoFilter ref="A5:K56" xr:uid="{FDDE3D9B-89B7-4A1A-84B3-298CC32DC624}"/>
  <tableColumns count="11">
    <tableColumn id="1" xr3:uid="{2FAA5A37-3BEC-491C-82C9-F7926DF58DA7}" name="締め代" dataDxfId="286">
      <calculatedColumnFormula>$A$6+($A$3*(ROW(A6)-ROW($A$6)))</calculatedColumnFormula>
    </tableColumn>
    <tableColumn id="5" xr3:uid="{5A1E9B9A-F7BE-43BE-BE85-5CEA74FD85DD}" name="半径方向応力min" dataDxfId="285">
      <calculatedColumnFormula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calculatedColumnFormula>
    </tableColumn>
    <tableColumn id="2" xr3:uid="{18E815CB-1621-469F-A543-12BFFD25794B}" name="半径方向応力nor" dataDxfId="284">
      <calculatedColumnFormula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calculatedColumnFormula>
    </tableColumn>
    <tableColumn id="6" xr3:uid="{1547B509-646E-4B36-BE11-41773C6F2BE8}" name="半径方向応力max" dataDxfId="283">
      <calculatedColumnFormula>(A6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4" xr3:uid="{9423DD89-5A61-4A31-B24A-23680909B095}" name="圧入力min" dataDxfId="282">
      <calculatedColumnFormula>テーブル3[[#This Row],[半径方向応力min]]*寸法→圧入力!D$43*寸法→圧入力!D$5/1000</calculatedColumnFormula>
    </tableColumn>
    <tableColumn id="3" xr3:uid="{AD3068B6-CDF3-460F-A7F9-4BF5B173109A}" name="圧入力nor" dataDxfId="281">
      <calculatedColumnFormula>テーブル3[[#This Row],[半径方向応力min]]*寸法→圧入力!E$43*寸法→圧入力!E$5/1000</calculatedColumnFormula>
    </tableColumn>
    <tableColumn id="7" xr3:uid="{BE137976-C59F-47AE-B31C-BB90F480FB3E}" name="圧入力max" dataDxfId="280">
      <calculatedColumnFormula>テーブル3[[#This Row],[半径方向応力min]]*寸法→圧入力!F$43*寸法→圧入力!F$5/1000</calculatedColumnFormula>
    </tableColumn>
    <tableColumn id="8" xr3:uid="{0F6A6135-C2F2-4123-8A0A-6516900B0639}" name="降伏点inner" dataDxfId="279">
      <calculatedColumnFormula>寸法→圧入力!$D$19</calculatedColumnFormula>
    </tableColumn>
    <tableColumn id="9" xr3:uid="{F1168C0E-85D7-4C76-B1A0-F138AC22EF38}" name="降伏点outer" dataDxfId="278">
      <calculatedColumnFormula>寸法→圧入力!$D$34</calculatedColumnFormula>
    </tableColumn>
    <tableColumn id="10" xr3:uid="{EF91BA46-877C-4933-8773-13C8D1D88857}" name="円周方向応力inner" dataDxfId="277">
      <calculatedColumnFormula>テーブル3[[#This Row],[半径方向応力nor]]*2*寸法→圧入力!E$13^2/(寸法→圧入力!E$13^2-寸法→圧入力!E$14^2)</calculatedColumnFormula>
    </tableColumn>
    <tableColumn id="11" xr3:uid="{F33EC646-2598-4D95-A97F-6922B11E7CA3}" name="円周方向応力outer" dataDxfId="276">
      <calculatedColumnFormula>テーブル3[[#This Row],[半径方向応力nor]]* (1+(寸法→圧入力!E$29/寸法→圧入力!E$28)^2)/((寸法→圧入力!E$29/寸法→圧入力!E$28)^2-1)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3A78CE-22E8-4DE7-ABAA-3A285F2A4B38}" name="テーブル4" displayName="テーブル4" ref="N5:AR56" totalsRowShown="0">
  <autoFilter ref="N5:AR56" xr:uid="{9E9E9E76-C17A-4F95-8C5C-F669756536B5}"/>
  <tableColumns count="31">
    <tableColumn id="1" xr3:uid="{3BB67F7D-23EF-4215-987B-544BF5A2E374}" name="inner温度[℃]">
      <calculatedColumnFormula>N5+5</calculatedColumnFormula>
    </tableColumn>
    <tableColumn id="9" xr3:uid="{40AF760F-8B54-4388-BEF8-313A5620CF08}" name="締め代：Δ-30℃" dataDxfId="275">
      <calculatedColumnFormula>寸法→圧入力!F$13*(1+寸法→圧入力!D$18*10^-6*(テーブル4[[#This Row],[inner温度'[℃']]]-20)) - 寸法→圧入力!D$28*(1+寸法→圧入力!D$33*10^-6*(テーブル4[[#This Row],[inner温度'[℃']]]+O$3-20))</calculatedColumnFormula>
    </tableColumn>
    <tableColumn id="10" xr3:uid="{24CAF85B-CFDE-4278-A686-117558FC2988}" name="締め代：Δ-20℃" dataDxfId="274">
      <calculatedColumnFormula>寸法→圧入力!F$13*(1+寸法→圧入力!D$18*10^-6*(テーブル4[[#This Row],[inner温度'[℃']]]-20)) - 寸法→圧入力!D$28*(1+寸法→圧入力!D$33*10^-6*(テーブル4[[#This Row],[inner温度'[℃']]]+P$3-20))</calculatedColumnFormula>
    </tableColumn>
    <tableColumn id="11" xr3:uid="{58952C7D-E0C1-4EE5-B9BB-DEFA47E2EC75}" name="締め代：Δ-10℃" dataDxfId="273">
      <calculatedColumnFormula>寸法→圧入力!F$13*(1+寸法→圧入力!D$18*10^-6*(テーブル4[[#This Row],[inner温度'[℃']]]-20)) - 寸法→圧入力!D$28*(1+寸法→圧入力!D$33*10^-6*(テーブル4[[#This Row],[inner温度'[℃']]]+Q$3-20))</calculatedColumnFormula>
    </tableColumn>
    <tableColumn id="12" xr3:uid="{B1D0FC0B-4860-491E-A377-A3F8088CA3F1}" name="締め代：Δ0℃" dataDxfId="272">
      <calculatedColumnFormula>寸法→圧入力!F$13*(1+寸法→圧入力!D$18*10^-6*(テーブル4[[#This Row],[inner温度'[℃']]]-20)) - 寸法→圧入力!D$28*(1+寸法→圧入力!D$33*10^-6*(テーブル4[[#This Row],[inner温度'[℃']]]+R$3-20))</calculatedColumnFormula>
    </tableColumn>
    <tableColumn id="13" xr3:uid="{9CC9C278-B370-458E-BFA7-8313EB649DF9}" name="締め代：Δ+10℃" dataDxfId="271">
      <calculatedColumnFormula>寸法→圧入力!F$13*(1+寸法→圧入力!D$18*10^-6*(テーブル4[[#This Row],[inner温度'[℃']]]-20)) - 寸法→圧入力!D$28*(1+寸法→圧入力!D$33*10^-6*(テーブル4[[#This Row],[inner温度'[℃']]]+S$3-20))</calculatedColumnFormula>
    </tableColumn>
    <tableColumn id="14" xr3:uid="{8A60D690-39FC-48F5-BEF8-308FCA4C9E14}" name="締め代：Δ+20℃" dataDxfId="270">
      <calculatedColumnFormula>寸法→圧入力!F$13*(1+寸法→圧入力!D$18*10^-6*(テーブル4[[#This Row],[inner温度'[℃']]]-20)) - 寸法→圧入力!D$28*(1+寸法→圧入力!D$33*10^-6*(テーブル4[[#This Row],[inner温度'[℃']]]+T$3-20))</calculatedColumnFormula>
    </tableColumn>
    <tableColumn id="15" xr3:uid="{F8C9DC85-FDDD-408E-9972-D7468A494D66}" name="締め代：Δ+30℃" dataDxfId="269">
      <calculatedColumnFormula>寸法→圧入力!F$13*(1+寸法→圧入力!D$18*10^-6*(テーブル4[[#This Row],[inner温度'[℃']]]-20)) - 寸法→圧入力!D$28*(1+寸法→圧入力!D$33*10^-6*(テーブル4[[#This Row],[inner温度'[℃']]]+U$3-20))</calculatedColumnFormula>
    </tableColumn>
    <tableColumn id="24" xr3:uid="{BC2C905E-03A5-4574-9624-D4919F3CAF53}" name="半径方向応力:Δ-30℃" dataDxfId="268">
      <calculatedColumnFormula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25" xr3:uid="{79208675-12C9-475D-B20A-184172485277}" name="半径方向応力:Δ-20℃" dataDxfId="267">
      <calculatedColumnFormula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26" xr3:uid="{4CE2496F-4AD8-4F42-8987-7B1CF2BF2126}" name="半径方向応力:Δ-10℃" dataDxfId="266">
      <calculatedColumnFormula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27" xr3:uid="{88397239-8BA1-497F-92B0-9995AE041B76}" name="半径方向応力:Δ0℃" dataDxfId="265">
      <calculatedColumnFormula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28" xr3:uid="{6084C7F9-EE01-4054-A19D-4C3568E2C68D}" name="半径方向応力:Δ+10℃" dataDxfId="264">
      <calculatedColumnFormula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29" xr3:uid="{FEEBA70A-9EF1-4C61-8E39-74A0C7A8BA69}" name="半径方向応力:Δ+20℃" dataDxfId="263">
      <calculatedColumnFormula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30" xr3:uid="{0D431477-6ED5-4F86-8033-98426F73B068}" name="半径方向応力:Δ+30℃" dataDxfId="262">
      <calculatedColumnFormula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calculatedColumnFormula>
    </tableColumn>
    <tableColumn id="2" xr3:uid="{15F96A06-6DE8-4F3F-A42F-4EC9F1369B9E}" name="inner応力:Δ-30℃" dataDxfId="261">
      <calculatedColumnFormula>テーブル4[[#This Row],[半径方向応力:Δ-30℃]]*2*寸法→圧入力!D$13^2/(寸法→圧入力!D$13^2-寸法→圧入力!F$14^2)</calculatedColumnFormula>
    </tableColumn>
    <tableColumn id="3" xr3:uid="{57FBF900-1FA8-45D2-870F-3A436C83545B}" name="inner応力:Δ-20℃" dataDxfId="260">
      <calculatedColumnFormula>テーブル4[[#This Row],[半径方向応力:Δ-20℃]]*2*寸法→圧入力!D$13^2/(寸法→圧入力!D$13^2-寸法→圧入力!F$14^2)</calculatedColumnFormula>
    </tableColumn>
    <tableColumn id="4" xr3:uid="{33B6073F-3872-49E2-9DE8-E30299345F95}" name="inner応力:Δ-10℃" dataDxfId="259">
      <calculatedColumnFormula>テーブル4[[#This Row],[半径方向応力:Δ-10℃]]*2*寸法→圧入力!D$13^2/(寸法→圧入力!D$13^2-寸法→圧入力!F$14^2)</calculatedColumnFormula>
    </tableColumn>
    <tableColumn id="5" xr3:uid="{4B6C0583-8D4B-4D47-9A89-398DD4A944F6}" name="inner応力:Δ0℃" dataDxfId="258">
      <calculatedColumnFormula>テーブル4[[#This Row],[半径方向応力:Δ0℃]]*2*寸法→圧入力!D$13^2/(寸法→圧入力!D$13^2-寸法→圧入力!F$14^2)</calculatedColumnFormula>
    </tableColumn>
    <tableColumn id="6" xr3:uid="{BA1D798B-3BAF-46E0-9CA3-83EFC7E1A1B3}" name="inner応力:Δ+10℃" dataDxfId="257">
      <calculatedColumnFormula>テーブル4[[#This Row],[半径方向応力:Δ+10℃]]*2*寸法→圧入力!D$13^2/(寸法→圧入力!D$13^2-寸法→圧入力!F$14^2)</calculatedColumnFormula>
    </tableColumn>
    <tableColumn id="7" xr3:uid="{4D79C5C7-4FC5-415B-9E65-1191B3073F19}" name="inner応力:Δ+20℃" dataDxfId="256">
      <calculatedColumnFormula>テーブル4[[#This Row],[半径方向応力:Δ+20℃]]*2*寸法→圧入力!D$13^2/(寸法→圧入力!D$13^2-寸法→圧入力!F$14^2)</calculatedColumnFormula>
    </tableColumn>
    <tableColumn id="8" xr3:uid="{E15A2C96-E608-42E0-A14D-A806CCF54B6E}" name="inner応力:Δ+30℃" dataDxfId="255">
      <calculatedColumnFormula>テーブル4[[#This Row],[半径方向応力:Δ+30℃]]*2*寸法→圧入力!D$13^2/(寸法→圧入力!D$13^2-寸法→圧入力!F$14^2)</calculatedColumnFormula>
    </tableColumn>
    <tableColumn id="31" xr3:uid="{DB918E19-A0F8-4EA2-803A-8B721424C18F}" name="inner降伏点" dataDxfId="254">
      <calculatedColumnFormula>寸法→圧入力!$D$19</calculatedColumnFormula>
    </tableColumn>
    <tableColumn id="16" xr3:uid="{99B39732-6D8B-4F38-8299-523B6916CD73}" name="outer応力:Δ-30℃" dataDxfId="253">
      <calculatedColumnFormula>テーブル4[[#This Row],[半径方向応力:Δ-30℃]]* (1+(寸法→圧入力!D$29/寸法→圧入力!F$28)^2)/((寸法→圧入力!D$29/寸法→圧入力!F$28)^2-1)</calculatedColumnFormula>
    </tableColumn>
    <tableColumn id="17" xr3:uid="{6BAECA94-D5C4-42A7-8337-13B06614FFB3}" name="outer応力:Δ-20℃" dataDxfId="252">
      <calculatedColumnFormula>テーブル4[[#This Row],[半径方向応力:Δ-20℃]]* (1+(寸法→圧入力!D$29/寸法→圧入力!F$28)^2)/((寸法→圧入力!D$29/寸法→圧入力!F$28)^2-1)</calculatedColumnFormula>
    </tableColumn>
    <tableColumn id="18" xr3:uid="{17589792-E645-431B-80A0-A20C1A214407}" name="outer応力:Δ-10℃" dataDxfId="251">
      <calculatedColumnFormula>テーブル4[[#This Row],[半径方向応力:Δ-10℃]]* (1+(寸法→圧入力!D$29/寸法→圧入力!F$28)^2)/((寸法→圧入力!D$29/寸法→圧入力!F$28)^2-1)</calculatedColumnFormula>
    </tableColumn>
    <tableColumn id="19" xr3:uid="{51650215-5794-425D-A9BA-944285CE38A3}" name="outer応力:Δ0℃" dataDxfId="250">
      <calculatedColumnFormula>テーブル4[[#This Row],[半径方向応力:Δ0℃]]* (1+(寸法→圧入力!D$29/寸法→圧入力!F$28)^2)/((寸法→圧入力!D$29/寸法→圧入力!F$28)^2-1)</calculatedColumnFormula>
    </tableColumn>
    <tableColumn id="20" xr3:uid="{F97E2B0B-CC64-43EB-853E-E4204FBB5973}" name="outer応力:Δ+10℃" dataDxfId="249">
      <calculatedColumnFormula>テーブル4[[#This Row],[半径方向応力:Δ+10℃]]* (1+(寸法→圧入力!D$29/寸法→圧入力!F$28)^2)/((寸法→圧入力!D$29/寸法→圧入力!F$28)^2-1)</calculatedColumnFormula>
    </tableColumn>
    <tableColumn id="21" xr3:uid="{6DD1D14F-71C9-4BFF-8DBE-047EC7A69971}" name="outer応力:Δ+20℃" dataDxfId="248">
      <calculatedColumnFormula>テーブル4[[#This Row],[半径方向応力:Δ+20℃]]* (1+(寸法→圧入力!D$29/寸法→圧入力!F$28)^2)/((寸法→圧入力!D$29/寸法→圧入力!F$28)^2-1)</calculatedColumnFormula>
    </tableColumn>
    <tableColumn id="22" xr3:uid="{DFCBF944-9FBC-4887-B4FF-F9ADB45616B8}" name="outer応力:Δ+30℃" dataDxfId="247">
      <calculatedColumnFormula>テーブル4[[#This Row],[半径方向応力:Δ+30℃]]* (1+(寸法→圧入力!D$29/寸法→圧入力!F$28)^2)/((寸法→圧入力!D$29/寸法→圧入力!F$28)^2-1)</calculatedColumnFormula>
    </tableColumn>
    <tableColumn id="32" xr3:uid="{297836EA-3C81-4A7D-830A-384702CB8E77}" name="outer降伏点" dataDxfId="246">
      <calculatedColumnFormula>寸法→圧入力!$D$34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A77CE-FBDD-4F34-AA95-345DB1B5D4E3}" name="Material_Table" displayName="Material_Table" ref="A2:G21" totalsRowCount="1">
  <autoFilter ref="A2:G20" xr:uid="{3C1AC721-12E6-4E19-9C18-C5C63480899C}"/>
  <tableColumns count="7">
    <tableColumn id="1" xr3:uid="{206EF78F-8D96-4D0D-8F46-BBFDABAB5A1B}" name="Material Name"/>
    <tableColumn id="7" xr3:uid="{CF201848-E045-465E-AFEC-1647737342D5}" name="材料分類"/>
    <tableColumn id="2" xr3:uid="{08981B9D-744A-46C4-BBC7-B9EE8B2EE14B}" name="Young's Modulus[MPa]"/>
    <tableColumn id="3" xr3:uid="{A2C38975-2C0F-4CE9-8A99-920FC2FF770B}" name="Poisson's Ratio[-]"/>
    <tableColumn id="4" xr3:uid="{02373757-1501-4A6A-84BA-D45BE355AC7B}" name="Linear Expansion Coefficient[10^-6/K]"/>
    <tableColumn id="5" xr3:uid="{F682FC32-BDE6-4726-8E86-C5397E439066}" name="Yield Point[MPa]"/>
    <tableColumn id="6" xr3:uid="{745C4664-F212-4439-A176-062463067F8F}" name="Density[kg/m3]" dataDxfId="245">
      <calculatedColumnFormula>7.81/1000*100^3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5E864-CC25-4321-811E-BD2F383E8CCE}" name="standard_shaft_upper_tolerance" displayName="standard_shaft_upper_tolerance" ref="AO7:BU32" totalsRowShown="0" headerRowDxfId="244" dataDxfId="243" tableBorderDxfId="242">
  <autoFilter ref="AO7:BU32" xr:uid="{C735E864-CC25-4321-811E-BD2F383E8C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348A5EF1-D023-404D-97B2-C0C592EF7B7D}" name="を超え" dataDxfId="241"/>
    <tableColumn id="2" xr3:uid="{DE406D3D-0C57-4BA3-B279-C80E1AD9AB0F}" name="以下" dataDxfId="240"/>
    <tableColumn id="3" xr3:uid="{A105C85B-8699-4DDE-865D-C45A2928559A}" name="b9" dataDxfId="239"/>
    <tableColumn id="4" xr3:uid="{32690B30-8AC9-4FC2-9C16-41BD4D314DE0}" name="c9" dataDxfId="238"/>
    <tableColumn id="5" xr3:uid="{FD3CE0BD-F759-4C40-89F7-7237B3FA33BB}" name="d8" dataDxfId="237"/>
    <tableColumn id="6" xr3:uid="{5D6F78BD-D2DB-4807-B43E-ED86E486798F}" name="d9" dataDxfId="236"/>
    <tableColumn id="7" xr3:uid="{1804B4D2-1A14-452B-8917-18F0FB9AAC57}" name="e7" dataDxfId="235"/>
    <tableColumn id="8" xr3:uid="{B8990D9F-FB61-495C-992F-2A2421B51537}" name="e8" dataDxfId="234"/>
    <tableColumn id="9" xr3:uid="{24D7B0CC-88ED-4552-8B23-F5BBD0AD8CE8}" name="e9" dataDxfId="233"/>
    <tableColumn id="10" xr3:uid="{5C2900CF-1C9D-4556-BDE3-73B800DD0380}" name="f6" dataDxfId="232"/>
    <tableColumn id="11" xr3:uid="{A7854A32-45C2-4096-B9D0-6C9E1DC8352D}" name="f7" dataDxfId="231"/>
    <tableColumn id="12" xr3:uid="{575013FD-42A0-45C8-985F-2958BFED531F}" name="f8" dataDxfId="230"/>
    <tableColumn id="13" xr3:uid="{74E99D3B-5CBD-48AB-86CD-C9F75AEF049D}" name="g5" dataDxfId="229"/>
    <tableColumn id="14" xr3:uid="{AA76DE97-77EF-47A0-AB68-B2F30E4BFCF7}" name="g6" dataDxfId="228"/>
    <tableColumn id="15" xr3:uid="{7D5A82C7-A414-4BC3-8A2A-47A4808994F3}" name="h5" dataDxfId="227"/>
    <tableColumn id="16" xr3:uid="{201B2101-9E4B-4379-B2C4-2C8EE3D72845}" name="h6" dataDxfId="226"/>
    <tableColumn id="17" xr3:uid="{06665A79-5AE3-4C8B-A407-4CB07203B243}" name="h7" dataDxfId="225"/>
    <tableColumn id="18" xr3:uid="{83010025-DF47-4E40-B19C-249D4AFB6701}" name="h8" dataDxfId="224"/>
    <tableColumn id="19" xr3:uid="{6E3ED69E-15AE-4F2B-B76C-EED2156553DC}" name="h9" dataDxfId="223"/>
    <tableColumn id="20" xr3:uid="{7FBBA8F6-4BAC-4EA6-8B9F-EBEE898D915D}" name="js5" dataDxfId="222"/>
    <tableColumn id="21" xr3:uid="{6C94E415-4327-4F92-824A-FC8DD4B6EEDB}" name="js6" dataDxfId="221"/>
    <tableColumn id="22" xr3:uid="{1E8AB631-F133-4F1C-8C90-EE7459004C50}" name="js7" dataDxfId="220"/>
    <tableColumn id="23" xr3:uid="{122CC2EE-2DC1-4AFB-8D89-7F5218534B47}" name="k5" dataDxfId="219"/>
    <tableColumn id="24" xr3:uid="{9D5D6DF6-43DE-4A88-966D-BB4A4271EAB1}" name="k6" dataDxfId="218"/>
    <tableColumn id="25" xr3:uid="{86B164F9-FA49-43E1-9137-2393AACEF572}" name="m5" dataDxfId="217"/>
    <tableColumn id="26" xr3:uid="{E364F349-6A93-47F4-ADC9-73519AB20DE2}" name="m6" dataDxfId="216"/>
    <tableColumn id="27" xr3:uid="{2BC4FF93-10E6-4A59-B8E7-ABAA8179B36D}" name="n6" dataDxfId="215"/>
    <tableColumn id="28" xr3:uid="{5DCBEFC9-93D5-442D-8044-A8E2CBF1B91F}" name="p6" dataDxfId="214"/>
    <tableColumn id="29" xr3:uid="{AC391593-18D1-452F-A8C1-736E4507D15E}" name="r6" dataDxfId="213"/>
    <tableColumn id="30" xr3:uid="{C199E01D-83A2-4675-8DDB-504621FC6C78}" name="s6" dataDxfId="212"/>
    <tableColumn id="31" xr3:uid="{2D2C7C07-A6AB-4B20-BC0B-5B9E93A66458}" name="t6" dataDxfId="211"/>
    <tableColumn id="32" xr3:uid="{CF1B5624-AD31-413A-A668-B7DE52E51EF2}" name="u6" dataDxfId="210"/>
    <tableColumn id="33" xr3:uid="{E2AE28F0-DBF1-4940-8A6B-386E9F7EDE78}" name="x6" dataDxfId="20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366D9-23BA-46BB-9481-5BDFB7FDB51F}" name="standard_shaft_lower_tolerance" displayName="standard_shaft_lower_tolerance" ref="AO35:BU61" totalsRowShown="0" headerRowDxfId="208" dataDxfId="206" headerRowBorderDxfId="207" tableBorderDxfId="205">
  <autoFilter ref="AO35:BU61" xr:uid="{B8F366D9-23BA-46BB-9481-5BDFB7FDB5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74AD8911-3BED-4C02-A641-1A1E8E06A120}" name="を超え" dataDxfId="204"/>
    <tableColumn id="2" xr3:uid="{AF2E59D5-A3D3-4B90-994E-3D1EE5F7C93E}" name="以下" dataDxfId="203"/>
    <tableColumn id="3" xr3:uid="{BB8CFF92-07AA-410D-82D0-5927853712C0}" name="b9"/>
    <tableColumn id="4" xr3:uid="{00786767-67ED-485E-AEA8-B8BA1CD01F29}" name="c9"/>
    <tableColumn id="5" xr3:uid="{D4D14010-8F9D-41A0-8F21-F466969FFD2B}" name="d8"/>
    <tableColumn id="6" xr3:uid="{CB62A9B2-DB9E-4823-9672-4C58AE9D1B4A}" name="d9"/>
    <tableColumn id="7" xr3:uid="{E8989267-12D9-464D-AFAB-34D0FCB6D392}" name="e7"/>
    <tableColumn id="8" xr3:uid="{08F026B8-AC1C-480A-A261-26ECC6FDBC53}" name="e8"/>
    <tableColumn id="9" xr3:uid="{1DE62688-682E-4354-BDF2-98C0C69CCB33}" name="e9" dataDxfId="202"/>
    <tableColumn id="10" xr3:uid="{1D312970-9AEF-4F4C-AA40-24AAE54F0CC8}" name="f6" dataDxfId="201"/>
    <tableColumn id="11" xr3:uid="{E8F701DA-F896-4628-96D0-77E6FB7BF0E8}" name="f7" dataDxfId="200"/>
    <tableColumn id="12" xr3:uid="{AB652DAB-D625-4A09-B89A-63DE5BD358CE}" name="f8" dataDxfId="199"/>
    <tableColumn id="13" xr3:uid="{D9B5C1AF-0368-4922-A162-7A5EA4C7FD28}" name="g5" dataDxfId="198"/>
    <tableColumn id="14" xr3:uid="{823CBD1B-F20A-4865-B78A-A6823E82BAB2}" name="g6" dataDxfId="197"/>
    <tableColumn id="15" xr3:uid="{93BE5EAC-2C3C-4A49-9843-7D53DA6A21F0}" name="h5" dataDxfId="196"/>
    <tableColumn id="16" xr3:uid="{3A1D7B12-2EE3-4A3F-AAB5-62F2AE960F87}" name="h6" dataDxfId="195"/>
    <tableColumn id="17" xr3:uid="{C753D06F-A1F2-4D9A-98C7-9BD33615AFD9}" name="h7" dataDxfId="194"/>
    <tableColumn id="18" xr3:uid="{596F6838-BE97-45BF-8106-890043BF8027}" name="h8" dataDxfId="193"/>
    <tableColumn id="19" xr3:uid="{205760D7-6664-497D-8F28-875111EA5CCA}" name="h9" dataDxfId="192"/>
    <tableColumn id="20" xr3:uid="{E9281BA8-3583-41CA-8184-430CF5710850}" name="js5" dataDxfId="191"/>
    <tableColumn id="21" xr3:uid="{00D2EE0E-2A7B-42AF-BB8D-B74D39C6DEEC}" name="js6" dataDxfId="190"/>
    <tableColumn id="22" xr3:uid="{394926CD-7BF5-4FA2-B58F-9A7140FC38A0}" name="js7" dataDxfId="189"/>
    <tableColumn id="23" xr3:uid="{2FCC0B4A-E1C4-448F-ABD1-13AC6CCD7EC7}" name="k5" dataDxfId="188"/>
    <tableColumn id="24" xr3:uid="{7CEE0AEC-E05D-4D47-B776-9645FEC7F894}" name="k6" dataDxfId="187"/>
    <tableColumn id="25" xr3:uid="{4E479169-D561-43FA-877F-AC88FDBDCCD8}" name="m5" dataDxfId="186"/>
    <tableColumn id="26" xr3:uid="{048EA87D-F566-4EF3-BFB3-8262A8EEA204}" name="m6" dataDxfId="185"/>
    <tableColumn id="27" xr3:uid="{A3BA5B06-967E-4D3E-BE20-DF0C5F4021A7}" name="n6" dataDxfId="184"/>
    <tableColumn id="28" xr3:uid="{B9898FF6-DB4F-4AEA-BED5-51ACEAB37522}" name="p6" dataDxfId="183"/>
    <tableColumn id="29" xr3:uid="{AAF94862-163A-4465-BF35-36773BBEBAAC}" name="r6" dataDxfId="182"/>
    <tableColumn id="30" xr3:uid="{F5B28BFC-0105-4350-BB59-BB8962545E9B}" name="s6" dataDxfId="181"/>
    <tableColumn id="31" xr3:uid="{9543343B-563C-4E63-8B65-EF3BBC8C9E40}" name="t6" dataDxfId="180"/>
    <tableColumn id="32" xr3:uid="{2C322EFE-A613-47D3-B5FD-1056304FEAD0}" name="u6" dataDxfId="179"/>
    <tableColumn id="33" xr3:uid="{A045A0A7-7031-4FF3-9EA5-F127782FF063}" name="x6" dataDxfId="1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3BAD70-5D0A-4F04-94BD-59A15A8F205A}" name="standard_hole_upper_tolerance" displayName="standard_hole_upper_tolerance" ref="BW7:DF32" totalsRowShown="0" headerRowDxfId="177" headerRowBorderDxfId="176" tableBorderDxfId="175" totalsRowBorderDxfId="174">
  <autoFilter ref="BW7:DF32" xr:uid="{2E3BAD70-5D0A-4F04-94BD-59A15A8F205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F47150E4-E40A-4C03-941A-40F5B5108AD0}" name="を超え" dataDxfId="173"/>
    <tableColumn id="2" xr3:uid="{C35DA97F-11A4-4C8B-8561-FCE59A20166A}" name="以下" dataDxfId="172"/>
    <tableColumn id="3" xr3:uid="{E26F5ACE-E2FE-4159-A28E-047799D6372A}" name="B10" dataDxfId="171"/>
    <tableColumn id="4" xr3:uid="{FFB3EFE1-7E0E-4D64-8085-146240C644EF}" name="C9" dataDxfId="170"/>
    <tableColumn id="5" xr3:uid="{3438E71E-9330-4AE9-9343-AB51601811E3}" name="C10" dataDxfId="169"/>
    <tableColumn id="6" xr3:uid="{47FD1FB9-AA05-442A-9810-8AE2B5730688}" name="D8" dataDxfId="168"/>
    <tableColumn id="7" xr3:uid="{E41C709E-F136-4163-ACAB-5CC38C8B1EF5}" name="D9" dataDxfId="167"/>
    <tableColumn id="8" xr3:uid="{E7DF756D-8E25-4A4E-AC6F-8A073977C215}" name="D10" dataDxfId="166"/>
    <tableColumn id="9" xr3:uid="{0DEC4C76-994A-4DA3-8D29-F038631F7E92}" name="E7" dataDxfId="165"/>
    <tableColumn id="10" xr3:uid="{0D942B12-775A-4523-9309-62E0AED7E760}" name="E8" dataDxfId="164"/>
    <tableColumn id="11" xr3:uid="{BC9D6C66-47B7-43C0-AED8-8E9FBD029CC2}" name="E9" dataDxfId="163"/>
    <tableColumn id="12" xr3:uid="{3948BC56-106D-47A0-A4AB-DE4DA65B73EE}" name="F6" dataDxfId="162"/>
    <tableColumn id="13" xr3:uid="{E82A55FD-652B-46DF-9AC4-FC07FB400007}" name="F7" dataDxfId="161"/>
    <tableColumn id="14" xr3:uid="{115A9B2D-83F2-4B64-B742-F5D68AC67CC4}" name="F8" dataDxfId="160"/>
    <tableColumn id="15" xr3:uid="{19EDB8B0-2046-4B4B-B006-367F0116A662}" name="G6" dataDxfId="159"/>
    <tableColumn id="16" xr3:uid="{8615132C-7C0B-4F02-82E6-8221F04A24D2}" name="G7" dataDxfId="158"/>
    <tableColumn id="17" xr3:uid="{2F6F20BF-9AE2-4B54-BBE5-DEAD6B0BAFE0}" name="H6" dataDxfId="157"/>
    <tableColumn id="18" xr3:uid="{347B3523-C942-4DFD-BEEA-7C93FE4DA9C9}" name="H7" dataDxfId="156"/>
    <tableColumn id="19" xr3:uid="{FD42DDFF-1F42-420D-AB7E-13C1DE03F71E}" name="H8" dataDxfId="155"/>
    <tableColumn id="20" xr3:uid="{F46CCBDB-A328-49E3-987D-A140C236D46E}" name="H9" dataDxfId="154"/>
    <tableColumn id="21" xr3:uid="{BB02AB2D-DE16-42CB-916C-0CA9BC98E2FD}" name="H10" dataDxfId="153"/>
    <tableColumn id="22" xr3:uid="{F4E5B2B2-7A7F-412F-A3BD-87EF640A4780}" name="JS6" dataDxfId="152"/>
    <tableColumn id="23" xr3:uid="{E49EE6C2-1F72-4661-BEC9-9785867DBD10}" name="JS7" dataDxfId="151"/>
    <tableColumn id="24" xr3:uid="{E9C863E9-97E9-41E1-BE2D-006A6B8C7455}" name="K6" dataDxfId="150"/>
    <tableColumn id="25" xr3:uid="{CE315A73-D606-48EB-B098-27F11FE919C8}" name="K7" dataDxfId="149"/>
    <tableColumn id="26" xr3:uid="{73D01343-72A2-4F1E-AD37-0CA0A8FAF724}" name="M6" dataDxfId="148"/>
    <tableColumn id="27" xr3:uid="{B88E0175-85EF-486E-93D8-025A3CAC3278}" name="M7" dataDxfId="147"/>
    <tableColumn id="28" xr3:uid="{6448F14A-B940-46EF-A5D1-A4FB09E44CEB}" name="N6" dataDxfId="146"/>
    <tableColumn id="29" xr3:uid="{2859706F-CD9F-430C-A90C-819DD2540300}" name="N7" dataDxfId="145"/>
    <tableColumn id="30" xr3:uid="{8B2E48F1-3571-4906-B946-824CE3A0D3FE}" name="P6" dataDxfId="144"/>
    <tableColumn id="31" xr3:uid="{38420F72-6B0D-48B4-8B0F-1E2E6D116C8D}" name="P7" dataDxfId="143"/>
    <tableColumn id="32" xr3:uid="{A76EC72A-3EE6-4193-9F8D-9E56DE2310A3}" name="R7" dataDxfId="142"/>
    <tableColumn id="33" xr3:uid="{BBC02F11-BCE6-4B71-839C-07FE72B2AA93}" name="S7" dataDxfId="141"/>
    <tableColumn id="34" xr3:uid="{0B8EBCFC-9560-4E9C-AB06-D89AB04AE922}" name="T7" dataDxfId="140"/>
    <tableColumn id="35" xr3:uid="{04F08F16-B87A-4350-B6BD-BE158E8E1FA1}" name="U7" dataDxfId="139"/>
    <tableColumn id="36" xr3:uid="{50B87F79-5F74-4C54-998F-291BCA249C6D}" name="X7" dataDxfId="1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744AB7-156E-4021-8AFD-DD3189586857}" name="standard_hole_lower_tolerance" displayName="standard_hole_lower_tolerance" ref="BW35:DF60" totalsRowShown="0" headerRowDxfId="137" dataDxfId="135" headerRowBorderDxfId="136" tableBorderDxfId="134">
  <autoFilter ref="BW35:DF60" xr:uid="{4D744AB7-156E-4021-8AFD-DD31895868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20B924E8-CF9F-40AF-B82E-781D77847387}" name="を超え" dataDxfId="133"/>
    <tableColumn id="2" xr3:uid="{D7B4226E-9A22-4619-B4A9-0758B3CA8773}" name="以下" dataDxfId="132"/>
    <tableColumn id="3" xr3:uid="{7A23D3FE-B932-4985-ABEB-FCE123EA557B}" name="B10" dataDxfId="131"/>
    <tableColumn id="4" xr3:uid="{00ED98C9-6C77-4BE7-B7F1-344C847878AD}" name="C9" dataDxfId="130"/>
    <tableColumn id="5" xr3:uid="{C8C6E46B-5C2E-47E2-8E5F-62A85276C411}" name="C10" dataDxfId="129"/>
    <tableColumn id="6" xr3:uid="{75943F63-9C89-46C7-99C0-DA26A78A0567}" name="D8" dataDxfId="128"/>
    <tableColumn id="7" xr3:uid="{772D2F77-226E-46E6-A90F-D323DB9D1550}" name="D9" dataDxfId="127"/>
    <tableColumn id="8" xr3:uid="{4050ECC2-AB01-46D2-BFA1-F8428AD5CFA3}" name="D10" dataDxfId="126"/>
    <tableColumn id="9" xr3:uid="{14FBF484-2EBC-4DCF-907D-731F71570D3E}" name="E7" dataDxfId="125"/>
    <tableColumn id="10" xr3:uid="{C8124A5D-B686-4E9F-B227-3759F721D0DC}" name="E8" dataDxfId="124"/>
    <tableColumn id="11" xr3:uid="{EDAD7FB1-F996-4A30-BCE0-ABAF0FA542CA}" name="E9" dataDxfId="123"/>
    <tableColumn id="12" xr3:uid="{BAAFDA63-4C95-4489-A1D4-6B46EC0D7146}" name="F6" dataDxfId="122"/>
    <tableColumn id="13" xr3:uid="{444A0A74-9F64-4936-BD32-A658914EA5BE}" name="F7" dataDxfId="121"/>
    <tableColumn id="14" xr3:uid="{DB7838C2-414D-40FB-9143-E3EB6D7067DE}" name="F8" dataDxfId="120"/>
    <tableColumn id="15" xr3:uid="{615C935C-B4E4-40AB-8848-DB5E84F3C8CF}" name="G6" dataDxfId="119"/>
    <tableColumn id="16" xr3:uid="{5C8087EF-6645-4B88-BEFC-FDF2EF27D1DE}" name="G7" dataDxfId="118"/>
    <tableColumn id="17" xr3:uid="{A9878A7D-9DFA-40E9-AE26-53032172D09C}" name="H6" dataDxfId="117"/>
    <tableColumn id="18" xr3:uid="{803C9DA4-B0A3-4E86-B6E9-272D43A26F15}" name="H7" dataDxfId="116"/>
    <tableColumn id="19" xr3:uid="{31D226EB-B137-47F8-A0C8-75DC0101F80A}" name="H8" dataDxfId="115"/>
    <tableColumn id="20" xr3:uid="{5D49A828-F9FF-4E14-984E-9C62A986DBE2}" name="H9" dataDxfId="114"/>
    <tableColumn id="21" xr3:uid="{6EEF7921-9EC8-4B41-AAE3-EB0C45607B6A}" name="H10" dataDxfId="113"/>
    <tableColumn id="22" xr3:uid="{43FEC28A-3F7F-45A0-A540-1ACEB682CBF9}" name="JS6" dataDxfId="112"/>
    <tableColumn id="23" xr3:uid="{263D7B43-D7CB-43B8-8EAF-FA5758FCB3A3}" name="JS7" dataDxfId="111"/>
    <tableColumn id="24" xr3:uid="{4E5F97D5-7126-453B-88D2-86709718B269}" name="K6" dataDxfId="110"/>
    <tableColumn id="25" xr3:uid="{96E7D006-1656-42A0-BEF4-25522F39B2FD}" name="K7" dataDxfId="109"/>
    <tableColumn id="26" xr3:uid="{A21AF3F1-4EDE-48EE-B1C8-7A932DA28464}" name="M6" dataDxfId="108"/>
    <tableColumn id="27" xr3:uid="{6994E4E1-8BF4-4A5A-8138-562C5E9EC1E8}" name="M7" dataDxfId="107"/>
    <tableColumn id="28" xr3:uid="{4E41DEED-0042-41FE-98D0-D8CA0A4CAF88}" name="N6" dataDxfId="106"/>
    <tableColumn id="29" xr3:uid="{9F753FEC-DE18-4649-9B97-0FBC556D31B0}" name="N7" dataDxfId="105"/>
    <tableColumn id="30" xr3:uid="{C1A8D7C5-8BE7-46BE-82B3-5E629F68CB3D}" name="P6" dataDxfId="104"/>
    <tableColumn id="31" xr3:uid="{7512CA61-E787-4C6F-A2CE-B9477DC58BBD}" name="P7" dataDxfId="103"/>
    <tableColumn id="32" xr3:uid="{5D0C4BB2-73BC-4A3E-81AE-B71DD398A5FF}" name="R7" dataDxfId="102"/>
    <tableColumn id="33" xr3:uid="{2B05919B-CD2F-4F95-A901-5619CF4930BA}" name="S7" dataDxfId="101"/>
    <tableColumn id="34" xr3:uid="{F6F50D80-A0E9-4CB1-BA74-B9F209E1337C}" name="T7" dataDxfId="100"/>
    <tableColumn id="35" xr3:uid="{D9C24933-7208-4D95-B645-C652BC03E5B4}" name="U7" dataDxfId="99"/>
    <tableColumn id="36" xr3:uid="{1290C33C-377C-465D-A442-FB66AA152757}" name="X7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ngineering-web.com/plate_ja/CircularPlateRotDi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EFE5-B5B2-4A14-B9F4-D783BA09A4D1}">
  <sheetPr>
    <outlinePr summaryBelow="0"/>
  </sheetPr>
  <dimension ref="A1:K147"/>
  <sheetViews>
    <sheetView showGridLines="0" tabSelected="1" zoomScale="80" zoomScaleNormal="80" workbookViewId="0">
      <pane ySplit="1" topLeftCell="A82" activePane="bottomLeft" state="frozen"/>
      <selection pane="bottomLeft" activeCell="C96" sqref="C96"/>
    </sheetView>
  </sheetViews>
  <sheetFormatPr defaultRowHeight="17.649999999999999" outlineLevelRow="1" x14ac:dyDescent="0.7"/>
  <cols>
    <col min="1" max="1" width="9" style="4"/>
    <col min="2" max="2" width="9.625" style="98" bestFit="1" customWidth="1"/>
    <col min="3" max="3" width="32.9375" style="8" bestFit="1" customWidth="1"/>
    <col min="4" max="4" width="18.125" style="1" customWidth="1"/>
    <col min="5" max="5" width="14.625" style="1" bestFit="1" customWidth="1"/>
    <col min="6" max="6" width="12" style="1" bestFit="1" customWidth="1"/>
    <col min="7" max="7" width="9.875" style="1" bestFit="1" customWidth="1"/>
    <col min="8" max="8" width="11.375" style="4" customWidth="1"/>
    <col min="9" max="9" width="13.125" style="4" bestFit="1" customWidth="1"/>
    <col min="10" max="10" width="18.0625" style="4" bestFit="1" customWidth="1"/>
    <col min="11" max="11" width="17" style="4" bestFit="1" customWidth="1"/>
    <col min="12" max="16384" width="9" style="4"/>
  </cols>
  <sheetData>
    <row r="1" spans="1:7" x14ac:dyDescent="0.7">
      <c r="A1"/>
      <c r="B1" s="8"/>
      <c r="C1"/>
      <c r="D1" s="16" t="s">
        <v>6</v>
      </c>
      <c r="E1" s="16" t="s">
        <v>5</v>
      </c>
      <c r="F1" s="16" t="s">
        <v>7</v>
      </c>
    </row>
    <row r="2" spans="1:7" ht="25.9" x14ac:dyDescent="0.7">
      <c r="A2" s="9" t="s">
        <v>114</v>
      </c>
    </row>
    <row r="3" spans="1:7" x14ac:dyDescent="0.7">
      <c r="B3" s="99" t="s">
        <v>4</v>
      </c>
      <c r="C3" s="5" t="s">
        <v>3</v>
      </c>
      <c r="D3" s="121">
        <v>30</v>
      </c>
      <c r="E3" s="121"/>
      <c r="F3" s="121"/>
      <c r="G3" s="1" t="s">
        <v>32</v>
      </c>
    </row>
    <row r="4" spans="1:7" x14ac:dyDescent="0.7">
      <c r="B4" s="99"/>
      <c r="C4" s="5" t="s">
        <v>110</v>
      </c>
      <c r="D4" s="30">
        <f>$D$3+(D$27+D$12)/2</f>
        <v>30.0075</v>
      </c>
      <c r="E4" s="30">
        <f>$D$3+(E$27+E$12)/2</f>
        <v>30.012499999999999</v>
      </c>
      <c r="F4" s="30">
        <f>$D$3+(F$27+F$12)/2</f>
        <v>30.017499999999998</v>
      </c>
      <c r="G4" s="1" t="s">
        <v>33</v>
      </c>
    </row>
    <row r="5" spans="1:7" x14ac:dyDescent="0.7">
      <c r="B5" s="99"/>
      <c r="C5" s="7" t="s">
        <v>231</v>
      </c>
      <c r="D5" s="18">
        <v>0.12</v>
      </c>
      <c r="E5" s="18">
        <v>0.15</v>
      </c>
      <c r="F5" s="18">
        <v>0.18</v>
      </c>
      <c r="G5" s="1" t="s">
        <v>32</v>
      </c>
    </row>
    <row r="6" spans="1:7" x14ac:dyDescent="0.7">
      <c r="B6" s="99"/>
      <c r="C6" s="7" t="s">
        <v>232</v>
      </c>
      <c r="D6" s="18">
        <v>0.1</v>
      </c>
      <c r="E6" s="18">
        <v>0.12</v>
      </c>
      <c r="F6" s="18">
        <v>0.15</v>
      </c>
      <c r="G6" s="1" t="s">
        <v>32</v>
      </c>
    </row>
    <row r="7" spans="1:7" x14ac:dyDescent="0.7">
      <c r="B7" s="99"/>
      <c r="C7" s="5" t="s">
        <v>219</v>
      </c>
      <c r="D7" s="124">
        <v>4</v>
      </c>
      <c r="E7" s="125"/>
      <c r="F7" s="126"/>
      <c r="G7" s="1" t="s">
        <v>32</v>
      </c>
    </row>
    <row r="8" spans="1:7" ht="25.9" x14ac:dyDescent="0.7">
      <c r="A8" s="9" t="s">
        <v>115</v>
      </c>
      <c r="B8" s="100"/>
      <c r="C8" s="9"/>
      <c r="D8" s="9"/>
      <c r="E8" s="9"/>
      <c r="F8" s="9"/>
    </row>
    <row r="9" spans="1:7" ht="35.25" x14ac:dyDescent="0.7">
      <c r="B9" s="101" t="s">
        <v>25</v>
      </c>
      <c r="C9" s="85" t="s">
        <v>204</v>
      </c>
      <c r="D9" s="139"/>
      <c r="E9" s="140"/>
      <c r="F9" s="141"/>
      <c r="G9" s="1" t="s">
        <v>32</v>
      </c>
    </row>
    <row r="10" spans="1:7" x14ac:dyDescent="0.7">
      <c r="B10" s="101"/>
      <c r="C10" s="5" t="s">
        <v>203</v>
      </c>
      <c r="D10" s="31" t="e">
        <f>VLOOKUP(D3-0.000001,standard_shaft_lower_tolerance[],MATCH(D9,standard_shaft_lower_tolerance[#Headers],0))/1000</f>
        <v>#N/A</v>
      </c>
      <c r="E10" s="31" t="s">
        <v>200</v>
      </c>
      <c r="F10" s="31" t="e">
        <f>VLOOKUP(D3-0.000001,standard_shaft_upper_tolerance[],MATCH(D9,standard_shaft_upper_tolerance[#Headers],0))/1000</f>
        <v>#N/A</v>
      </c>
      <c r="G10" s="1" t="s">
        <v>33</v>
      </c>
    </row>
    <row r="11" spans="1:7" x14ac:dyDescent="0.7">
      <c r="B11" s="101"/>
      <c r="C11" s="5" t="s">
        <v>205</v>
      </c>
      <c r="D11" s="86">
        <v>1.4999999999999999E-2</v>
      </c>
      <c r="E11" s="31" t="s">
        <v>200</v>
      </c>
      <c r="F11" s="86">
        <v>2.5000000000000001E-2</v>
      </c>
      <c r="G11" s="1" t="s">
        <v>32</v>
      </c>
    </row>
    <row r="12" spans="1:7" x14ac:dyDescent="0.7">
      <c r="B12" s="101"/>
      <c r="C12" s="5" t="s">
        <v>206</v>
      </c>
      <c r="D12" s="13">
        <f>IF(ISBLANK(D9),D11,D10)</f>
        <v>1.4999999999999999E-2</v>
      </c>
      <c r="E12" s="13">
        <f>AVERAGE(D12,F12)</f>
        <v>0.02</v>
      </c>
      <c r="F12" s="13">
        <f>IF(ISBLANK(D9),F11,F10)</f>
        <v>2.5000000000000001E-2</v>
      </c>
      <c r="G12" s="1" t="s">
        <v>33</v>
      </c>
    </row>
    <row r="13" spans="1:7" x14ac:dyDescent="0.7">
      <c r="B13" s="101"/>
      <c r="C13" s="5" t="s">
        <v>13</v>
      </c>
      <c r="D13" s="13">
        <f>$D$3+D12</f>
        <v>30.015000000000001</v>
      </c>
      <c r="E13" s="13">
        <f>$D$3+E12</f>
        <v>30.02</v>
      </c>
      <c r="F13" s="13">
        <f>$D$3+F12</f>
        <v>30.024999999999999</v>
      </c>
      <c r="G13" s="1" t="s">
        <v>33</v>
      </c>
    </row>
    <row r="14" spans="1:7" x14ac:dyDescent="0.7">
      <c r="B14" s="101"/>
      <c r="C14" s="5" t="s">
        <v>23</v>
      </c>
      <c r="D14" s="16">
        <f>E14-0.1</f>
        <v>14.9</v>
      </c>
      <c r="E14" s="16">
        <v>15</v>
      </c>
      <c r="F14" s="16">
        <f>E14+0.1</f>
        <v>15.1</v>
      </c>
      <c r="G14" s="1" t="s">
        <v>32</v>
      </c>
    </row>
    <row r="15" spans="1:7" x14ac:dyDescent="0.7">
      <c r="B15" s="101"/>
      <c r="C15" s="5" t="s">
        <v>8</v>
      </c>
      <c r="D15" s="121" t="s">
        <v>36</v>
      </c>
      <c r="E15" s="121"/>
      <c r="F15" s="121"/>
      <c r="G15" s="1" t="s">
        <v>32</v>
      </c>
    </row>
    <row r="16" spans="1:7" x14ac:dyDescent="0.7">
      <c r="B16" s="101"/>
      <c r="C16" s="5" t="s">
        <v>31</v>
      </c>
      <c r="D16" s="128">
        <f>INDEX(Material_Table[Young''s Modulus'[MPa']], MATCH(D15,Material_List, 0))</f>
        <v>205000</v>
      </c>
      <c r="E16" s="129"/>
      <c r="F16" s="130"/>
      <c r="G16" s="1" t="s">
        <v>33</v>
      </c>
    </row>
    <row r="17" spans="1:10" x14ac:dyDescent="0.7">
      <c r="B17" s="101"/>
      <c r="C17" s="5" t="s">
        <v>9</v>
      </c>
      <c r="D17" s="123">
        <f>INDEX(Material_Table[Poisson''s Ratio'[-']], MATCH(D15,Material_List, 0))</f>
        <v>0.3</v>
      </c>
      <c r="E17" s="123"/>
      <c r="F17" s="123"/>
      <c r="G17" s="1" t="s">
        <v>33</v>
      </c>
    </row>
    <row r="18" spans="1:10" x14ac:dyDescent="0.7">
      <c r="B18" s="101"/>
      <c r="C18" s="5" t="s">
        <v>10</v>
      </c>
      <c r="D18" s="123">
        <f>INDEX(Material_Table[Linear Expansion Coefficient'[10^-6/K']], MATCH(D15,Material_List, 0))</f>
        <v>11.9</v>
      </c>
      <c r="E18" s="123"/>
      <c r="F18" s="123"/>
      <c r="G18" s="1" t="s">
        <v>33</v>
      </c>
    </row>
    <row r="19" spans="1:10" x14ac:dyDescent="0.7">
      <c r="B19" s="101"/>
      <c r="C19" s="5" t="s">
        <v>12</v>
      </c>
      <c r="D19" s="123">
        <f>INDEX(Material_Table[Yield Point'[MPa']], MATCH(D15,Material_List, 0))</f>
        <v>345</v>
      </c>
      <c r="E19" s="123"/>
      <c r="F19" s="123"/>
      <c r="G19" s="1" t="s">
        <v>33</v>
      </c>
    </row>
    <row r="20" spans="1:10" x14ac:dyDescent="0.7">
      <c r="B20" s="101"/>
      <c r="C20" s="5" t="s">
        <v>124</v>
      </c>
      <c r="D20" s="123">
        <f>INDEX(Material_Table[Density'[kg/m3']], MATCH(D15,Material_List, 0))</f>
        <v>7840</v>
      </c>
      <c r="E20" s="123"/>
      <c r="F20" s="123"/>
      <c r="G20" s="1" t="s">
        <v>33</v>
      </c>
    </row>
    <row r="21" spans="1:10" x14ac:dyDescent="0.7">
      <c r="B21" s="99"/>
      <c r="C21" s="7" t="s">
        <v>221</v>
      </c>
      <c r="D21" s="127">
        <v>0.01</v>
      </c>
      <c r="E21" s="127"/>
      <c r="F21" s="127"/>
      <c r="G21" s="1" t="s">
        <v>32</v>
      </c>
    </row>
    <row r="22" spans="1:10" x14ac:dyDescent="0.7">
      <c r="B22" s="102"/>
      <c r="C22" s="34"/>
      <c r="D22" s="29"/>
      <c r="E22" s="29"/>
      <c r="F22" s="29"/>
    </row>
    <row r="23" spans="1:10" ht="25.9" x14ac:dyDescent="0.7">
      <c r="A23" s="9" t="s">
        <v>118</v>
      </c>
      <c r="B23" s="100"/>
      <c r="C23" s="9"/>
      <c r="D23" s="9"/>
      <c r="E23" s="9"/>
      <c r="F23" s="9"/>
    </row>
    <row r="24" spans="1:10" ht="35.25" x14ac:dyDescent="0.7">
      <c r="A24" s="9"/>
      <c r="B24" s="101" t="s">
        <v>24</v>
      </c>
      <c r="C24" s="85" t="s">
        <v>207</v>
      </c>
      <c r="D24" s="139"/>
      <c r="E24" s="140"/>
      <c r="F24" s="141"/>
      <c r="G24" s="1" t="s">
        <v>32</v>
      </c>
    </row>
    <row r="25" spans="1:10" s="116" customFormat="1" x14ac:dyDescent="0.7">
      <c r="A25" s="111"/>
      <c r="B25" s="112"/>
      <c r="C25" s="113" t="s">
        <v>203</v>
      </c>
      <c r="D25" s="114" t="e">
        <f>VLOOKUP(D3-0.000001,standard_hole_lower_tolerance[],MATCH(D24,standard_shaft_lower_tolerance[#Headers],0))/1000</f>
        <v>#N/A</v>
      </c>
      <c r="E25" s="114" t="s">
        <v>200</v>
      </c>
      <c r="F25" s="114" t="e">
        <f>VLOOKUP(D3-0.000001,standard_hole_upper_tolerance[],MATCH(D24,standard_shaft_upper_tolerance[#Headers],0))/1000</f>
        <v>#N/A</v>
      </c>
      <c r="G25" s="115" t="s">
        <v>33</v>
      </c>
    </row>
    <row r="26" spans="1:10" x14ac:dyDescent="0.7">
      <c r="B26" s="101"/>
      <c r="C26" s="5" t="s">
        <v>208</v>
      </c>
      <c r="D26" s="86">
        <v>0</v>
      </c>
      <c r="E26" s="31" t="s">
        <v>200</v>
      </c>
      <c r="F26" s="86">
        <v>0.01</v>
      </c>
      <c r="G26" s="1" t="s">
        <v>32</v>
      </c>
    </row>
    <row r="27" spans="1:10" x14ac:dyDescent="0.7">
      <c r="B27" s="101"/>
      <c r="C27" s="5" t="s">
        <v>209</v>
      </c>
      <c r="D27" s="13">
        <f>IF(ISBLANK(D24),D26,D25)</f>
        <v>0</v>
      </c>
      <c r="E27" s="13">
        <f>AVERAGE(D27,F27)</f>
        <v>5.0000000000000001E-3</v>
      </c>
      <c r="F27" s="13">
        <f>IF(ISBLANK(D24),F26,F25)</f>
        <v>0.01</v>
      </c>
      <c r="G27" s="1" t="s">
        <v>33</v>
      </c>
    </row>
    <row r="28" spans="1:10" x14ac:dyDescent="0.7">
      <c r="B28" s="101"/>
      <c r="C28" s="5" t="s">
        <v>19</v>
      </c>
      <c r="D28" s="13">
        <f>$D$3+D27</f>
        <v>30</v>
      </c>
      <c r="E28" s="13">
        <f>$D$3+E27</f>
        <v>30.004999999999999</v>
      </c>
      <c r="F28" s="13">
        <f>$D$3+F27</f>
        <v>30.01</v>
      </c>
      <c r="G28" s="1" t="s">
        <v>33</v>
      </c>
      <c r="J28"/>
    </row>
    <row r="29" spans="1:10" x14ac:dyDescent="0.7">
      <c r="B29" s="101"/>
      <c r="C29" s="5" t="s">
        <v>13</v>
      </c>
      <c r="D29" s="16">
        <f>E29-1</f>
        <v>44</v>
      </c>
      <c r="E29" s="16">
        <v>45</v>
      </c>
      <c r="F29" s="16">
        <f>E29+1</f>
        <v>46</v>
      </c>
      <c r="G29" s="1" t="s">
        <v>32</v>
      </c>
      <c r="J29"/>
    </row>
    <row r="30" spans="1:10" x14ac:dyDescent="0.7">
      <c r="B30" s="101"/>
      <c r="C30" s="5" t="s">
        <v>8</v>
      </c>
      <c r="D30" s="131" t="s">
        <v>27</v>
      </c>
      <c r="E30" s="132"/>
      <c r="F30" s="133"/>
      <c r="G30" s="1" t="s">
        <v>32</v>
      </c>
      <c r="J30"/>
    </row>
    <row r="31" spans="1:10" x14ac:dyDescent="0.7">
      <c r="B31" s="101"/>
      <c r="C31" s="5" t="s">
        <v>31</v>
      </c>
      <c r="D31" s="123">
        <f>INDEX(Material_Table[Young''s Modulus'[MPa']], MATCH(D30,Material_List, 0))</f>
        <v>71000</v>
      </c>
      <c r="E31" s="123"/>
      <c r="F31" s="123"/>
      <c r="G31" s="1" t="s">
        <v>33</v>
      </c>
      <c r="J31"/>
    </row>
    <row r="32" spans="1:10" x14ac:dyDescent="0.7">
      <c r="B32" s="101"/>
      <c r="C32" s="5" t="s">
        <v>9</v>
      </c>
      <c r="D32" s="123">
        <f>INDEX(Material_Table[Poisson''s Ratio'[-']], MATCH(D30,Material_List, 0))</f>
        <v>0.33</v>
      </c>
      <c r="E32" s="123"/>
      <c r="F32" s="123"/>
      <c r="G32" s="1" t="s">
        <v>33</v>
      </c>
      <c r="J32"/>
    </row>
    <row r="33" spans="1:9" x14ac:dyDescent="0.7">
      <c r="B33" s="101"/>
      <c r="C33" s="5" t="s">
        <v>10</v>
      </c>
      <c r="D33" s="123">
        <f>INDEX(Material_Table[Linear Expansion Coefficient'[10^-6/K']], MATCH(D30,Material_List, 0))</f>
        <v>21</v>
      </c>
      <c r="E33" s="123"/>
      <c r="F33" s="123"/>
      <c r="G33" s="1" t="s">
        <v>33</v>
      </c>
    </row>
    <row r="34" spans="1:9" x14ac:dyDescent="0.7">
      <c r="B34" s="101"/>
      <c r="C34" s="5" t="s">
        <v>12</v>
      </c>
      <c r="D34" s="123">
        <f>INDEX(Material_Table[Yield Point'[MPa']], MATCH(D30,Material_List, 0))</f>
        <v>150</v>
      </c>
      <c r="E34" s="123"/>
      <c r="F34" s="123"/>
      <c r="G34" s="1" t="s">
        <v>33</v>
      </c>
    </row>
    <row r="35" spans="1:9" x14ac:dyDescent="0.7">
      <c r="B35" s="101"/>
      <c r="C35" s="5" t="s">
        <v>124</v>
      </c>
      <c r="D35" s="123">
        <f>INDEX(Material_Table[Density'[kg/m3']], MATCH(D30,Material_List, 0))</f>
        <v>2680</v>
      </c>
      <c r="E35" s="123"/>
      <c r="F35" s="123"/>
      <c r="G35" s="1" t="s">
        <v>33</v>
      </c>
    </row>
    <row r="36" spans="1:9" x14ac:dyDescent="0.7">
      <c r="B36" s="99"/>
      <c r="C36" s="7" t="s">
        <v>221</v>
      </c>
      <c r="D36" s="127">
        <v>0.02</v>
      </c>
      <c r="E36" s="127"/>
      <c r="F36" s="127"/>
      <c r="G36" s="1" t="s">
        <v>32</v>
      </c>
    </row>
    <row r="37" spans="1:9" ht="25.9" x14ac:dyDescent="0.7">
      <c r="A37" s="9" t="s">
        <v>119</v>
      </c>
      <c r="B37" s="100"/>
      <c r="C37" s="9"/>
      <c r="D37" s="9"/>
      <c r="E37" s="9"/>
      <c r="F37" s="9"/>
      <c r="G37"/>
    </row>
    <row r="38" spans="1:9" x14ac:dyDescent="0.7">
      <c r="B38" s="101"/>
      <c r="C38" s="5" t="s">
        <v>8</v>
      </c>
      <c r="D38" s="121" t="s">
        <v>27</v>
      </c>
      <c r="E38" s="121"/>
      <c r="F38" s="121"/>
      <c r="G38" s="29" t="s">
        <v>32</v>
      </c>
    </row>
    <row r="39" spans="1:9" customFormat="1" x14ac:dyDescent="0.7">
      <c r="B39" s="101"/>
      <c r="C39" s="5" t="s">
        <v>12</v>
      </c>
      <c r="D39" s="122">
        <f>INDEX(Material_Table[Yield Point'[MPa']], MATCH(D38,Material_List, 0))</f>
        <v>150</v>
      </c>
      <c r="E39" s="122"/>
      <c r="F39" s="122"/>
      <c r="G39" s="1" t="s">
        <v>33</v>
      </c>
    </row>
    <row r="40" spans="1:9" ht="25.9" x14ac:dyDescent="0.7">
      <c r="A40" s="9" t="s">
        <v>116</v>
      </c>
    </row>
    <row r="41" spans="1:9" x14ac:dyDescent="0.7">
      <c r="A41"/>
      <c r="B41" s="101" t="s">
        <v>4</v>
      </c>
      <c r="C41" s="6" t="s">
        <v>113</v>
      </c>
      <c r="D41" s="27">
        <f>E41-0.1</f>
        <v>14.9</v>
      </c>
      <c r="E41" s="27">
        <v>15</v>
      </c>
      <c r="F41" s="27">
        <f>E41+0.1</f>
        <v>15.1</v>
      </c>
      <c r="G41" s="29" t="s">
        <v>32</v>
      </c>
    </row>
    <row r="42" spans="1:9" x14ac:dyDescent="0.7">
      <c r="A42"/>
      <c r="B42" s="101" t="s">
        <v>4</v>
      </c>
      <c r="C42" s="6" t="s">
        <v>220</v>
      </c>
      <c r="D42" s="27">
        <v>0.69</v>
      </c>
      <c r="E42" s="27">
        <v>0.7</v>
      </c>
      <c r="F42" s="27">
        <v>0.71</v>
      </c>
      <c r="G42" s="29" t="s">
        <v>32</v>
      </c>
    </row>
    <row r="43" spans="1:9" x14ac:dyDescent="0.7">
      <c r="A43"/>
      <c r="B43" s="101" t="s">
        <v>4</v>
      </c>
      <c r="C43" s="6" t="s">
        <v>112</v>
      </c>
      <c r="D43" s="10">
        <f>D$41*(D$4*PI()*D$42)</f>
        <v>969.20366250223663</v>
      </c>
      <c r="E43" s="10">
        <f>E$41*(E$4*PI()*E$42)</f>
        <v>990.01401991656826</v>
      </c>
      <c r="F43" s="10">
        <f>F$41*(F$4*PI()*F$42)</f>
        <v>1011.01986293377</v>
      </c>
      <c r="G43" s="29" t="s">
        <v>33</v>
      </c>
    </row>
    <row r="44" spans="1:9" x14ac:dyDescent="0.7">
      <c r="A44"/>
      <c r="B44" s="101" t="s">
        <v>4</v>
      </c>
      <c r="C44" s="6" t="s">
        <v>111</v>
      </c>
      <c r="D44" s="20">
        <f>((45/2)^2-(38/2)^2)*PI()</f>
        <v>456.31633293391747</v>
      </c>
      <c r="E44" s="20">
        <f>((45/2)^2-(38/2)^2)*PI()</f>
        <v>456.31633293391747</v>
      </c>
      <c r="F44" s="20">
        <f>((45/2)^2-(38/2)^2)*PI()</f>
        <v>456.31633293391747</v>
      </c>
      <c r="G44" s="29" t="s">
        <v>32</v>
      </c>
      <c r="I44" s="96"/>
    </row>
    <row r="45" spans="1:9" customFormat="1" ht="25.9" x14ac:dyDescent="0.7">
      <c r="A45" s="9" t="s">
        <v>239</v>
      </c>
      <c r="B45" s="98"/>
      <c r="C45" s="8"/>
      <c r="D45" s="1"/>
      <c r="E45" s="1"/>
      <c r="F45" s="1"/>
      <c r="G45" s="1"/>
    </row>
    <row r="46" spans="1:9" customFormat="1" x14ac:dyDescent="0.7">
      <c r="B46" s="101"/>
      <c r="C46" s="110" t="s">
        <v>227</v>
      </c>
      <c r="D46" s="108"/>
      <c r="E46" s="108"/>
      <c r="F46" s="108"/>
      <c r="G46" s="1"/>
    </row>
    <row r="47" spans="1:9" x14ac:dyDescent="0.7">
      <c r="A47"/>
      <c r="B47" s="101" t="s">
        <v>25</v>
      </c>
      <c r="C47" s="109" t="s">
        <v>38</v>
      </c>
      <c r="D47" s="145">
        <v>20</v>
      </c>
      <c r="E47" s="145"/>
      <c r="F47" s="145"/>
      <c r="G47" s="1" t="s">
        <v>33</v>
      </c>
    </row>
    <row r="48" spans="1:9" x14ac:dyDescent="0.7">
      <c r="A48"/>
      <c r="B48" s="101" t="s">
        <v>24</v>
      </c>
      <c r="C48" s="109" t="s">
        <v>38</v>
      </c>
      <c r="D48" s="145">
        <v>20</v>
      </c>
      <c r="E48" s="145"/>
      <c r="F48" s="145"/>
      <c r="G48" s="1" t="s">
        <v>33</v>
      </c>
    </row>
    <row r="49" spans="1:7" x14ac:dyDescent="0.7">
      <c r="A49"/>
      <c r="B49" s="101"/>
      <c r="C49" s="106" t="s">
        <v>225</v>
      </c>
      <c r="D49" s="108"/>
      <c r="E49" s="108"/>
      <c r="F49" s="108"/>
    </row>
    <row r="50" spans="1:7" x14ac:dyDescent="0.7">
      <c r="B50" s="99" t="s">
        <v>4</v>
      </c>
      <c r="C50" s="107" t="s">
        <v>54</v>
      </c>
      <c r="D50" s="18">
        <v>40</v>
      </c>
      <c r="E50" s="18">
        <f>(F50+D50)/2</f>
        <v>45</v>
      </c>
      <c r="F50" s="18">
        <v>50</v>
      </c>
      <c r="G50" s="1" t="s">
        <v>32</v>
      </c>
    </row>
    <row r="51" spans="1:7" x14ac:dyDescent="0.7">
      <c r="B51" s="99" t="s">
        <v>4</v>
      </c>
      <c r="C51" s="107" t="s">
        <v>109</v>
      </c>
      <c r="D51" s="17">
        <f>D7*D50*9.81</f>
        <v>1569.6000000000001</v>
      </c>
      <c r="E51" s="17">
        <f>D7*E50*9.81</f>
        <v>1765.8000000000002</v>
      </c>
      <c r="F51" s="17">
        <f>D7*F50*9.81</f>
        <v>1962</v>
      </c>
      <c r="G51" s="1" t="s">
        <v>33</v>
      </c>
    </row>
    <row r="52" spans="1:7" x14ac:dyDescent="0.7">
      <c r="B52" s="99" t="s">
        <v>4</v>
      </c>
      <c r="C52" s="107" t="s">
        <v>55</v>
      </c>
      <c r="D52" s="18">
        <v>100</v>
      </c>
      <c r="E52" s="3">
        <f>(F52+D52)/2</f>
        <v>150</v>
      </c>
      <c r="F52" s="18">
        <v>200</v>
      </c>
      <c r="G52" s="1" t="s">
        <v>32</v>
      </c>
    </row>
    <row r="53" spans="1:7" x14ac:dyDescent="0.7">
      <c r="B53" s="99"/>
      <c r="C53" s="106" t="s">
        <v>224</v>
      </c>
      <c r="D53" s="108"/>
      <c r="E53" s="108"/>
      <c r="F53" s="108"/>
    </row>
    <row r="54" spans="1:7" x14ac:dyDescent="0.7">
      <c r="B54" s="99" t="s">
        <v>4</v>
      </c>
      <c r="C54" s="107" t="s">
        <v>222</v>
      </c>
      <c r="D54" s="142" t="s">
        <v>223</v>
      </c>
      <c r="E54" s="143"/>
      <c r="F54" s="144"/>
      <c r="G54" s="1" t="s">
        <v>32</v>
      </c>
    </row>
    <row r="55" spans="1:7" x14ac:dyDescent="0.7">
      <c r="B55" s="99" t="s">
        <v>4</v>
      </c>
      <c r="C55" s="107" t="s">
        <v>52</v>
      </c>
      <c r="D55" s="20">
        <f>1000*(2*PI()/60)/(1^2) *0.5</f>
        <v>52.359877559829883</v>
      </c>
      <c r="E55" s="20">
        <f t="shared" ref="E55" si="0">1000*(2*PI()/60)/(1^2)</f>
        <v>104.71975511965977</v>
      </c>
      <c r="F55" s="20">
        <f>1000*(2*PI()/60)/(1^2) *2</f>
        <v>209.43951023931953</v>
      </c>
      <c r="G55" s="1" t="s">
        <v>32</v>
      </c>
    </row>
    <row r="56" spans="1:7" x14ac:dyDescent="0.7">
      <c r="B56" s="99" t="s">
        <v>4</v>
      </c>
      <c r="C56" s="107" t="s">
        <v>107</v>
      </c>
      <c r="D56" s="21">
        <f>IF(D54="Inner Part",$D$21,D36)*D55</f>
        <v>0.52359877559829882</v>
      </c>
      <c r="E56" s="21">
        <f>IF(D54="Inner Part",$D$21,D36)*E55</f>
        <v>1.0471975511965976</v>
      </c>
      <c r="F56" s="21">
        <f>IF(D54="Inner Part",$D$21,D36)*F55</f>
        <v>2.0943951023931953</v>
      </c>
      <c r="G56" s="1" t="s">
        <v>33</v>
      </c>
    </row>
    <row r="57" spans="1:7" x14ac:dyDescent="0.7">
      <c r="B57" s="99" t="s">
        <v>4</v>
      </c>
      <c r="C57" s="107" t="s">
        <v>108</v>
      </c>
      <c r="D57" s="21">
        <f>D56/($D$3/2/1000)</f>
        <v>34.906585039886586</v>
      </c>
      <c r="E57" s="21">
        <f>E56/($D$3/2/1000)</f>
        <v>69.813170079773172</v>
      </c>
      <c r="F57" s="21">
        <f t="shared" ref="F57" si="1">F56/($D$3/2/1000)</f>
        <v>139.62634015954634</v>
      </c>
      <c r="G57" s="1" t="s">
        <v>33</v>
      </c>
    </row>
    <row r="58" spans="1:7" x14ac:dyDescent="0.7">
      <c r="B58" s="99" t="s">
        <v>4</v>
      </c>
      <c r="C58" s="107" t="s">
        <v>56</v>
      </c>
      <c r="D58" s="16">
        <v>0</v>
      </c>
      <c r="E58" s="16">
        <v>100</v>
      </c>
      <c r="F58" s="16">
        <v>200</v>
      </c>
      <c r="G58" s="1" t="s">
        <v>32</v>
      </c>
    </row>
    <row r="59" spans="1:7" x14ac:dyDescent="0.7">
      <c r="B59" s="101"/>
      <c r="C59" s="110" t="s">
        <v>240</v>
      </c>
      <c r="D59" s="97"/>
      <c r="E59" s="97"/>
      <c r="F59" s="97"/>
    </row>
    <row r="60" spans="1:7" x14ac:dyDescent="0.7">
      <c r="B60" s="99" t="s">
        <v>4</v>
      </c>
      <c r="C60" s="107" t="s">
        <v>53</v>
      </c>
      <c r="D60" s="21">
        <f>SQRT((D51+D52)^2+(D57+D58)^2)</f>
        <v>1669.9648588156422</v>
      </c>
      <c r="E60" s="21">
        <f>SQRT((E51+E52)^2+(E57+E58)^2)</f>
        <v>1923.3112469729238</v>
      </c>
      <c r="F60" s="21">
        <f>SQRT((F51+F52)^2+(F57+F58)^2)</f>
        <v>2188.5132055644917</v>
      </c>
      <c r="G60" s="1" t="s">
        <v>33</v>
      </c>
    </row>
    <row r="61" spans="1:7" x14ac:dyDescent="0.7">
      <c r="B61" s="99"/>
      <c r="C61" s="107"/>
      <c r="D61" s="117"/>
      <c r="E61" s="117"/>
      <c r="F61" s="117"/>
    </row>
    <row r="62" spans="1:7" x14ac:dyDescent="0.7">
      <c r="B62" s="99"/>
      <c r="C62" s="106" t="s">
        <v>226</v>
      </c>
      <c r="D62" s="108"/>
      <c r="E62" s="108"/>
      <c r="F62" s="108"/>
    </row>
    <row r="63" spans="1:7" x14ac:dyDescent="0.7">
      <c r="B63" s="99" t="s">
        <v>4</v>
      </c>
      <c r="C63" s="107" t="s">
        <v>123</v>
      </c>
      <c r="D63" s="32">
        <f>E63*0.95</f>
        <v>15200</v>
      </c>
      <c r="E63" s="32">
        <v>16000</v>
      </c>
      <c r="F63" s="32">
        <f>E63*1.05</f>
        <v>16800</v>
      </c>
      <c r="G63" s="1" t="s">
        <v>32</v>
      </c>
    </row>
    <row r="64" spans="1:7" x14ac:dyDescent="0.7">
      <c r="B64" s="99" t="s">
        <v>4</v>
      </c>
      <c r="C64" s="107" t="s">
        <v>126</v>
      </c>
      <c r="D64" s="135">
        <f>1/4*(D20)*(E63*2*PI()/60)^2*(1/(D16*10^6))*(D3/1000/2)
*((1-D17)*(D3/1000/2)^2+(3+D17)*(E14/1000/2)^2)*1000</f>
        <v>1.3814750074469186E-4</v>
      </c>
      <c r="E64" s="135"/>
      <c r="F64" s="135"/>
      <c r="G64" s="1" t="s">
        <v>33</v>
      </c>
    </row>
    <row r="65" spans="1:7" x14ac:dyDescent="0.7">
      <c r="B65" s="99" t="s">
        <v>4</v>
      </c>
      <c r="C65" s="107" t="s">
        <v>127</v>
      </c>
      <c r="D65" s="136">
        <f>1/4*(D35)*(E63*2*PI()/60)^2*(1/(D31*10^6))*(D3/1000/2)
*((1-D32)*(D3/1000/2)^2+(3+D32)*(E29/1000/2)^2)*1000</f>
        <v>7.2981137265136985E-4</v>
      </c>
      <c r="E65" s="137"/>
      <c r="F65" s="138"/>
      <c r="G65" s="1" t="s">
        <v>33</v>
      </c>
    </row>
    <row r="66" spans="1:7" x14ac:dyDescent="0.7">
      <c r="B66" s="99" t="s">
        <v>4</v>
      </c>
      <c r="C66" s="107" t="s">
        <v>128</v>
      </c>
      <c r="D66" s="136">
        <f>D65-D64</f>
        <v>5.9166387190667802E-4</v>
      </c>
      <c r="E66" s="137"/>
      <c r="F66" s="138"/>
      <c r="G66" s="1" t="s">
        <v>33</v>
      </c>
    </row>
    <row r="67" spans="1:7" x14ac:dyDescent="0.7">
      <c r="A67"/>
      <c r="B67" s="4"/>
      <c r="C67" s="4"/>
      <c r="D67" s="4"/>
      <c r="E67" s="4"/>
      <c r="F67" s="4"/>
      <c r="G67" s="4"/>
    </row>
    <row r="68" spans="1:7" x14ac:dyDescent="0.7">
      <c r="B68" s="4"/>
      <c r="C68" s="4"/>
      <c r="D68" s="4"/>
      <c r="E68" s="4"/>
      <c r="F68" s="4"/>
      <c r="G68" s="4"/>
    </row>
    <row r="69" spans="1:7" x14ac:dyDescent="0.7">
      <c r="B69"/>
      <c r="C69"/>
      <c r="D69"/>
      <c r="E69"/>
      <c r="F69"/>
      <c r="G69"/>
    </row>
    <row r="70" spans="1:7" ht="25.9" x14ac:dyDescent="0.7">
      <c r="A70" s="9" t="s">
        <v>238</v>
      </c>
      <c r="B70"/>
      <c r="C70"/>
      <c r="D70"/>
      <c r="E70"/>
      <c r="F70"/>
      <c r="G70"/>
    </row>
    <row r="71" spans="1:7" x14ac:dyDescent="0.7">
      <c r="B71" s="99"/>
      <c r="C71" s="107"/>
      <c r="D71" s="104"/>
      <c r="E71" s="104"/>
      <c r="F71" s="104"/>
    </row>
    <row r="72" spans="1:7" x14ac:dyDescent="0.7">
      <c r="B72" s="99" t="s">
        <v>4</v>
      </c>
      <c r="C72" s="7" t="s">
        <v>37</v>
      </c>
      <c r="D72" s="15">
        <f>D$13*(1+D$18*10^-6*(D47-20)) - F$28*(1+D$33*10^-6*(D48-20))-D66</f>
        <v>4.4083361280923272E-3</v>
      </c>
      <c r="E72" s="13">
        <f>E$13*(1+D$18*10^-6*(D47-20)) - E$28*(1+D$33*10^-6*(D48-20))-D66</f>
        <v>1.440833612809389E-2</v>
      </c>
      <c r="F72" s="13">
        <f>F$13*(1+D$18*10^-6*(D47-20)) - D$28*(1+D$33*10^-6*(D48-20))-D66</f>
        <v>2.4408336128091901E-2</v>
      </c>
      <c r="G72" s="1" t="s">
        <v>32</v>
      </c>
    </row>
    <row r="73" spans="1:7" x14ac:dyDescent="0.7">
      <c r="B73" s="99" t="s">
        <v>4</v>
      </c>
      <c r="C73" s="7" t="s">
        <v>228</v>
      </c>
      <c r="D73" s="105">
        <f>(D72/$D$3)*(1/(($D$3^2+F$14^2)/($D$3^2-F$14^2)*(1/$D$31)+(D$29^2+$D$3^2)/(D$29^2-$D$3^2)*(1/$D$16)-($D$32/$D$31)+($D$17/$D$16)))</f>
        <v>4.3460104778623441</v>
      </c>
      <c r="E73" s="105">
        <f>(E72/$D$3)*(1/(($D$3^2+E$14^2)/($D$3^2-E$14^2)*(1/$D$31)+(E$29^2+$D$3^2)/(E$29^2-$D$3^2)*(1/$D$16)-($D$32/$D$31)+($D$17/$D$16)))</f>
        <v>14.565954668824906</v>
      </c>
      <c r="F73" s="105">
        <f>(F72/$D$3)*(1/(($D$3^2+D$14^2)/($D$3^2-D$14^2)*(1/$D$31)+(F$29^2+$D$3^2)/(F$29^2-$D$3^2)*(1/$D$16)-($D$32/$D$31)+($D$17/$D$16)))</f>
        <v>25.249461569176884</v>
      </c>
      <c r="G73" s="1" t="s">
        <v>34</v>
      </c>
    </row>
    <row r="74" spans="1:7" x14ac:dyDescent="0.7">
      <c r="B74" s="101" t="s">
        <v>25</v>
      </c>
      <c r="C74" s="5" t="s">
        <v>46</v>
      </c>
      <c r="D74" s="10">
        <f>D73*2*F$13^2/(F$13^2-D$14^2)</f>
        <v>11.531965321962909</v>
      </c>
      <c r="E74" s="10">
        <f>E73*2*E$13^2/(E$13^2-E$14^2)</f>
        <v>38.825307331752164</v>
      </c>
      <c r="F74" s="10">
        <f>F73*2*D$13^2/(D$13^2-F$14^2)</f>
        <v>67.610569343016707</v>
      </c>
      <c r="G74" s="1" t="s">
        <v>34</v>
      </c>
    </row>
    <row r="75" spans="1:7" x14ac:dyDescent="0.7">
      <c r="B75" s="101" t="s">
        <v>24</v>
      </c>
      <c r="C75" s="5" t="s">
        <v>46</v>
      </c>
      <c r="D75" s="10">
        <f>D73* (1+(F$29/D$28)^2)/((F$29/D$28)^2-1)</f>
        <v>10.77924967206647</v>
      </c>
      <c r="E75" s="10">
        <f>E73* (1+(E$29/E$28)^2)/((E$29/E$28)^2-1)</f>
        <v>37.885470351203985</v>
      </c>
      <c r="F75" s="10">
        <f>F73* (1+(D$29/F$28)^2)/((D$29/F$28)^2-1)</f>
        <v>69.173876887638599</v>
      </c>
      <c r="G75" s="1" t="s">
        <v>34</v>
      </c>
    </row>
    <row r="76" spans="1:7" x14ac:dyDescent="0.7">
      <c r="B76" s="101" t="s">
        <v>4</v>
      </c>
      <c r="C76" s="7" t="s">
        <v>22</v>
      </c>
      <c r="D76" s="14">
        <f>D73*D$43*D$5/1000</f>
        <v>0.50546031269007341</v>
      </c>
      <c r="E76" s="14">
        <f>E73*E$43*E$5/1000</f>
        <v>2.1630749003408778</v>
      </c>
      <c r="F76" s="14">
        <f>F73*F$43*F$5/1000</f>
        <v>4.594987291467727</v>
      </c>
      <c r="G76" s="1" t="s">
        <v>34</v>
      </c>
    </row>
    <row r="77" spans="1:7" x14ac:dyDescent="0.7">
      <c r="B77" s="101" t="s">
        <v>4</v>
      </c>
      <c r="C77" s="7" t="s">
        <v>230</v>
      </c>
      <c r="D77" s="14">
        <f>D73*D$43*D$6/1000</f>
        <v>0.42121692724172793</v>
      </c>
      <c r="E77" s="14">
        <f>E73*E$43*E$6/1000</f>
        <v>1.730459920272702</v>
      </c>
      <c r="F77" s="14">
        <f>F73*F$43*F$6/1000</f>
        <v>3.8291560762231058</v>
      </c>
      <c r="G77" s="1" t="s">
        <v>34</v>
      </c>
    </row>
    <row r="78" spans="1:7" x14ac:dyDescent="0.7">
      <c r="B78" s="101" t="s">
        <v>25</v>
      </c>
      <c r="C78" s="5" t="s">
        <v>229</v>
      </c>
      <c r="D78" s="14">
        <f>IF(F73&lt;=0,"infinite",$D$19/F73)</f>
        <v>13.663657700374749</v>
      </c>
      <c r="E78" s="14">
        <f>IF(E73&lt;=0,"infinite",$D$19/E73)</f>
        <v>23.685368233253779</v>
      </c>
      <c r="F78" s="14">
        <f>IF(D73&lt;=0,"infinite",$D$19/D73)</f>
        <v>79.383149616724779</v>
      </c>
      <c r="G78" s="1" t="s">
        <v>34</v>
      </c>
    </row>
    <row r="79" spans="1:7" x14ac:dyDescent="0.7">
      <c r="B79" s="101" t="s">
        <v>24</v>
      </c>
      <c r="C79" s="5" t="s">
        <v>229</v>
      </c>
      <c r="D79" s="14">
        <f>IF(F73&lt;=0,"infinite",$D$34/F73)</f>
        <v>5.9407207392933685</v>
      </c>
      <c r="E79" s="14">
        <f>IF(E73&lt;=0,"infinite",$D$34/E73)</f>
        <v>10.297986188371208</v>
      </c>
      <c r="F79" s="14">
        <f>IF(D73&lt;=0,"infinite",$D$34/D73)</f>
        <v>34.514412876836857</v>
      </c>
      <c r="G79" s="1" t="s">
        <v>34</v>
      </c>
    </row>
    <row r="80" spans="1:7" x14ac:dyDescent="0.7">
      <c r="B80" s="101" t="s">
        <v>25</v>
      </c>
      <c r="C80" s="5" t="s">
        <v>121</v>
      </c>
      <c r="D80" s="14">
        <f>IF(F74&lt;=0,"infinite",$D$19/F74)</f>
        <v>5.1027524742421653</v>
      </c>
      <c r="E80" s="14">
        <f>IF(E74&lt;=0,"infinite",$D$19/E74)</f>
        <v>8.8859567047870254</v>
      </c>
      <c r="F80" s="14">
        <f>IF(D74&lt;=0,"infinite",$D$19/D74)</f>
        <v>29.916843345248282</v>
      </c>
      <c r="G80" s="1" t="s">
        <v>34</v>
      </c>
    </row>
    <row r="81" spans="2:7" x14ac:dyDescent="0.7">
      <c r="B81" s="101" t="s">
        <v>24</v>
      </c>
      <c r="C81" s="5" t="s">
        <v>121</v>
      </c>
      <c r="D81" s="14">
        <f>IF(F75&lt;=0,"infinite",$D$34/F75)</f>
        <v>2.1684486506900562</v>
      </c>
      <c r="E81" s="14">
        <f>IF(E75&lt;=0,"infinite",$D$34/E75)</f>
        <v>3.9593015108292846</v>
      </c>
      <c r="F81" s="14">
        <f>IF(D75&lt;=0,"infinite",$D$34/D75)</f>
        <v>13.915625350873219</v>
      </c>
      <c r="G81" s="1" t="s">
        <v>34</v>
      </c>
    </row>
    <row r="82" spans="2:7" x14ac:dyDescent="0.7">
      <c r="B82" s="101" t="s">
        <v>4</v>
      </c>
      <c r="C82" s="7" t="s">
        <v>233</v>
      </c>
      <c r="D82" s="14">
        <f>IF($F$60&lt;=0,"infinite",(D77*1000)/$F$60)</f>
        <v>0.19246716271610609</v>
      </c>
      <c r="E82" s="14">
        <f>IF($E$60&lt;=0,"infinite",(E77*1000)/$E$60)</f>
        <v>0.89972952791507455</v>
      </c>
      <c r="F82" s="14">
        <f>IF($D$60&lt;=0,"infinite",(F77*1000)/$D$60)</f>
        <v>2.292956079889481</v>
      </c>
      <c r="G82" s="1" t="s">
        <v>34</v>
      </c>
    </row>
    <row r="83" spans="2:7" x14ac:dyDescent="0.7">
      <c r="C83"/>
      <c r="D83"/>
      <c r="E83"/>
      <c r="F83"/>
    </row>
    <row r="84" spans="2:7" x14ac:dyDescent="0.7">
      <c r="B84" s="101" t="s">
        <v>25</v>
      </c>
      <c r="C84" s="5" t="s">
        <v>38</v>
      </c>
      <c r="D84" s="134">
        <v>20</v>
      </c>
      <c r="E84" s="134"/>
      <c r="F84" s="134"/>
      <c r="G84" s="1" t="s">
        <v>32</v>
      </c>
    </row>
    <row r="85" spans="2:7" x14ac:dyDescent="0.7">
      <c r="B85" s="101" t="s">
        <v>24</v>
      </c>
      <c r="C85" s="5" t="s">
        <v>38</v>
      </c>
      <c r="D85" s="134">
        <v>180</v>
      </c>
      <c r="E85" s="134"/>
      <c r="F85" s="134"/>
      <c r="G85" s="1" t="s">
        <v>32</v>
      </c>
    </row>
    <row r="86" spans="2:7" outlineLevel="1" x14ac:dyDescent="0.7">
      <c r="B86" s="99" t="s">
        <v>4</v>
      </c>
      <c r="C86" s="7" t="str">
        <f>CONCATENATE("締め代(i:",D84,"℃/o:",D85,"℃)[mm]")</f>
        <v>締め代(i:20℃/o:180℃)[mm]</v>
      </c>
      <c r="D86" s="15">
        <f>D$13*(1+D$18*10^-6*(D84-20)) - F$28*(1+D$33*10^-6*(D85-20))</f>
        <v>-9.5833600000002406E-2</v>
      </c>
      <c r="E86" s="13">
        <f>E$13*(1+D$18*10^-6*(D84-20)) - E$28*(1+D$33*10^-6*(D85-20))</f>
        <v>-8.5816799999999915E-2</v>
      </c>
      <c r="F86" s="13">
        <f>F$13*(1+D$18*10^-6*(D84-20)) - D$28*(1+D$33*10^-6*(D85-20))</f>
        <v>-7.5800000000000978E-2</v>
      </c>
      <c r="G86" s="1" t="s">
        <v>34</v>
      </c>
    </row>
    <row r="87" spans="2:7" outlineLevel="1" x14ac:dyDescent="0.7">
      <c r="B87" s="99" t="s">
        <v>4</v>
      </c>
      <c r="C87" s="7" t="s">
        <v>51</v>
      </c>
      <c r="D87" s="28">
        <f>(D86/$D$3)*(1/(($D$3^2+F14^2)/($D$3^2-F14^2)*(1/$D$31)+(D29^2+$D$3^2)/(D29^2-$D$3^2)*(1/$D$16)-($D$32/$D$31)+($D$17/$D$16)))</f>
        <v>-94.478691649022153</v>
      </c>
      <c r="E87" s="28">
        <f>(E86/$D$3)*(1/(($D$3^2+E14^2)/($D$3^2-E14^2)*(1/$D$31)+(E29^2+$D$3^2)/(E29^2-$D$3^2)*(1/$D$16)-($D$32/$D$31)+($D$17/$D$16)))</f>
        <v>-86.755584233373767</v>
      </c>
      <c r="F87" s="28">
        <f>(F86/$D$3)*(1/(($D$3^2+D$14^2)/($D$3^2-D$14^2)*(1/$D$31)+(F$29^2+$D$3^2)/(F$29^2-$D$3^2)*(1/$D$16)-($D$32/$D$31)+($D$17/$D$16)))</f>
        <v>-78.412112030073487</v>
      </c>
      <c r="G87" s="1" t="s">
        <v>34</v>
      </c>
    </row>
    <row r="88" spans="2:7" x14ac:dyDescent="0.7">
      <c r="B88" s="101" t="s">
        <v>25</v>
      </c>
      <c r="C88" s="5" t="s">
        <v>122</v>
      </c>
      <c r="D88" s="10" t="str">
        <f>IF(F87&lt;=0,"infinite",$D$19/F87)</f>
        <v>infinite</v>
      </c>
      <c r="E88" s="10" t="str">
        <f>IF(E87&lt;=0,"infinite",$D$19/E87)</f>
        <v>infinite</v>
      </c>
      <c r="F88" s="10" t="str">
        <f>IF(D87&lt;=0,"infinite",$D$19/D87)</f>
        <v>infinite</v>
      </c>
      <c r="G88" s="1" t="s">
        <v>34</v>
      </c>
    </row>
    <row r="89" spans="2:7" x14ac:dyDescent="0.7">
      <c r="B89" s="101" t="s">
        <v>24</v>
      </c>
      <c r="C89" s="5" t="s">
        <v>122</v>
      </c>
      <c r="D89" s="10" t="str">
        <f>IF(F87&lt;=0,"infinite",$D$34/F87)</f>
        <v>infinite</v>
      </c>
      <c r="E89" s="10" t="str">
        <f>IF(E87&lt;=0,"infinite",$D$34/E87)</f>
        <v>infinite</v>
      </c>
      <c r="F89" s="10" t="str">
        <f>IF(D87&lt;=0,"infinite",$D$34/D87)</f>
        <v>infinite</v>
      </c>
      <c r="G89" s="1" t="s">
        <v>34</v>
      </c>
    </row>
    <row r="90" spans="2:7" x14ac:dyDescent="0.7">
      <c r="B90" s="101" t="s">
        <v>25</v>
      </c>
      <c r="C90" s="5" t="s">
        <v>46</v>
      </c>
      <c r="D90" s="14">
        <f>D87*2*F$13^2/(F$13^2-D$14^2)</f>
        <v>-250.69543695551576</v>
      </c>
      <c r="E90" s="14">
        <f>E87*2*E$13^2/(E$13^2-E$14^2)</f>
        <v>-231.2455515061811</v>
      </c>
      <c r="F90" s="14">
        <f>F87*2*D$13^2/(D$13^2-F$14^2)</f>
        <v>-209.96437976378215</v>
      </c>
      <c r="G90" s="1" t="s">
        <v>34</v>
      </c>
    </row>
    <row r="91" spans="2:7" x14ac:dyDescent="0.7">
      <c r="B91" s="101" t="s">
        <v>24</v>
      </c>
      <c r="C91" s="5" t="s">
        <v>46</v>
      </c>
      <c r="D91" s="14">
        <f>D87* (1+(F$29/D$28)^2)/((F$29/D$28)^2-1)</f>
        <v>-234.33201810316675</v>
      </c>
      <c r="E91" s="14">
        <f>E87* (1+(E$29/E$28)^2)/((E$29/E$28)^2-1)</f>
        <v>-225.64783352713943</v>
      </c>
      <c r="F91" s="14">
        <f>F87* (1+(D$29/F$28)^2)/((D$29/F$28)^2-1)</f>
        <v>-214.81922571724962</v>
      </c>
      <c r="G91" s="1" t="s">
        <v>34</v>
      </c>
    </row>
    <row r="92" spans="2:7" x14ac:dyDescent="0.7">
      <c r="B92" s="101" t="s">
        <v>25</v>
      </c>
      <c r="C92" s="5" t="s">
        <v>121</v>
      </c>
      <c r="D92" s="21" t="str">
        <f>IF(F90&lt;=0,"infinite",$D$19/F90)</f>
        <v>infinite</v>
      </c>
      <c r="E92" s="21" t="str">
        <f>IF(E90&lt;=0,"infinite",$D$19/E90)</f>
        <v>infinite</v>
      </c>
      <c r="F92" s="21" t="str">
        <f>IF(D90&lt;=0,"infinite",$D$19/D90)</f>
        <v>infinite</v>
      </c>
      <c r="G92" s="1" t="s">
        <v>34</v>
      </c>
    </row>
    <row r="93" spans="2:7" x14ac:dyDescent="0.7">
      <c r="B93" s="101" t="s">
        <v>24</v>
      </c>
      <c r="C93" s="5" t="s">
        <v>121</v>
      </c>
      <c r="D93" s="21" t="str">
        <f>IF(F91&lt;=0,"infinite",$D$34/F91)</f>
        <v>infinite</v>
      </c>
      <c r="E93" s="21" t="str">
        <f>IF(E91&lt;=0,"infinite",$D$34/E91)</f>
        <v>infinite</v>
      </c>
      <c r="F93" s="21" t="str">
        <f>IF(D91&lt;=0,"infinite",$D$34/D91)</f>
        <v>infinite</v>
      </c>
      <c r="G93" s="1" t="s">
        <v>34</v>
      </c>
    </row>
    <row r="94" spans="2:7" x14ac:dyDescent="0.7">
      <c r="B94" s="101" t="s">
        <v>4</v>
      </c>
      <c r="C94" s="7" t="s">
        <v>22</v>
      </c>
      <c r="D94" s="10">
        <f>D87*D$43*D$5/1000</f>
        <v>-10.988291276958211</v>
      </c>
      <c r="E94" s="10">
        <f>E87*E$43*E$5/1000</f>
        <v>-12.883386704563922</v>
      </c>
      <c r="F94" s="10">
        <f>F87*F$43*F$5/1000</f>
        <v>-14.269716496258617</v>
      </c>
      <c r="G94" s="1" t="s">
        <v>34</v>
      </c>
    </row>
    <row r="95" spans="2:7" x14ac:dyDescent="0.7">
      <c r="B95" s="101" t="s">
        <v>4</v>
      </c>
      <c r="C95" s="7" t="s">
        <v>230</v>
      </c>
      <c r="D95" s="10">
        <f>D87*D$43*D$6/1000</f>
        <v>-9.1569093974651743</v>
      </c>
      <c r="E95" s="10">
        <f>E87*E$43*E$6/1000</f>
        <v>-10.306709363651137</v>
      </c>
      <c r="F95" s="10">
        <f>F87*F$43*F$6/1000</f>
        <v>-11.891430413548848</v>
      </c>
      <c r="G95" s="1" t="s">
        <v>34</v>
      </c>
    </row>
    <row r="96" spans="2:7" x14ac:dyDescent="0.7">
      <c r="B96" s="101" t="s">
        <v>4</v>
      </c>
      <c r="C96" s="7" t="s">
        <v>233</v>
      </c>
      <c r="D96" s="10">
        <f>IF($F$60&lt;=0,"infinite",(D95*1000)/$F$60)</f>
        <v>-4.1840777447368875</v>
      </c>
      <c r="E96" s="10">
        <f>IF($E$60&lt;=0,"infinite",(E95*1000)/$E$60)</f>
        <v>-5.3588359033789992</v>
      </c>
      <c r="F96" s="10">
        <f>IF($D$60&lt;=0,"infinite",(F95*1000)/$D$60)</f>
        <v>-7.1207668537303137</v>
      </c>
      <c r="G96" s="1" t="s">
        <v>34</v>
      </c>
    </row>
    <row r="97" spans="1:11" x14ac:dyDescent="0.7">
      <c r="A97"/>
      <c r="C97"/>
      <c r="D97"/>
      <c r="E97"/>
      <c r="F97"/>
      <c r="G97"/>
    </row>
    <row r="98" spans="1:11" x14ac:dyDescent="0.7">
      <c r="A98"/>
      <c r="B98" s="101" t="s">
        <v>25</v>
      </c>
      <c r="C98" s="5" t="s">
        <v>38</v>
      </c>
      <c r="D98" s="134">
        <v>-40</v>
      </c>
      <c r="E98" s="134"/>
      <c r="F98" s="134"/>
      <c r="G98" s="1" t="s">
        <v>32</v>
      </c>
      <c r="I98"/>
      <c r="J98"/>
      <c r="K98"/>
    </row>
    <row r="99" spans="1:11" x14ac:dyDescent="0.7">
      <c r="A99"/>
      <c r="B99" s="101" t="s">
        <v>24</v>
      </c>
      <c r="C99" s="5" t="s">
        <v>38</v>
      </c>
      <c r="D99" s="134">
        <v>-40</v>
      </c>
      <c r="E99" s="134"/>
      <c r="F99" s="134"/>
      <c r="G99" s="1" t="s">
        <v>32</v>
      </c>
      <c r="I99"/>
      <c r="J99"/>
      <c r="K99"/>
    </row>
    <row r="100" spans="1:11" x14ac:dyDescent="0.7">
      <c r="A100"/>
      <c r="B100" s="99" t="s">
        <v>4</v>
      </c>
      <c r="C100" s="7" t="str">
        <f>CONCATENATE("締め代(i:",D98,"℃/o:",D99,"℃)[mm]")</f>
        <v>締め代(i:-40℃/o:-40℃)[mm]</v>
      </c>
      <c r="D100" s="15">
        <f>D$13*(1+D$18*10^-6*(D98-20)) - F$28*(1+D$33*10^-6*(D99-20))</f>
        <v>2.1381890000000681E-2</v>
      </c>
      <c r="E100" s="13">
        <f>E$13*(1+D$18*10^-6*(D98-20)) - E$28*(1+D$33*10^-6*(D99-20))</f>
        <v>3.1372019999999168E-2</v>
      </c>
      <c r="F100" s="13">
        <f>F$13*(1+D$18*10^-6*(D98-20)) - D$28*(1+D$33*10^-6*(D99-20))</f>
        <v>4.1362150000001208E-2</v>
      </c>
      <c r="G100" s="1" t="s">
        <v>34</v>
      </c>
      <c r="I100"/>
      <c r="J100"/>
      <c r="K100"/>
    </row>
    <row r="101" spans="1:11" x14ac:dyDescent="0.7">
      <c r="A101"/>
      <c r="B101" s="99" t="s">
        <v>4</v>
      </c>
      <c r="C101" s="7" t="s">
        <v>51</v>
      </c>
      <c r="D101" s="28">
        <f>(D100/$D$3)*(1/(($D$3^2+F$14^2)/($D$3^2-F$14^2)*(1/$D$31)+(D$29^2+$D$3^2)/(D$29^2-$D$3^2)*(1/$D$16)-($D$32/$D$31)+($D$17/$D$16)))</f>
        <v>21.079589957836539</v>
      </c>
      <c r="E101" s="28">
        <f>(E100/$D$3)*(1/(($D$3^2+E$14^2)/($D$3^2-E$14^2)*(1/$D$31)+(E$29^2+$D$3^2)/(E$29^2-$D$3^2)*(1/$D$16)-($D$32/$D$31)+($D$17/$D$16)))</f>
        <v>31.715211050528765</v>
      </c>
      <c r="F101" s="28">
        <f>(F100/$D$3)*(1/(($D$3^2+D$14^2)/($D$3^2-D$14^2)*(1/$D$31)+(F$29^2+$D$3^2)/(F$29^2-$D$3^2)*(1/$D$16)-($D$32/$D$31)+($D$17/$D$16)))</f>
        <v>42.787513715102335</v>
      </c>
      <c r="G101" s="1" t="s">
        <v>34</v>
      </c>
      <c r="I101"/>
      <c r="J101"/>
      <c r="K101"/>
    </row>
    <row r="102" spans="1:11" x14ac:dyDescent="0.7">
      <c r="A102"/>
      <c r="B102" s="101" t="s">
        <v>25</v>
      </c>
      <c r="C102" s="5" t="s">
        <v>122</v>
      </c>
      <c r="D102" s="10">
        <f>IF(F101&lt;=0,"infinite",$D$19/F101)</f>
        <v>8.0630999570846384</v>
      </c>
      <c r="E102" s="10">
        <f>IF(E101&lt;=0,"infinite",$D$19/E101)</f>
        <v>10.878060986267599</v>
      </c>
      <c r="F102" s="10">
        <f>IF(D101&lt;=0,"infinite",$D$19/D101)</f>
        <v>16.366542266242849</v>
      </c>
      <c r="G102" s="1" t="s">
        <v>34</v>
      </c>
      <c r="I102"/>
      <c r="J102"/>
      <c r="K102"/>
    </row>
    <row r="103" spans="1:11" x14ac:dyDescent="0.7">
      <c r="A103"/>
      <c r="B103" s="101" t="s">
        <v>24</v>
      </c>
      <c r="C103" s="5" t="s">
        <v>122</v>
      </c>
      <c r="D103" s="10">
        <f>IF(F101&lt;=0,"infinite",$D$34/F101)</f>
        <v>3.5056956335150602</v>
      </c>
      <c r="E103" s="10">
        <f>IF(E101&lt;=0,"infinite",$D$34/E101)</f>
        <v>4.7295917331598254</v>
      </c>
      <c r="F103" s="10">
        <f>IF(D101&lt;=0,"infinite",$D$34/D101)</f>
        <v>7.1158879418447158</v>
      </c>
      <c r="G103" s="1" t="s">
        <v>34</v>
      </c>
      <c r="I103"/>
      <c r="J103"/>
      <c r="K103"/>
    </row>
    <row r="104" spans="1:11" x14ac:dyDescent="0.7">
      <c r="A104"/>
      <c r="B104" s="101" t="s">
        <v>25</v>
      </c>
      <c r="C104" s="5" t="s">
        <v>46</v>
      </c>
      <c r="D104" s="14">
        <f>D101*2*F$13^2/(F$13^2-D$14^2)</f>
        <v>55.933850512605275</v>
      </c>
      <c r="E104" s="14">
        <f>E101*2*E$13^2/(E$13^2-E$14^2)</f>
        <v>84.536361956665345</v>
      </c>
      <c r="F104" s="14">
        <f>F101*2*D$13^2/(D$13^2-F$14^2)</f>
        <v>114.57227137792434</v>
      </c>
      <c r="G104" s="1" t="s">
        <v>34</v>
      </c>
      <c r="I104"/>
      <c r="J104"/>
      <c r="K104"/>
    </row>
    <row r="105" spans="1:11" x14ac:dyDescent="0.7">
      <c r="A105"/>
      <c r="B105" s="101" t="s">
        <v>24</v>
      </c>
      <c r="C105" s="5" t="s">
        <v>46</v>
      </c>
      <c r="D105" s="14">
        <f>D101* (1+(F$29/D$28)^2)/((F$29/D$28)^2-1)</f>
        <v>52.28293035594983</v>
      </c>
      <c r="E105" s="14">
        <f>E101* (1+(E$29/E$28)^2)/((E$29/E$28)^2-1)</f>
        <v>82.490005993813654</v>
      </c>
      <c r="F105" s="14">
        <f>F101* (1+(D$29/F$28)^2)/((D$29/F$28)^2-1)</f>
        <v>117.22143848286125</v>
      </c>
      <c r="G105" s="1" t="s">
        <v>34</v>
      </c>
      <c r="I105"/>
      <c r="J105"/>
      <c r="K105"/>
    </row>
    <row r="106" spans="1:11" x14ac:dyDescent="0.7">
      <c r="B106" s="101" t="s">
        <v>25</v>
      </c>
      <c r="C106" s="5" t="s">
        <v>121</v>
      </c>
      <c r="D106" s="21">
        <f>IF(F104&lt;=0,"infinite",$D$19/F104)</f>
        <v>3.011199794250341</v>
      </c>
      <c r="E106" s="21">
        <f>IF(E104&lt;=0,"infinite",$D$19/E104)</f>
        <v>4.0810840686147856</v>
      </c>
      <c r="F106" s="21">
        <f>IF(D104&lt;=0,"infinite",$D$19/D104)</f>
        <v>6.1680001794664694</v>
      </c>
      <c r="G106" s="1" t="s">
        <v>34</v>
      </c>
      <c r="I106"/>
      <c r="J106"/>
      <c r="K106"/>
    </row>
    <row r="107" spans="1:11" x14ac:dyDescent="0.7">
      <c r="B107" s="101" t="s">
        <v>24</v>
      </c>
      <c r="C107" s="5" t="s">
        <v>121</v>
      </c>
      <c r="D107" s="21">
        <f>IF(F105&lt;=0,"infinite",$D$34/F105)</f>
        <v>1.2796294085909146</v>
      </c>
      <c r="E107" s="21">
        <f>IF(E105&lt;=0,"infinite",$D$34/E105)</f>
        <v>1.8184020984463167</v>
      </c>
      <c r="F107" s="21">
        <f>IF(D105&lt;=0,"infinite",$D$34/D105)</f>
        <v>2.8690052179320875</v>
      </c>
      <c r="G107" s="1" t="s">
        <v>34</v>
      </c>
      <c r="I107"/>
      <c r="J107"/>
      <c r="K107"/>
    </row>
    <row r="108" spans="1:11" x14ac:dyDescent="0.7">
      <c r="A108"/>
      <c r="B108" s="101" t="s">
        <v>4</v>
      </c>
      <c r="C108" s="7" t="s">
        <v>22</v>
      </c>
      <c r="D108" s="10">
        <f>D101*D$43*D$5/1000</f>
        <v>2.451649894941665</v>
      </c>
      <c r="E108" s="10">
        <f>E101*E$43*E$5/1000</f>
        <v>4.7097755376954522</v>
      </c>
      <c r="F108" s="10">
        <f>F101*F$43*F$5/1000</f>
        <v>7.786624725273521</v>
      </c>
      <c r="G108" s="1" t="s">
        <v>34</v>
      </c>
      <c r="I108"/>
      <c r="J108"/>
      <c r="K108"/>
    </row>
    <row r="109" spans="1:11" x14ac:dyDescent="0.7">
      <c r="A109"/>
      <c r="B109" s="101" t="s">
        <v>4</v>
      </c>
      <c r="C109" s="7" t="s">
        <v>230</v>
      </c>
      <c r="D109" s="10">
        <f>D101*D$43*D$6/1000</f>
        <v>2.0430415791180541</v>
      </c>
      <c r="E109" s="10">
        <f>E101*E$43*E$6/1000</f>
        <v>3.767820430156362</v>
      </c>
      <c r="F109" s="10">
        <f>F101*F$43*F$6/1000</f>
        <v>6.4888539377279351</v>
      </c>
      <c r="G109" s="1" t="s">
        <v>34</v>
      </c>
      <c r="I109"/>
      <c r="J109"/>
      <c r="K109"/>
    </row>
    <row r="110" spans="1:11" x14ac:dyDescent="0.7">
      <c r="A110"/>
      <c r="B110" s="101" t="s">
        <v>4</v>
      </c>
      <c r="C110" s="7" t="s">
        <v>233</v>
      </c>
      <c r="D110" s="10">
        <f>IF($F$60&lt;=0,"infinite",(D109*1000)/$F$60)</f>
        <v>0.93352947285099164</v>
      </c>
      <c r="E110" s="10">
        <f>IF($E$60&lt;=0,"infinite",(E109*1000)/$E$60)</f>
        <v>1.959027919213018</v>
      </c>
      <c r="F110" s="10">
        <f>IF($D$60&lt;=0,"infinite",(F109*1000)/$D$60)</f>
        <v>3.8856230437866235</v>
      </c>
      <c r="G110" s="1" t="s">
        <v>34</v>
      </c>
      <c r="I110"/>
      <c r="J110"/>
      <c r="K110"/>
    </row>
    <row r="111" spans="1:11" x14ac:dyDescent="0.7">
      <c r="A111"/>
      <c r="C111"/>
      <c r="D111"/>
      <c r="E111"/>
      <c r="F111"/>
      <c r="G111"/>
      <c r="I111"/>
      <c r="J111"/>
      <c r="K111"/>
    </row>
    <row r="112" spans="1:11" x14ac:dyDescent="0.7">
      <c r="A112"/>
      <c r="B112" s="103" t="s">
        <v>4</v>
      </c>
      <c r="C112" s="6" t="s">
        <v>117</v>
      </c>
      <c r="D112" s="118">
        <f>F76</f>
        <v>4.594987291467727</v>
      </c>
      <c r="E112" s="119"/>
      <c r="F112" s="120"/>
      <c r="G112" s="1" t="s">
        <v>33</v>
      </c>
      <c r="I112"/>
      <c r="J112"/>
      <c r="K112"/>
    </row>
    <row r="113" spans="1:11" x14ac:dyDescent="0.7">
      <c r="A113"/>
      <c r="B113" s="101" t="s">
        <v>4</v>
      </c>
      <c r="C113" s="5" t="s">
        <v>28</v>
      </c>
      <c r="D113" s="20">
        <f>E113*(1-0.05)</f>
        <v>8.7304758537886809</v>
      </c>
      <c r="E113" s="20">
        <f>D112*2</f>
        <v>9.189974582935454</v>
      </c>
      <c r="F113" s="20">
        <f>E113*(1+0.05)</f>
        <v>9.6494733120822271</v>
      </c>
      <c r="G113" s="1" t="s">
        <v>32</v>
      </c>
      <c r="I113"/>
      <c r="J113"/>
      <c r="K113"/>
    </row>
    <row r="114" spans="1:11" x14ac:dyDescent="0.7">
      <c r="B114" s="101" t="s">
        <v>4</v>
      </c>
      <c r="C114" s="5" t="s">
        <v>30</v>
      </c>
      <c r="D114" s="19">
        <f>D113*1000/F44</f>
        <v>19.132507919792136</v>
      </c>
      <c r="E114" s="19">
        <f>E113*1000/E44</f>
        <v>20.139482020833828</v>
      </c>
      <c r="F114" s="19">
        <f>F113*1000/D44</f>
        <v>21.14645612187552</v>
      </c>
      <c r="G114" s="1" t="s">
        <v>33</v>
      </c>
      <c r="I114"/>
      <c r="J114"/>
      <c r="K114"/>
    </row>
    <row r="115" spans="1:11" x14ac:dyDescent="0.7">
      <c r="B115" s="101" t="s">
        <v>25</v>
      </c>
      <c r="C115" s="5" t="s">
        <v>29</v>
      </c>
      <c r="D115" s="14">
        <f>D19/F114</f>
        <v>16.314790431627241</v>
      </c>
      <c r="E115" s="14">
        <f>D19/E114</f>
        <v>17.130529953208601</v>
      </c>
      <c r="F115" s="14">
        <f>D19/D114</f>
        <v>18.032136792851162</v>
      </c>
      <c r="G115" s="1" t="s">
        <v>34</v>
      </c>
      <c r="I115"/>
      <c r="J115"/>
      <c r="K115"/>
    </row>
    <row r="116" spans="1:11" x14ac:dyDescent="0.7">
      <c r="B116" s="101" t="s">
        <v>24</v>
      </c>
      <c r="C116" s="5" t="s">
        <v>29</v>
      </c>
      <c r="D116" s="14">
        <f>D34/F114</f>
        <v>7.0933871441857566</v>
      </c>
      <c r="E116" s="14">
        <f>D34/E114</f>
        <v>7.4480565013950439</v>
      </c>
      <c r="F116" s="14">
        <f>D34/D114</f>
        <v>7.8400594751526782</v>
      </c>
      <c r="G116" s="1" t="s">
        <v>34</v>
      </c>
      <c r="I116"/>
      <c r="J116"/>
      <c r="K116"/>
    </row>
    <row r="117" spans="1:11" x14ac:dyDescent="0.7">
      <c r="B117" s="103" t="s">
        <v>120</v>
      </c>
      <c r="C117" s="5" t="s">
        <v>29</v>
      </c>
      <c r="D117" s="14">
        <f>$D$39/F114</f>
        <v>7.0933871441857566</v>
      </c>
      <c r="E117" s="14">
        <f>$D$39/E114</f>
        <v>7.4480565013950439</v>
      </c>
      <c r="F117" s="14">
        <f>$D$39/D114</f>
        <v>7.8400594751526782</v>
      </c>
      <c r="G117" s="1" t="s">
        <v>34</v>
      </c>
      <c r="I117"/>
      <c r="J117"/>
      <c r="K117"/>
    </row>
    <row r="118" spans="1:11" x14ac:dyDescent="0.7">
      <c r="A118"/>
      <c r="C118"/>
      <c r="D118"/>
      <c r="E118"/>
      <c r="F118"/>
      <c r="G118"/>
      <c r="I118"/>
      <c r="J118"/>
      <c r="K118"/>
    </row>
    <row r="119" spans="1:11" customFormat="1" x14ac:dyDescent="0.7">
      <c r="B119" s="98"/>
    </row>
    <row r="120" spans="1:11" customFormat="1" x14ac:dyDescent="0.7">
      <c r="B120" s="98"/>
    </row>
    <row r="121" spans="1:11" customFormat="1" x14ac:dyDescent="0.7">
      <c r="B121" s="98"/>
    </row>
    <row r="122" spans="1:11" customFormat="1" x14ac:dyDescent="0.7">
      <c r="B122" s="98"/>
    </row>
    <row r="123" spans="1:11" customFormat="1" x14ac:dyDescent="0.7">
      <c r="B123" s="98"/>
    </row>
    <row r="124" spans="1:11" customFormat="1" x14ac:dyDescent="0.7">
      <c r="B124" s="98"/>
    </row>
    <row r="125" spans="1:11" customFormat="1" x14ac:dyDescent="0.7">
      <c r="B125" s="98"/>
    </row>
    <row r="126" spans="1:11" customFormat="1" x14ac:dyDescent="0.7">
      <c r="B126" s="98"/>
    </row>
    <row r="127" spans="1:11" customFormat="1" x14ac:dyDescent="0.7">
      <c r="B127" s="98"/>
    </row>
    <row r="128" spans="1:11" x14ac:dyDescent="0.7">
      <c r="A128"/>
      <c r="C128"/>
      <c r="D128"/>
      <c r="E128"/>
      <c r="F128"/>
      <c r="G128"/>
      <c r="I128"/>
      <c r="J128"/>
      <c r="K128"/>
    </row>
    <row r="129" spans="1:11" x14ac:dyDescent="0.7">
      <c r="A129"/>
      <c r="C129"/>
      <c r="D129"/>
      <c r="E129"/>
      <c r="F129"/>
      <c r="G129"/>
      <c r="I129"/>
      <c r="J129"/>
      <c r="K129"/>
    </row>
    <row r="130" spans="1:11" customFormat="1" x14ac:dyDescent="0.7">
      <c r="A130" s="4"/>
      <c r="B130" s="98"/>
      <c r="C130" s="8"/>
      <c r="D130" s="1"/>
      <c r="E130" s="1"/>
      <c r="F130" s="1"/>
      <c r="G130" s="1"/>
    </row>
    <row r="131" spans="1:11" customFormat="1" x14ac:dyDescent="0.7">
      <c r="A131" s="4"/>
      <c r="B131" s="98"/>
      <c r="C131" s="8"/>
      <c r="D131" s="1"/>
      <c r="E131" s="1"/>
      <c r="F131" s="1"/>
      <c r="G131" s="1"/>
    </row>
    <row r="132" spans="1:11" customFormat="1" x14ac:dyDescent="0.7">
      <c r="A132" s="4"/>
      <c r="B132" s="98"/>
      <c r="C132" s="4"/>
      <c r="D132" s="4"/>
      <c r="E132" s="4"/>
      <c r="F132" s="4"/>
      <c r="G132" s="4"/>
    </row>
    <row r="133" spans="1:11" x14ac:dyDescent="0.7">
      <c r="C133" s="4"/>
      <c r="D133" s="4"/>
      <c r="E133" s="4"/>
      <c r="F133" s="4"/>
      <c r="G133" s="4"/>
    </row>
    <row r="134" spans="1:11" x14ac:dyDescent="0.7">
      <c r="C134" s="4"/>
      <c r="D134" s="4"/>
      <c r="E134" s="4"/>
      <c r="F134" s="4"/>
      <c r="G134" s="4"/>
    </row>
    <row r="147" spans="2:7" outlineLevel="1" x14ac:dyDescent="0.7">
      <c r="B147" s="8"/>
      <c r="C147" s="4"/>
      <c r="D147" s="4"/>
      <c r="E147" s="4"/>
      <c r="F147" s="4"/>
      <c r="G147" s="4"/>
    </row>
  </sheetData>
  <mergeCells count="31">
    <mergeCell ref="D9:F9"/>
    <mergeCell ref="D24:F24"/>
    <mergeCell ref="D36:F36"/>
    <mergeCell ref="D54:F54"/>
    <mergeCell ref="D34:F34"/>
    <mergeCell ref="D47:F47"/>
    <mergeCell ref="D48:F48"/>
    <mergeCell ref="D84:F84"/>
    <mergeCell ref="D85:F85"/>
    <mergeCell ref="D35:F35"/>
    <mergeCell ref="D98:F98"/>
    <mergeCell ref="D99:F99"/>
    <mergeCell ref="D64:F64"/>
    <mergeCell ref="D65:F65"/>
    <mergeCell ref="D66:F66"/>
    <mergeCell ref="D112:F112"/>
    <mergeCell ref="D38:F38"/>
    <mergeCell ref="D39:F39"/>
    <mergeCell ref="D33:F33"/>
    <mergeCell ref="D3:F3"/>
    <mergeCell ref="D7:F7"/>
    <mergeCell ref="D21:F21"/>
    <mergeCell ref="D15:F15"/>
    <mergeCell ref="D16:F16"/>
    <mergeCell ref="D17:F17"/>
    <mergeCell ref="D18:F18"/>
    <mergeCell ref="D19:F19"/>
    <mergeCell ref="D30:F30"/>
    <mergeCell ref="D31:F31"/>
    <mergeCell ref="D32:F32"/>
    <mergeCell ref="D20:F20"/>
  </mergeCells>
  <phoneticPr fontId="1"/>
  <conditionalFormatting sqref="D106:F107 D102:F103">
    <cfRule type="top10" dxfId="97" priority="51" bottom="1" rank="1"/>
  </conditionalFormatting>
  <conditionalFormatting sqref="D88:F89 D92:F93">
    <cfRule type="top10" dxfId="96" priority="50" bottom="1" rank="1"/>
  </conditionalFormatting>
  <conditionalFormatting sqref="D78:F81">
    <cfRule type="top10" dxfId="95" priority="49" bottom="1" rank="1"/>
  </conditionalFormatting>
  <conditionalFormatting sqref="D78:F82 D88:F89 D92:F93 D96:F96 D102:F103 D106:F107 D110:F110">
    <cfRule type="cellIs" dxfId="94" priority="47" operator="lessThan">
      <formula>1</formula>
    </cfRule>
  </conditionalFormatting>
  <conditionalFormatting sqref="F27:F33 F12:F18 F38:F43 F3:F5 F50:F51 F82:F1048576 F76 F80 F74 F72 F78 F55:F57 F47">
    <cfRule type="expression" dxfId="93" priority="58">
      <formula>AND($F4&lt;$E4,ISNUMBER($E4))</formula>
    </cfRule>
  </conditionalFormatting>
  <conditionalFormatting sqref="D27:D33 D12:D18 D38:D43 D3:D5 D50:D51 D82:D1048576 D76 D80 D74 D72 D78 D55:D57 D47">
    <cfRule type="expression" dxfId="92" priority="59">
      <formula>AND($D4&gt;$E4,ISNUMBER($E4))</formula>
    </cfRule>
  </conditionalFormatting>
  <conditionalFormatting sqref="F1 F10:F11">
    <cfRule type="expression" dxfId="91" priority="61">
      <formula>AND($F3&lt;$E3,ISNUMBER($E3))</formula>
    </cfRule>
  </conditionalFormatting>
  <conditionalFormatting sqref="F2">
    <cfRule type="expression" dxfId="90" priority="62">
      <formula>AND($F1&lt;$E1,ISNUMBER($E1))</formula>
    </cfRule>
  </conditionalFormatting>
  <conditionalFormatting sqref="D1 D10:D11 D45">
    <cfRule type="expression" dxfId="89" priority="64">
      <formula>AND($D3&gt;$E3,ISNUMBER($E3))</formula>
    </cfRule>
  </conditionalFormatting>
  <conditionalFormatting sqref="D2">
    <cfRule type="expression" dxfId="88" priority="65">
      <formula>AND($D1&gt;$E1,ISNUMBER($E1))</formula>
    </cfRule>
  </conditionalFormatting>
  <conditionalFormatting sqref="F65:F66">
    <cfRule type="expression" dxfId="87" priority="86">
      <formula>AND($F47&lt;$E47,ISNUMBER($E47))</formula>
    </cfRule>
  </conditionalFormatting>
  <conditionalFormatting sqref="D65:D66">
    <cfRule type="expression" dxfId="86" priority="89">
      <formula>AND($D47&gt;$E47,ISNUMBER($E47))</formula>
    </cfRule>
  </conditionalFormatting>
  <conditionalFormatting sqref="F58:F61">
    <cfRule type="expression" dxfId="85" priority="97">
      <formula>AND(#REF!&lt;#REF!,ISNUMBER(#REF!))</formula>
    </cfRule>
  </conditionalFormatting>
  <conditionalFormatting sqref="D58:D61">
    <cfRule type="expression" dxfId="84" priority="99">
      <formula>AND(#REF!&gt;#REF!,ISNUMBER(#REF!))</formula>
    </cfRule>
  </conditionalFormatting>
  <conditionalFormatting sqref="F22">
    <cfRule type="expression" dxfId="83" priority="104">
      <formula>AND($F27&lt;$E27,ISNUMBER($E27))</formula>
    </cfRule>
  </conditionalFormatting>
  <conditionalFormatting sqref="D9 D80:D81 D34:D35">
    <cfRule type="expression" dxfId="82" priority="106">
      <formula>AND($D12&gt;$E12,ISNUMBER($E12))</formula>
    </cfRule>
  </conditionalFormatting>
  <conditionalFormatting sqref="D11:F11">
    <cfRule type="expression" dxfId="81" priority="40">
      <formula>NOT(ISBLANK($D$9))</formula>
    </cfRule>
  </conditionalFormatting>
  <conditionalFormatting sqref="D22 D71">
    <cfRule type="expression" dxfId="80" priority="39">
      <formula>AND($D27&gt;$E27,ISNUMBER($E27))</formula>
    </cfRule>
  </conditionalFormatting>
  <conditionalFormatting sqref="F25 F34:F35">
    <cfRule type="expression" dxfId="79" priority="37">
      <formula>AND($F28&lt;$E28,ISNUMBER($E28))</formula>
    </cfRule>
  </conditionalFormatting>
  <conditionalFormatting sqref="D25">
    <cfRule type="expression" dxfId="78" priority="38">
      <formula>AND($D28&gt;$E28,ISNUMBER($E28))</formula>
    </cfRule>
  </conditionalFormatting>
  <conditionalFormatting sqref="F26">
    <cfRule type="expression" dxfId="77" priority="35">
      <formula>AND($F29&lt;$E29,ISNUMBER($E29))</formula>
    </cfRule>
  </conditionalFormatting>
  <conditionalFormatting sqref="D26">
    <cfRule type="expression" dxfId="76" priority="36">
      <formula>AND($D29&gt;$E29,ISNUMBER($E29))</formula>
    </cfRule>
  </conditionalFormatting>
  <conditionalFormatting sqref="D26:F26">
    <cfRule type="expression" dxfId="75" priority="34">
      <formula>NOT(ISBLANK($D$24))</formula>
    </cfRule>
  </conditionalFormatting>
  <conditionalFormatting sqref="D24 D77:D79 D75">
    <cfRule type="expression" dxfId="74" priority="110">
      <formula>AND($D29&gt;$E29,ISNUMBER($E29))</formula>
    </cfRule>
  </conditionalFormatting>
  <conditionalFormatting sqref="D88:F89">
    <cfRule type="top10" dxfId="73" priority="30" bottom="1" rank="1"/>
  </conditionalFormatting>
  <conditionalFormatting sqref="D92:F93">
    <cfRule type="top10" dxfId="72" priority="29" bottom="1" rank="1"/>
  </conditionalFormatting>
  <conditionalFormatting sqref="D102:F103">
    <cfRule type="top10" dxfId="71" priority="28" bottom="1" rank="1"/>
  </conditionalFormatting>
  <conditionalFormatting sqref="D102:F103">
    <cfRule type="top10" dxfId="70" priority="27" bottom="1" rank="1"/>
  </conditionalFormatting>
  <conditionalFormatting sqref="D106:F107">
    <cfRule type="top10" dxfId="69" priority="26" bottom="1" rank="1"/>
  </conditionalFormatting>
  <conditionalFormatting sqref="D106:F107">
    <cfRule type="top10" dxfId="68" priority="25" bottom="1" rank="1"/>
  </conditionalFormatting>
  <conditionalFormatting sqref="F50">
    <cfRule type="expression" dxfId="67" priority="116">
      <formula>AND($F48&lt;$E48,ISNUMBER($E48))</formula>
    </cfRule>
  </conditionalFormatting>
  <conditionalFormatting sqref="D50">
    <cfRule type="expression" dxfId="66" priority="120">
      <formula>AND($D48&gt;$E48,ISNUMBER($E48))</formula>
    </cfRule>
  </conditionalFormatting>
  <conditionalFormatting sqref="F6:F7">
    <cfRule type="expression" dxfId="65" priority="135">
      <formula>AND(#REF!&lt;#REF!,ISNUMBER(#REF!))</formula>
    </cfRule>
  </conditionalFormatting>
  <conditionalFormatting sqref="D6:D7">
    <cfRule type="expression" dxfId="64" priority="137">
      <formula>AND(#REF!&gt;#REF!,ISNUMBER(#REF!))</formula>
    </cfRule>
  </conditionalFormatting>
  <conditionalFormatting sqref="F7">
    <cfRule type="expression" dxfId="63" priority="149">
      <formula>AND($F47&lt;$E47,ISNUMBER($E47))</formula>
    </cfRule>
  </conditionalFormatting>
  <conditionalFormatting sqref="D7">
    <cfRule type="expression" dxfId="62" priority="152">
      <formula>AND($D47&gt;$E47,ISNUMBER($E47))</formula>
    </cfRule>
  </conditionalFormatting>
  <conditionalFormatting sqref="F77:F79 F71">
    <cfRule type="expression" dxfId="61" priority="163">
      <formula>AND($F76&lt;$E76,ISNUMBER($E76))</formula>
    </cfRule>
  </conditionalFormatting>
  <conditionalFormatting sqref="D62 D51:D52">
    <cfRule type="expression" dxfId="60" priority="176">
      <formula>AND($D72&gt;$E72,ISNUMBER($E72))</formula>
    </cfRule>
  </conditionalFormatting>
  <conditionalFormatting sqref="F62 F51:F52">
    <cfRule type="expression" dxfId="59" priority="178">
      <formula>AND($F72&lt;$E72,ISNUMBER($E72))</formula>
    </cfRule>
  </conditionalFormatting>
  <conditionalFormatting sqref="F52">
    <cfRule type="expression" dxfId="58" priority="180">
      <formula>AND(#REF!&lt;#REF!,ISNUMBER(#REF!))</formula>
    </cfRule>
  </conditionalFormatting>
  <conditionalFormatting sqref="D52 D54">
    <cfRule type="expression" dxfId="57" priority="183">
      <formula>AND(#REF!&gt;#REF!,ISNUMBER(#REF!))</formula>
    </cfRule>
  </conditionalFormatting>
  <conditionalFormatting sqref="F7">
    <cfRule type="expression" dxfId="56" priority="185">
      <formula>AND($F50&lt;$E50,ISNUMBER($E50))</formula>
    </cfRule>
  </conditionalFormatting>
  <conditionalFormatting sqref="D7">
    <cfRule type="expression" dxfId="55" priority="186">
      <formula>AND($D50&gt;$E50,ISNUMBER($E50))</formula>
    </cfRule>
  </conditionalFormatting>
  <conditionalFormatting sqref="F55:F56">
    <cfRule type="expression" dxfId="54" priority="188">
      <formula>AND($F74&lt;$E74,ISNUMBER($E74))</formula>
    </cfRule>
  </conditionalFormatting>
  <conditionalFormatting sqref="D55:D56">
    <cfRule type="expression" dxfId="53" priority="192">
      <formula>AND($D74&gt;$E74,ISNUMBER($E74))</formula>
    </cfRule>
  </conditionalFormatting>
  <conditionalFormatting sqref="F63:F66">
    <cfRule type="expression" dxfId="52" priority="200">
      <formula>AND($F83&lt;$E83,ISNUMBER($E83))</formula>
    </cfRule>
  </conditionalFormatting>
  <conditionalFormatting sqref="D63:D66">
    <cfRule type="expression" dxfId="51" priority="203">
      <formula>AND($D83&gt;$E83,ISNUMBER($E83))</formula>
    </cfRule>
  </conditionalFormatting>
  <conditionalFormatting sqref="F63 F60 F71">
    <cfRule type="expression" dxfId="50" priority="219">
      <formula>AND(#REF!&lt;#REF!,ISNUMBER(#REF!))</formula>
    </cfRule>
  </conditionalFormatting>
  <conditionalFormatting sqref="D63 D60 D71">
    <cfRule type="expression" dxfId="49" priority="221">
      <formula>AND(#REF!&gt;#REF!,ISNUMBER(#REF!))</formula>
    </cfRule>
  </conditionalFormatting>
  <conditionalFormatting sqref="F44">
    <cfRule type="expression" dxfId="48" priority="223">
      <formula>AND(#REF!&lt;#REF!,ISNUMBER(#REF!))</formula>
    </cfRule>
  </conditionalFormatting>
  <conditionalFormatting sqref="D44">
    <cfRule type="expression" dxfId="47" priority="225">
      <formula>AND(#REF!&gt;#REF!,ISNUMBER(#REF!))</formula>
    </cfRule>
  </conditionalFormatting>
  <conditionalFormatting sqref="F55">
    <cfRule type="expression" dxfId="46" priority="233">
      <formula>AND($F75&lt;$E75,ISNUMBER($E75))</formula>
    </cfRule>
  </conditionalFormatting>
  <conditionalFormatting sqref="D54:D55">
    <cfRule type="expression" dxfId="45" priority="235">
      <formula>AND($D74&gt;$E74,ISNUMBER($E74))</formula>
    </cfRule>
  </conditionalFormatting>
  <conditionalFormatting sqref="F75">
    <cfRule type="expression" dxfId="44" priority="240">
      <formula>AND($F80&lt;$E80,ISNUMBER($E80))</formula>
    </cfRule>
  </conditionalFormatting>
  <conditionalFormatting sqref="F64:F66">
    <cfRule type="expression" dxfId="43" priority="247">
      <formula>AND($F82&lt;$E82,ISNUMBER($E82))</formula>
    </cfRule>
  </conditionalFormatting>
  <conditionalFormatting sqref="D64:D66">
    <cfRule type="expression" dxfId="42" priority="249">
      <formula>AND($D82&gt;$E82,ISNUMBER($E82))</formula>
    </cfRule>
  </conditionalFormatting>
  <conditionalFormatting sqref="F63:F66">
    <cfRule type="expression" dxfId="41" priority="251">
      <formula>AND($F82&lt;$E82,ISNUMBER($E82))</formula>
    </cfRule>
  </conditionalFormatting>
  <conditionalFormatting sqref="D63:D66">
    <cfRule type="expression" dxfId="40" priority="253">
      <formula>AND($D82&gt;$E82,ISNUMBER($E82))</formula>
    </cfRule>
  </conditionalFormatting>
  <conditionalFormatting sqref="F81 F79">
    <cfRule type="expression" dxfId="39" priority="256">
      <formula>AND($F74&lt;$E74,ISNUMBER($E74))</formula>
    </cfRule>
  </conditionalFormatting>
  <conditionalFormatting sqref="D81 D79">
    <cfRule type="expression" dxfId="38" priority="261">
      <formula>AND($D74&gt;$E74,ISNUMBER($E74))</formula>
    </cfRule>
  </conditionalFormatting>
  <conditionalFormatting sqref="F55:F57 F48:F49">
    <cfRule type="expression" dxfId="37" priority="270">
      <formula>AND($F72&lt;$E72,ISNUMBER($E72))</formula>
    </cfRule>
  </conditionalFormatting>
  <conditionalFormatting sqref="D55:D57 D48:D49">
    <cfRule type="expression" dxfId="36" priority="272">
      <formula>AND($D72&gt;$E72,ISNUMBER($E72))</formula>
    </cfRule>
  </conditionalFormatting>
  <conditionalFormatting sqref="F71">
    <cfRule type="expression" dxfId="35" priority="278">
      <formula>AND($F83&lt;$E83,ISNUMBER($E83))</formula>
    </cfRule>
  </conditionalFormatting>
  <conditionalFormatting sqref="D71">
    <cfRule type="expression" dxfId="34" priority="279">
      <formula>AND($D83&gt;$E83,ISNUMBER($E83))</formula>
    </cfRule>
    <cfRule type="expression" dxfId="33" priority="332">
      <formula>AND($D77&gt;$E77,ISNUMBER($E77))</formula>
    </cfRule>
  </conditionalFormatting>
  <conditionalFormatting sqref="F80:F81">
    <cfRule type="expression" dxfId="32" priority="289">
      <formula>AND($F83&lt;$E83,ISNUMBER($E83))</formula>
    </cfRule>
  </conditionalFormatting>
  <conditionalFormatting sqref="F73">
    <cfRule type="expression" dxfId="31" priority="293">
      <formula>AND($F78&lt;$E78,ISNUMBER($E78))</formula>
    </cfRule>
  </conditionalFormatting>
  <conditionalFormatting sqref="D73">
    <cfRule type="expression" dxfId="30" priority="297">
      <formula>AND($D78&gt;$E78,ISNUMBER($E78))</formula>
    </cfRule>
  </conditionalFormatting>
  <conditionalFormatting sqref="F51:F52">
    <cfRule type="expression" dxfId="29" priority="304">
      <formula>AND($F78&lt;$E78,ISNUMBER($E78))</formula>
    </cfRule>
  </conditionalFormatting>
  <conditionalFormatting sqref="D54">
    <cfRule type="expression" dxfId="28" priority="306">
      <formula>AND($D80&gt;$E80,ISNUMBER($E80))</formula>
    </cfRule>
  </conditionalFormatting>
  <conditionalFormatting sqref="F20">
    <cfRule type="expression" dxfId="27" priority="329">
      <formula>AND($F26&lt;$E26,ISNUMBER($E26))</formula>
    </cfRule>
  </conditionalFormatting>
  <conditionalFormatting sqref="D19">
    <cfRule type="expression" dxfId="26" priority="331">
      <formula>AND($D23&gt;$E23,ISNUMBER($E23))</formula>
    </cfRule>
  </conditionalFormatting>
  <conditionalFormatting sqref="F19">
    <cfRule type="expression" dxfId="25" priority="334">
      <formula>AND($F23&lt;$E23,ISNUMBER($E23))</formula>
    </cfRule>
  </conditionalFormatting>
  <conditionalFormatting sqref="D51:D52">
    <cfRule type="expression" dxfId="24" priority="354">
      <formula>AND($D78&gt;$E78,ISNUMBER($E78))</formula>
    </cfRule>
  </conditionalFormatting>
  <conditionalFormatting sqref="F56:F61">
    <cfRule type="expression" dxfId="23" priority="363">
      <formula>AND($F74&lt;$E74,ISNUMBER($E74))</formula>
    </cfRule>
  </conditionalFormatting>
  <conditionalFormatting sqref="D56:D61">
    <cfRule type="expression" dxfId="22" priority="365">
      <formula>AND($D74&gt;$E74,ISNUMBER($E74))</formula>
    </cfRule>
  </conditionalFormatting>
  <conditionalFormatting sqref="F71">
    <cfRule type="expression" dxfId="21" priority="387">
      <formula>AND($F78&lt;$E78,ISNUMBER($E78))</formula>
    </cfRule>
  </conditionalFormatting>
  <conditionalFormatting sqref="F71">
    <cfRule type="expression" dxfId="20" priority="391">
      <formula>AND($F77&lt;$E77,ISNUMBER($E77))</formula>
    </cfRule>
  </conditionalFormatting>
  <conditionalFormatting sqref="D71">
    <cfRule type="expression" dxfId="19" priority="405">
      <formula>AND($D78&gt;$E78,ISNUMBER($E78))</formula>
    </cfRule>
  </conditionalFormatting>
  <conditionalFormatting sqref="D53">
    <cfRule type="expression" dxfId="18" priority="7">
      <formula>AND($D77&gt;$E77,ISNUMBER($E77))</formula>
    </cfRule>
  </conditionalFormatting>
  <conditionalFormatting sqref="F53">
    <cfRule type="expression" dxfId="17" priority="8">
      <formula>AND($F77&lt;$E77,ISNUMBER($E77))</formula>
    </cfRule>
  </conditionalFormatting>
  <conditionalFormatting sqref="F63 F46">
    <cfRule type="expression" dxfId="16" priority="418">
      <formula>AND($F60&lt;$E60,ISNUMBER($E60))</formula>
    </cfRule>
  </conditionalFormatting>
  <conditionalFormatting sqref="D63 D46">
    <cfRule type="expression" dxfId="15" priority="419">
      <formula>AND($D60&gt;$E60,ISNUMBER($E60))</formula>
    </cfRule>
  </conditionalFormatting>
  <conditionalFormatting sqref="F45">
    <cfRule type="expression" dxfId="14" priority="424">
      <formula>AND($F47&lt;$E47,ISNUMBER($E47))</formula>
    </cfRule>
  </conditionalFormatting>
  <conditionalFormatting sqref="F64">
    <cfRule type="expression" dxfId="13" priority="428">
      <formula>AND($F45&lt;$E45,ISNUMBER($E45))</formula>
    </cfRule>
  </conditionalFormatting>
  <conditionalFormatting sqref="D64">
    <cfRule type="expression" dxfId="12" priority="430">
      <formula>AND($D45&gt;$E45,ISNUMBER($E45))</formula>
    </cfRule>
  </conditionalFormatting>
  <conditionalFormatting sqref="D58:D61">
    <cfRule type="expression" dxfId="11" priority="1">
      <formula>AND($D80&gt;$E80,ISNUMBER($E80))</formula>
    </cfRule>
  </conditionalFormatting>
  <conditionalFormatting sqref="F58:F61">
    <cfRule type="expression" dxfId="10" priority="2">
      <formula>AND($F80&lt;$E80,ISNUMBER($E80))</formula>
    </cfRule>
  </conditionalFormatting>
  <conditionalFormatting sqref="D60">
    <cfRule type="expression" dxfId="9" priority="447">
      <formula>AND($D82&gt;$E82,ISNUMBER($E82))</formula>
    </cfRule>
    <cfRule type="expression" dxfId="8" priority="448">
      <formula>AND($D76&gt;$E76,ISNUMBER($E76))</formula>
    </cfRule>
  </conditionalFormatting>
  <conditionalFormatting sqref="F60">
    <cfRule type="expression" dxfId="7" priority="453">
      <formula>AND($F77&lt;$E77,ISNUMBER($E77))</formula>
    </cfRule>
  </conditionalFormatting>
  <conditionalFormatting sqref="F60">
    <cfRule type="expression" dxfId="6" priority="455">
      <formula>AND($F76&lt;$E76,ISNUMBER($E76))</formula>
    </cfRule>
  </conditionalFormatting>
  <conditionalFormatting sqref="D60">
    <cfRule type="expression" dxfId="5" priority="457">
      <formula>AND($D77&gt;$E77,ISNUMBER($E77))</formula>
    </cfRule>
  </conditionalFormatting>
  <conditionalFormatting sqref="F50 F57:F61">
    <cfRule type="expression" dxfId="4" priority="462">
      <formula>AND($F73&lt;$E73,ISNUMBER($E73))</formula>
    </cfRule>
  </conditionalFormatting>
  <conditionalFormatting sqref="D50 D57:D61">
    <cfRule type="expression" dxfId="3" priority="464">
      <formula>AND($D73&gt;$E73,ISNUMBER($E73))</formula>
    </cfRule>
  </conditionalFormatting>
  <conditionalFormatting sqref="F59:F60">
    <cfRule type="expression" dxfId="1" priority="465">
      <formula>AND($F74&lt;$E74,ISNUMBER($E74))</formula>
    </cfRule>
  </conditionalFormatting>
  <conditionalFormatting sqref="D59:D60">
    <cfRule type="expression" dxfId="0" priority="466">
      <formula>AND($D74&gt;$E74,ISNUMBER($E74))</formula>
    </cfRule>
  </conditionalFormatting>
  <dataValidations count="2">
    <dataValidation type="list" allowBlank="1" showInputMessage="1" showErrorMessage="1" sqref="D30:F30 D15:F15 D38:F38" xr:uid="{BFCA024A-B59A-4835-866D-C60E90746B72}">
      <formula1>Material_List</formula1>
    </dataValidation>
    <dataValidation type="list" showInputMessage="1" showErrorMessage="1" sqref="D54:F54" xr:uid="{4F72B309-D207-4010-B9E8-12ACF5286FFF}">
      <formula1>"Inner Part, Outer Part"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406A-A01B-4EBD-A54F-AB6DC774D0E4}">
  <dimension ref="A1:BR75"/>
  <sheetViews>
    <sheetView topLeftCell="AR41" zoomScale="85" zoomScaleNormal="85" workbookViewId="0">
      <selection activeCell="AU53" sqref="AU53:BQ75"/>
    </sheetView>
  </sheetViews>
  <sheetFormatPr defaultRowHeight="17.649999999999999" x14ac:dyDescent="0.7"/>
  <cols>
    <col min="1" max="1" width="11" bestFit="1" customWidth="1"/>
    <col min="2" max="2" width="17.625" bestFit="1" customWidth="1"/>
    <col min="3" max="3" width="17.25" bestFit="1" customWidth="1"/>
    <col min="4" max="4" width="18" bestFit="1" customWidth="1"/>
    <col min="5" max="5" width="11.875" bestFit="1" customWidth="1"/>
    <col min="6" max="6" width="11.5" bestFit="1" customWidth="1"/>
    <col min="7" max="7" width="12.25" bestFit="1" customWidth="1"/>
    <col min="8" max="8" width="13.1875" bestFit="1" customWidth="1"/>
    <col min="9" max="9" width="13.3125" bestFit="1" customWidth="1"/>
    <col min="10" max="10" width="18.9375" bestFit="1" customWidth="1"/>
    <col min="11" max="11" width="19.0625" bestFit="1" customWidth="1"/>
    <col min="14" max="14" width="14.8125" bestFit="1" customWidth="1"/>
    <col min="15" max="17" width="17.25" bestFit="1" customWidth="1"/>
    <col min="18" max="18" width="15.3125" bestFit="1" customWidth="1"/>
    <col min="19" max="21" width="17.875" bestFit="1" customWidth="1"/>
    <col min="22" max="24" width="21.625" bestFit="1" customWidth="1"/>
    <col min="25" max="25" width="19.75" bestFit="1" customWidth="1"/>
    <col min="26" max="28" width="22.3125" bestFit="1" customWidth="1"/>
    <col min="29" max="31" width="18.75" bestFit="1" customWidth="1"/>
    <col min="32" max="32" width="16.8125" bestFit="1" customWidth="1"/>
    <col min="33" max="35" width="19.375" bestFit="1" customWidth="1"/>
    <col min="36" max="36" width="13.1875" bestFit="1" customWidth="1"/>
    <col min="37" max="39" width="18.875" bestFit="1" customWidth="1"/>
    <col min="40" max="40" width="16.9375" bestFit="1" customWidth="1"/>
    <col min="41" max="43" width="19.5" bestFit="1" customWidth="1"/>
    <col min="44" max="44" width="15.375" bestFit="1" customWidth="1"/>
    <col min="47" max="47" width="15.1875" customWidth="1"/>
    <col min="48" max="48" width="4.25" bestFit="1" customWidth="1"/>
    <col min="49" max="69" width="4.8125" customWidth="1"/>
  </cols>
  <sheetData>
    <row r="1" spans="1:69" x14ac:dyDescent="0.7">
      <c r="A1" s="22"/>
      <c r="B1" s="22"/>
      <c r="C1" s="22"/>
      <c r="D1" s="22"/>
    </row>
    <row r="2" spans="1:69" x14ac:dyDescent="0.7">
      <c r="A2" t="s">
        <v>57</v>
      </c>
      <c r="B2" s="22"/>
      <c r="C2" s="22"/>
      <c r="D2" s="22"/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s="2" t="s">
        <v>7</v>
      </c>
      <c r="W2" s="2" t="s">
        <v>7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2" t="s">
        <v>7</v>
      </c>
      <c r="AF2" s="2" t="s">
        <v>7</v>
      </c>
      <c r="AG2" s="2" t="s">
        <v>7</v>
      </c>
      <c r="AH2" s="2" t="s">
        <v>7</v>
      </c>
      <c r="AI2" s="2" t="s">
        <v>7</v>
      </c>
      <c r="AJ2" s="2"/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</row>
    <row r="3" spans="1:69" x14ac:dyDescent="0.7">
      <c r="A3" s="23">
        <v>0.01</v>
      </c>
      <c r="B3" s="22"/>
      <c r="C3" s="22"/>
      <c r="D3" s="22"/>
      <c r="O3" s="2">
        <v>-30</v>
      </c>
      <c r="P3" s="2">
        <v>-20</v>
      </c>
      <c r="Q3" s="2">
        <v>-10</v>
      </c>
      <c r="R3" s="2">
        <v>0</v>
      </c>
      <c r="S3" s="2">
        <v>10</v>
      </c>
      <c r="T3" s="2">
        <v>20</v>
      </c>
      <c r="U3" s="2">
        <v>30</v>
      </c>
      <c r="V3" s="2">
        <v>-30</v>
      </c>
      <c r="W3" s="2">
        <v>-20</v>
      </c>
      <c r="X3" s="2">
        <v>-10</v>
      </c>
      <c r="Y3" s="2">
        <v>0</v>
      </c>
      <c r="Z3" s="2">
        <v>10</v>
      </c>
      <c r="AA3" s="2">
        <v>20</v>
      </c>
      <c r="AB3" s="2">
        <v>30</v>
      </c>
      <c r="AC3" s="2">
        <v>-30</v>
      </c>
      <c r="AD3" s="2">
        <v>-20</v>
      </c>
      <c r="AE3" s="2">
        <v>-10</v>
      </c>
      <c r="AF3" s="2">
        <v>0</v>
      </c>
      <c r="AG3" s="2">
        <v>10</v>
      </c>
      <c r="AH3" s="2">
        <v>20</v>
      </c>
      <c r="AI3" s="2">
        <v>30</v>
      </c>
      <c r="AJ3" s="2"/>
      <c r="AK3" s="2">
        <v>-30</v>
      </c>
      <c r="AL3" s="2">
        <v>-20</v>
      </c>
      <c r="AM3" s="2">
        <v>-10</v>
      </c>
      <c r="AN3" s="2">
        <v>0</v>
      </c>
      <c r="AO3" s="2">
        <v>10</v>
      </c>
      <c r="AP3" s="2">
        <v>20</v>
      </c>
      <c r="AQ3" s="2">
        <v>30</v>
      </c>
      <c r="AU3" s="155" t="s">
        <v>236</v>
      </c>
      <c r="AV3" s="156"/>
      <c r="AW3" s="154" t="s">
        <v>235</v>
      </c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</row>
    <row r="4" spans="1:69" x14ac:dyDescent="0.7">
      <c r="A4" s="16" t="s">
        <v>58</v>
      </c>
      <c r="B4" s="24" t="s">
        <v>59</v>
      </c>
      <c r="C4" s="24"/>
      <c r="D4" s="24"/>
      <c r="E4" s="25" t="s">
        <v>60</v>
      </c>
      <c r="F4" s="25"/>
      <c r="G4" s="25"/>
      <c r="H4" s="25" t="s">
        <v>61</v>
      </c>
      <c r="I4" s="25"/>
      <c r="J4" s="26" t="s">
        <v>62</v>
      </c>
      <c r="K4" s="26"/>
      <c r="N4" s="2"/>
      <c r="O4" s="26" t="s">
        <v>63</v>
      </c>
      <c r="P4" s="26"/>
      <c r="Q4" s="26"/>
      <c r="R4" s="26"/>
      <c r="S4" s="26"/>
      <c r="T4" s="26"/>
      <c r="U4" s="26"/>
      <c r="V4" s="26" t="s">
        <v>51</v>
      </c>
      <c r="W4" s="26"/>
      <c r="X4" s="26"/>
      <c r="Y4" s="26"/>
      <c r="Z4" s="26"/>
      <c r="AA4" s="26"/>
      <c r="AB4" s="26"/>
      <c r="AC4" s="26" t="s">
        <v>74</v>
      </c>
      <c r="AD4" s="26"/>
      <c r="AE4" s="26"/>
      <c r="AF4" s="26"/>
      <c r="AG4" s="26"/>
      <c r="AH4" s="26"/>
      <c r="AI4" s="26"/>
      <c r="AJ4" s="26"/>
      <c r="AK4" s="26" t="s">
        <v>91</v>
      </c>
      <c r="AL4" s="26"/>
      <c r="AM4" s="26"/>
      <c r="AN4" s="26"/>
      <c r="AO4" s="26"/>
      <c r="AP4" s="26"/>
      <c r="AQ4" s="26"/>
      <c r="AU4" s="157"/>
      <c r="AV4" s="158"/>
      <c r="AW4" s="151">
        <v>-50</v>
      </c>
      <c r="AX4" s="151">
        <f>AW4+10</f>
        <v>-40</v>
      </c>
      <c r="AY4" s="151">
        <f t="shared" ref="AY4:BQ4" si="0">AX4+10</f>
        <v>-30</v>
      </c>
      <c r="AZ4" s="151">
        <f t="shared" si="0"/>
        <v>-20</v>
      </c>
      <c r="BA4" s="151">
        <f t="shared" si="0"/>
        <v>-10</v>
      </c>
      <c r="BB4" s="151">
        <f t="shared" si="0"/>
        <v>0</v>
      </c>
      <c r="BC4" s="151">
        <f t="shared" si="0"/>
        <v>10</v>
      </c>
      <c r="BD4" s="151">
        <f t="shared" si="0"/>
        <v>20</v>
      </c>
      <c r="BE4" s="151">
        <f t="shared" si="0"/>
        <v>30</v>
      </c>
      <c r="BF4" s="151">
        <f t="shared" si="0"/>
        <v>40</v>
      </c>
      <c r="BG4" s="151">
        <f t="shared" si="0"/>
        <v>50</v>
      </c>
      <c r="BH4" s="151">
        <f t="shared" si="0"/>
        <v>60</v>
      </c>
      <c r="BI4" s="151">
        <f t="shared" si="0"/>
        <v>70</v>
      </c>
      <c r="BJ4" s="151">
        <f t="shared" si="0"/>
        <v>80</v>
      </c>
      <c r="BK4" s="151">
        <f t="shared" si="0"/>
        <v>90</v>
      </c>
      <c r="BL4" s="151">
        <f t="shared" si="0"/>
        <v>100</v>
      </c>
      <c r="BM4" s="151">
        <f t="shared" si="0"/>
        <v>110</v>
      </c>
      <c r="BN4" s="151">
        <f t="shared" si="0"/>
        <v>120</v>
      </c>
      <c r="BO4" s="151">
        <f t="shared" si="0"/>
        <v>130</v>
      </c>
      <c r="BP4" s="151">
        <f>BO4+10</f>
        <v>140</v>
      </c>
      <c r="BQ4" s="151">
        <f t="shared" si="0"/>
        <v>150</v>
      </c>
    </row>
    <row r="5" spans="1:69" x14ac:dyDescent="0.7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  <c r="N5" t="s">
        <v>90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t="s">
        <v>82</v>
      </c>
      <c r="W5" t="s">
        <v>84</v>
      </c>
      <c r="X5" t="s">
        <v>85</v>
      </c>
      <c r="Y5" t="s">
        <v>86</v>
      </c>
      <c r="Z5" t="s">
        <v>87</v>
      </c>
      <c r="AA5" t="s">
        <v>88</v>
      </c>
      <c r="AB5" t="s">
        <v>89</v>
      </c>
      <c r="AC5" t="s">
        <v>83</v>
      </c>
      <c r="AD5" t="s">
        <v>92</v>
      </c>
      <c r="AE5" t="s">
        <v>93</v>
      </c>
      <c r="AF5" t="s">
        <v>94</v>
      </c>
      <c r="AG5" t="s">
        <v>95</v>
      </c>
      <c r="AH5" t="s">
        <v>96</v>
      </c>
      <c r="AI5" t="s">
        <v>97</v>
      </c>
      <c r="AJ5" t="s">
        <v>105</v>
      </c>
      <c r="AK5" t="s">
        <v>98</v>
      </c>
      <c r="AL5" t="s">
        <v>99</v>
      </c>
      <c r="AM5" t="s">
        <v>100</v>
      </c>
      <c r="AN5" t="s">
        <v>101</v>
      </c>
      <c r="AO5" t="s">
        <v>102</v>
      </c>
      <c r="AP5" t="s">
        <v>103</v>
      </c>
      <c r="AQ5" t="s">
        <v>104</v>
      </c>
      <c r="AR5" t="s">
        <v>106</v>
      </c>
      <c r="AU5" s="150" t="s">
        <v>234</v>
      </c>
      <c r="AV5" s="151">
        <v>-50</v>
      </c>
      <c r="AW5" s="160">
        <f>(寸法→圧入力!$E$72+寸法→圧入力!$D$3*((寸法→圧入力!$D$33*10^-6*(グラフ!$AV5-20))-(寸法→圧入力!$D$18*10^-6*(グラフ!AW$4-20))))*1000</f>
        <v>-4.7016638719061081</v>
      </c>
      <c r="AX5" s="160">
        <f>(寸法→圧入力!$E$72+寸法→圧入力!$D$3*((寸法→圧入力!$D$33*10^-6*(グラフ!$AV5-20))-(寸法→圧入力!$D$18*10^-6*(グラフ!AX$4-20))))*1000</f>
        <v>-8.2716638719061084</v>
      </c>
      <c r="AY5" s="160">
        <f>(寸法→圧入力!$E$72+寸法→圧入力!$D$3*((寸法→圧入力!$D$33*10^-6*(グラフ!$AV5-20))-(寸法→圧入力!$D$18*10^-6*(グラフ!AY$4-20))))*1000</f>
        <v>-11.841663871906109</v>
      </c>
      <c r="AZ5" s="160">
        <f>(寸法→圧入力!$E$72+寸法→圧入力!$D$3*((寸法→圧入力!$D$33*10^-6*(グラフ!$AV5-20))-(寸法→圧入力!$D$18*10^-6*(グラフ!AZ$4-20))))*1000</f>
        <v>-15.411663871906113</v>
      </c>
      <c r="BA5" s="160">
        <f>(寸法→圧入力!$E$72+寸法→圧入力!$D$3*((寸法→圧入力!$D$33*10^-6*(グラフ!$AV5-20))-(寸法→圧入力!$D$18*10^-6*(グラフ!BA$4-20))))*1000</f>
        <v>-18.981663871906104</v>
      </c>
      <c r="BB5" s="160">
        <f>(寸法→圧入力!$E$72+寸法→圧入力!$D$3*((寸法→圧入力!$D$33*10^-6*(グラフ!$AV5-20))-(寸法→圧入力!$D$18*10^-6*(グラフ!BB$4-20))))*1000</f>
        <v>-22.551663871906108</v>
      </c>
      <c r="BC5" s="160">
        <f>(寸法→圧入力!$E$72+寸法→圧入力!$D$3*((寸法→圧入力!$D$33*10^-6*(グラフ!$AV5-20))-(寸法→圧入力!$D$18*10^-6*(グラフ!BC$4-20))))*1000</f>
        <v>-26.121663871906105</v>
      </c>
      <c r="BD5" s="160">
        <f>(寸法→圧入力!$E$72+寸法→圧入力!$D$3*((寸法→圧入力!$D$33*10^-6*(グラフ!$AV5-20))-(寸法→圧入力!$D$18*10^-6*(グラフ!BD$4-20))))*1000</f>
        <v>-29.691663871906108</v>
      </c>
      <c r="BE5" s="160">
        <f>(寸法→圧入力!$E$72+寸法→圧入力!$D$3*((寸法→圧入力!$D$33*10^-6*(グラフ!$AV5-20))-(寸法→圧入力!$D$18*10^-6*(グラフ!BE$4-20))))*1000</f>
        <v>-33.261663871906109</v>
      </c>
      <c r="BF5" s="160">
        <f>(寸法→圧入力!$E$72+寸法→圧入力!$D$3*((寸法→圧入力!$D$33*10^-6*(グラフ!$AV5-20))-(寸法→圧入力!$D$18*10^-6*(グラフ!BF$4-20))))*1000</f>
        <v>-36.831663871906102</v>
      </c>
      <c r="BG5" s="160">
        <f>(寸法→圧入力!$E$72+寸法→圧入力!$D$3*((寸法→圧入力!$D$33*10^-6*(グラフ!$AV5-20))-(寸法→圧入力!$D$18*10^-6*(グラフ!BG$4-20))))*1000</f>
        <v>-40.401663871906116</v>
      </c>
      <c r="BH5" s="160">
        <f>(寸法→圧入力!$E$72+寸法→圧入力!$D$3*((寸法→圧入力!$D$33*10^-6*(グラフ!$AV5-20))-(寸法→圧入力!$D$18*10^-6*(グラフ!BH$4-20))))*1000</f>
        <v>-43.971663871906102</v>
      </c>
      <c r="BI5" s="160">
        <f>(寸法→圧入力!$E$72+寸法→圧入力!$D$3*((寸法→圧入力!$D$33*10^-6*(グラフ!$AV5-20))-(寸法→圧入力!$D$18*10^-6*(グラフ!BI$4-20))))*1000</f>
        <v>-47.54166387190611</v>
      </c>
      <c r="BJ5" s="160">
        <f>(寸法→圧入力!$E$72+寸法→圧入力!$D$3*((寸法→圧入力!$D$33*10^-6*(グラフ!$AV5-20))-(寸法→圧入力!$D$18*10^-6*(グラフ!BJ$4-20))))*1000</f>
        <v>-51.111663871906117</v>
      </c>
      <c r="BK5" s="160">
        <f>(寸法→圧入力!$E$72+寸法→圧入力!$D$3*((寸法→圧入力!$D$33*10^-6*(グラフ!$AV5-20))-(寸法→圧入力!$D$18*10^-6*(グラフ!BK$4-20))))*1000</f>
        <v>-54.68166387190611</v>
      </c>
      <c r="BL5" s="160">
        <f>(寸法→圧入力!$E$72+寸法→圧入力!$D$3*((寸法→圧入力!$D$33*10^-6*(グラフ!$AV5-20))-(寸法→圧入力!$D$18*10^-6*(グラフ!BL$4-20))))*1000</f>
        <v>-58.251663871906096</v>
      </c>
      <c r="BM5" s="160">
        <f>(寸法→圧入力!$E$72+寸法→圧入力!$D$3*((寸法→圧入力!$D$33*10^-6*(グラフ!$AV5-20))-(寸法→圧入力!$D$18*10^-6*(グラフ!BM$4-20))))*1000</f>
        <v>-61.821663871906104</v>
      </c>
      <c r="BN5" s="160">
        <f>(寸法→圧入力!$E$72+寸法→圧入力!$D$3*((寸法→圧入力!$D$33*10^-6*(グラフ!$AV5-20))-(寸法→圧入力!$D$18*10^-6*(グラフ!BN$4-20))))*1000</f>
        <v>-65.391663871906104</v>
      </c>
      <c r="BO5" s="160">
        <f>(寸法→圧入力!$E$72+寸法→圧入力!$D$3*((寸法→圧入力!$D$33*10^-6*(グラフ!$AV5-20))-(寸法→圧入力!$D$18*10^-6*(グラフ!BO$4-20))))*1000</f>
        <v>-68.961663871906111</v>
      </c>
      <c r="BP5" s="160">
        <f>(寸法→圧入力!$E$72+寸法→圧入力!$D$3*((寸法→圧入力!$D$33*10^-6*(グラフ!$AV5-20))-(寸法→圧入力!$D$18*10^-6*(グラフ!BP$4-20))))*1000</f>
        <v>-72.531663871906119</v>
      </c>
      <c r="BQ5" s="160">
        <f>(寸法→圧入力!$E$72+寸法→圧入力!$D$3*((寸法→圧入力!$D$33*10^-6*(グラフ!$AV5-20))-(寸法→圧入力!$D$18*10^-6*(グラフ!BQ$4-20))))*1000</f>
        <v>-76.101663871906098</v>
      </c>
    </row>
    <row r="6" spans="1:69" x14ac:dyDescent="0.7">
      <c r="A6" s="22">
        <v>0</v>
      </c>
      <c r="B6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0</v>
      </c>
      <c r="C6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0</v>
      </c>
      <c r="D6" s="11">
        <f>(テーブル3[[#This Row],[締め代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0</v>
      </c>
      <c r="E6" s="11">
        <f>テーブル3[[#This Row],[半径方向応力min]]*寸法→圧入力!D$43*寸法→圧入力!D$5/1000</f>
        <v>0</v>
      </c>
      <c r="F6" s="11">
        <f>テーブル3[[#This Row],[半径方向応力min]]*寸法→圧入力!E$43*寸法→圧入力!E$5/1000</f>
        <v>0</v>
      </c>
      <c r="G6" s="11">
        <f>テーブル3[[#This Row],[半径方向応力min]]*寸法→圧入力!F$43*寸法→圧入力!F$5/1000</f>
        <v>0</v>
      </c>
      <c r="H6" s="11">
        <f>寸法→圧入力!$D$19</f>
        <v>345</v>
      </c>
      <c r="I6" s="11">
        <f>寸法→圧入力!$D$34</f>
        <v>150</v>
      </c>
      <c r="J6" s="11">
        <f>テーブル3[[#This Row],[半径方向応力nor]]*2*寸法→圧入力!E$13^2/(寸法→圧入力!E$13^2-寸法→圧入力!E$14^2)</f>
        <v>0</v>
      </c>
      <c r="K6" s="11">
        <f>テーブル3[[#This Row],[半径方向応力nor]]* (1+(寸法→圧入力!E$29/寸法→圧入力!E$28)^2)/((寸法→圧入力!E$29/寸法→圧入力!E$28)^2-1)</f>
        <v>0</v>
      </c>
      <c r="N6">
        <v>-50</v>
      </c>
      <c r="O6" s="22">
        <f>寸法→圧入力!F$13*(1+寸法→圧入力!D$18*10^-6*(テーブル4[[#This Row],[inner温度'[℃']]]-20)) - 寸法→圧入力!D$28*(1+寸法→圧入力!D$33*10^-6*(テーブル4[[#This Row],[inner温度'[℃']]]+O$3-20))</f>
        <v>6.2989174999998454E-2</v>
      </c>
      <c r="P6" s="22">
        <f>寸法→圧入力!F$13*(1+寸法→圧入力!D$18*10^-6*(テーブル4[[#This Row],[inner温度'[℃']]]-20)) - 寸法→圧入力!D$28*(1+寸法→圧入力!D$33*10^-6*(テーブル4[[#This Row],[inner温度'[℃']]]+P$3-20))</f>
        <v>5.6689174999998926E-2</v>
      </c>
      <c r="Q6" s="22">
        <f>寸法→圧入力!F$13*(1+寸法→圧入力!D$18*10^-6*(テーブル4[[#This Row],[inner温度'[℃']]]-20)) - 寸法→圧入力!D$28*(1+寸法→圧入力!D$33*10^-6*(テーブル4[[#This Row],[inner温度'[℃']]]+Q$3-20))</f>
        <v>5.0389174999999398E-2</v>
      </c>
      <c r="R6" s="22">
        <f>寸法→圧入力!F$13*(1+寸法→圧入力!D$18*10^-6*(テーブル4[[#This Row],[inner温度'[℃']]]-20)) - 寸法→圧入力!D$28*(1+寸法→圧入力!D$33*10^-6*(テーブル4[[#This Row],[inner温度'[℃']]]+R$3-20))</f>
        <v>4.4089174999999869E-2</v>
      </c>
      <c r="S6" s="22">
        <f>寸法→圧入力!F$13*(1+寸法→圧入力!D$18*10^-6*(テーブル4[[#This Row],[inner温度'[℃']]]-20)) - 寸法→圧入力!D$28*(1+寸法→圧入力!D$33*10^-6*(テーブル4[[#This Row],[inner温度'[℃']]]+S$3-20))</f>
        <v>3.7789175000000341E-2</v>
      </c>
      <c r="T6" s="22">
        <f>寸法→圧入力!F$13*(1+寸法→圧入力!D$18*10^-6*(テーブル4[[#This Row],[inner温度'[℃']]]-20)) - 寸法→圧入力!D$28*(1+寸法→圧入力!D$33*10^-6*(テーブル4[[#This Row],[inner温度'[℃']]]+T$3-20))</f>
        <v>3.1489175000000813E-2</v>
      </c>
      <c r="U6" s="22">
        <f>寸法→圧入力!F$13*(1+寸法→圧入力!D$18*10^-6*(テーブル4[[#This Row],[inner温度'[℃']]]-20)) - 寸法→圧入力!D$28*(1+寸法→圧入力!D$33*10^-6*(テーブル4[[#This Row],[inner温度'[℃']]]+U$3-20))</f>
        <v>2.5189174999997732E-2</v>
      </c>
      <c r="V6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65.159818559125597</v>
      </c>
      <c r="W6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58.642716899634557</v>
      </c>
      <c r="X6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52.125615240143539</v>
      </c>
      <c r="Y6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45.608513580652513</v>
      </c>
      <c r="Z6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39.091411921161487</v>
      </c>
      <c r="AA6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32.574310261670462</v>
      </c>
      <c r="AB6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26.057208602175766</v>
      </c>
      <c r="AC6" s="11">
        <f>テーブル4[[#This Row],[半径方向応力:Δ-30℃]]*2*寸法→圧入力!D$13^2/(寸法→圧入力!D$13^2-寸法→圧入力!F$14^2)</f>
        <v>174.47866834705596</v>
      </c>
      <c r="AD6" s="11">
        <f>テーブル4[[#This Row],[半径方向応力:Δ-20℃]]*2*寸法→圧入力!D$13^2/(寸法→圧入力!D$13^2-寸法→圧入力!F$14^2)</f>
        <v>157.02780301048978</v>
      </c>
      <c r="AE6" s="11">
        <f>テーブル4[[#This Row],[半径方向応力:Δ-10℃]]*2*寸法→圧入力!D$13^2/(寸法→圧入力!D$13^2-寸法→圧入力!F$14^2)</f>
        <v>139.57693767392368</v>
      </c>
      <c r="AF6" s="11">
        <f>テーブル4[[#This Row],[半径方向応力:Δ0℃]]*2*寸法→圧入力!D$13^2/(寸法→圧入力!D$13^2-寸法→圧入力!F$14^2)</f>
        <v>122.12607233735757</v>
      </c>
      <c r="AG6" s="11">
        <f>テーブル4[[#This Row],[半径方向応力:Δ+10℃]]*2*寸法→圧入力!D$13^2/(寸法→圧入力!D$13^2-寸法→圧入力!F$14^2)</f>
        <v>104.67520700079146</v>
      </c>
      <c r="AH6" s="11">
        <f>テーブル4[[#This Row],[半径方向応力:Δ+20℃]]*2*寸法→圧入力!D$13^2/(寸法→圧入力!D$13^2-寸法→圧入力!F$14^2)</f>
        <v>87.224341664225321</v>
      </c>
      <c r="AI6" s="11">
        <f>テーブル4[[#This Row],[半径方向応力:Δ+30℃]]*2*寸法→圧入力!D$13^2/(寸法→圧入力!D$13^2-寸法→圧入力!F$14^2)</f>
        <v>69.773476327649377</v>
      </c>
      <c r="AJ6" s="11">
        <f>寸法→圧入力!$D$19</f>
        <v>345</v>
      </c>
      <c r="AK6" s="11">
        <f>テーブル4[[#This Row],[半径方向応力:Δ-30℃]]* (1+(寸法→圧入力!D$29/寸法→圧入力!F$28)^2)/((寸法→圧入力!D$29/寸法→圧入力!F$28)^2-1)</f>
        <v>178.51300530432499</v>
      </c>
      <c r="AL6" s="11">
        <f>テーブル4[[#This Row],[半径方向応力:Δ-20℃]]* (1+(寸法→圧入力!D$29/寸法→圧入力!F$28)^2)/((寸法→圧入力!D$29/寸法→圧入力!F$28)^2-1)</f>
        <v>160.65863693996405</v>
      </c>
      <c r="AM6" s="11">
        <f>テーブル4[[#This Row],[半径方向応力:Δ-10℃]]* (1+(寸法→圧入力!D$29/寸法→圧入力!F$28)^2)/((寸法→圧入力!D$29/寸法→圧入力!F$28)^2-1)</f>
        <v>142.8042685756032</v>
      </c>
      <c r="AN6" s="11">
        <f>テーブル4[[#This Row],[半径方向応力:Δ0℃]]* (1+(寸法→圧入力!D$29/寸法→圧入力!F$28)^2)/((寸法→圧入力!D$29/寸法→圧入力!F$28)^2-1)</f>
        <v>124.94990021124234</v>
      </c>
      <c r="AO6" s="11">
        <f>テーブル4[[#This Row],[半径方向応力:Δ+10℃]]* (1+(寸法→圧入力!D$29/寸法→圧入力!F$28)^2)/((寸法→圧入力!D$29/寸法→圧入力!F$28)^2-1)</f>
        <v>107.09553184688147</v>
      </c>
      <c r="AP6" s="11">
        <f>テーブル4[[#This Row],[半径方向応力:Δ+20℃]]* (1+(寸法→圧入力!D$29/寸法→圧入力!F$28)^2)/((寸法→圧入力!D$29/寸法→圧入力!F$28)^2-1)</f>
        <v>89.241163482520591</v>
      </c>
      <c r="AQ6" s="11">
        <f>テーブル4[[#This Row],[半径方向応力:Δ+30℃]]* (1+(寸法→圧入力!D$29/寸法→圧入力!F$28)^2)/((寸法→圧入力!D$29/寸法→圧入力!F$28)^2-1)</f>
        <v>71.386795118149664</v>
      </c>
      <c r="AR6" s="11">
        <f>寸法→圧入力!$D$34</f>
        <v>150</v>
      </c>
      <c r="AU6" s="152"/>
      <c r="AV6" s="151">
        <f>AV5+10</f>
        <v>-40</v>
      </c>
      <c r="AW6" s="160">
        <f>(寸法→圧入力!$E$72+寸法→圧入力!$D$3*((寸法→圧入力!$D$33*10^-6*(グラフ!$AV6-20))-(寸法→圧入力!$D$18*10^-6*(グラフ!AW$4-20))))*1000</f>
        <v>1.5983361280938955</v>
      </c>
      <c r="AX6" s="160">
        <f>(寸法→圧入力!$E$72+寸法→圧入力!$D$3*((寸法→圧入力!$D$33*10^-6*(グラフ!$AV6-20))-(寸法→圧入力!$D$18*10^-6*(グラフ!AX$4-20))))*1000</f>
        <v>-1.9716638719061048</v>
      </c>
      <c r="AY6" s="160">
        <f>(寸法→圧入力!$E$72+寸法→圧入力!$D$3*((寸法→圧入力!$D$33*10^-6*(グラフ!$AV6-20))-(寸法→圧入力!$D$18*10^-6*(グラフ!AY$4-20))))*1000</f>
        <v>-5.5416638719061053</v>
      </c>
      <c r="AZ6" s="160">
        <f>(寸法→圧入力!$E$72+寸法→圧入力!$D$3*((寸法→圧入力!$D$33*10^-6*(グラフ!$AV6-20))-(寸法→圧入力!$D$18*10^-6*(グラフ!AZ$4-20))))*1000</f>
        <v>-9.1116638719061047</v>
      </c>
      <c r="BA6" s="160">
        <f>(寸法→圧入力!$E$72+寸法→圧入力!$D$3*((寸法→圧入力!$D$33*10^-6*(グラフ!$AV6-20))-(寸法→圧入力!$D$18*10^-6*(グラフ!BA$4-20))))*1000</f>
        <v>-12.681663871906105</v>
      </c>
      <c r="BB6" s="160">
        <f>(寸法→圧入力!$E$72+寸法→圧入力!$D$3*((寸法→圧入力!$D$33*10^-6*(グラフ!$AV6-20))-(寸法→圧入力!$D$18*10^-6*(グラフ!BB$4-20))))*1000</f>
        <v>-16.251663871906107</v>
      </c>
      <c r="BC6" s="160">
        <f>(寸法→圧入力!$E$72+寸法→圧入力!$D$3*((寸法→圧入力!$D$33*10^-6*(グラフ!$AV6-20))-(寸法→圧入力!$D$18*10^-6*(グラフ!BC$4-20))))*1000</f>
        <v>-19.821663871906107</v>
      </c>
      <c r="BD6" s="160">
        <f>(寸法→圧入力!$E$72+寸法→圧入力!$D$3*((寸法→圧入力!$D$33*10^-6*(グラフ!$AV6-20))-(寸法→圧入力!$D$18*10^-6*(グラフ!BD$4-20))))*1000</f>
        <v>-23.391663871906104</v>
      </c>
      <c r="BE6" s="160">
        <f>(寸法→圧入力!$E$72+寸法→圧入力!$D$3*((寸法→圧入力!$D$33*10^-6*(グラフ!$AV6-20))-(寸法→圧入力!$D$18*10^-6*(グラフ!BE$4-20))))*1000</f>
        <v>-26.961663871906108</v>
      </c>
      <c r="BF6" s="160">
        <f>(寸法→圧入力!$E$72+寸法→圧入力!$D$3*((寸法→圧入力!$D$33*10^-6*(グラフ!$AV6-20))-(寸法→圧入力!$D$18*10^-6*(グラフ!BF$4-20))))*1000</f>
        <v>-30.531663871906105</v>
      </c>
      <c r="BG6" s="160">
        <f>(寸法→圧入力!$E$72+寸法→圧入力!$D$3*((寸法→圧入力!$D$33*10^-6*(グラフ!$AV6-20))-(寸法→圧入力!$D$18*10^-6*(グラフ!BG$4-20))))*1000</f>
        <v>-34.101663871906105</v>
      </c>
      <c r="BH6" s="160">
        <f>(寸法→圧入力!$E$72+寸法→圧入力!$D$3*((寸法→圧入力!$D$33*10^-6*(グラフ!$AV6-20))-(寸法→圧入力!$D$18*10^-6*(グラフ!BH$4-20))))*1000</f>
        <v>-37.671663871906098</v>
      </c>
      <c r="BI6" s="160">
        <f>(寸法→圧入力!$E$72+寸法→圧入力!$D$3*((寸法→圧入力!$D$33*10^-6*(グラフ!$AV6-20))-(寸法→圧入力!$D$18*10^-6*(グラフ!BI$4-20))))*1000</f>
        <v>-41.241663871906105</v>
      </c>
      <c r="BJ6" s="160">
        <f>(寸法→圧入力!$E$72+寸法→圧入力!$D$3*((寸法→圧入力!$D$33*10^-6*(グラフ!$AV6-20))-(寸法→圧入力!$D$18*10^-6*(グラフ!BJ$4-20))))*1000</f>
        <v>-44.811663871906113</v>
      </c>
      <c r="BK6" s="160">
        <f>(寸法→圧入力!$E$72+寸法→圧入力!$D$3*((寸法→圧入力!$D$33*10^-6*(グラフ!$AV6-20))-(寸法→圧入力!$D$18*10^-6*(グラフ!BK$4-20))))*1000</f>
        <v>-48.381663871906106</v>
      </c>
      <c r="BL6" s="160">
        <f>(寸法→圧入力!$E$72+寸法→圧入力!$D$3*((寸法→圧入力!$D$33*10^-6*(グラフ!$AV6-20))-(寸法→圧入力!$D$18*10^-6*(グラフ!BL$4-20))))*1000</f>
        <v>-51.951663871906099</v>
      </c>
      <c r="BM6" s="160">
        <f>(寸法→圧入力!$E$72+寸法→圧入力!$D$3*((寸法→圧入力!$D$33*10^-6*(グラフ!$AV6-20))-(寸法→圧入力!$D$18*10^-6*(グラフ!BM$4-20))))*1000</f>
        <v>-55.5216638719061</v>
      </c>
      <c r="BN6" s="160">
        <f>(寸法→圧入力!$E$72+寸法→圧入力!$D$3*((寸法→圧入力!$D$33*10^-6*(グラフ!$AV6-20))-(寸法→圧入力!$D$18*10^-6*(グラフ!BN$4-20))))*1000</f>
        <v>-59.091663871906107</v>
      </c>
      <c r="BO6" s="160">
        <f>(寸法→圧入力!$E$72+寸法→圧入力!$D$3*((寸法→圧入力!$D$33*10^-6*(グラフ!$AV6-20))-(寸法→圧入力!$D$18*10^-6*(グラフ!BO$4-20))))*1000</f>
        <v>-62.661663871906107</v>
      </c>
      <c r="BP6" s="160">
        <f>(寸法→圧入力!$E$72+寸法→圧入力!$D$3*((寸法→圧入力!$D$33*10^-6*(グラフ!$AV6-20))-(寸法→圧入力!$D$18*10^-6*(グラフ!BP$4-20))))*1000</f>
        <v>-66.231663871906093</v>
      </c>
      <c r="BQ6" s="160">
        <f>(寸法→圧入力!$E$72+寸法→圧入力!$D$3*((寸法→圧入力!$D$33*10^-6*(グラフ!$AV6-20))-(寸法→圧入力!$D$18*10^-6*(グラフ!BQ$4-20))))*1000</f>
        <v>-69.801663871906101</v>
      </c>
    </row>
    <row r="7" spans="1:69" x14ac:dyDescent="0.7">
      <c r="A7" s="22">
        <f t="shared" ref="A7:A38" si="1">$A$6+($A$3*(ROW(A7)-ROW($A$6)))</f>
        <v>0.01</v>
      </c>
      <c r="B7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9.8586186524371175</v>
      </c>
      <c r="C7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10.109393992012501</v>
      </c>
      <c r="D7" s="11">
        <f>(A7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10.344605808716686</v>
      </c>
      <c r="E7" s="11">
        <f>テーブル3[[#This Row],[半径方向応力min]]*寸法→圧入力!D$43*寸法→圧入力!D$5/1000</f>
        <v>1.1466011166185903</v>
      </c>
      <c r="F7" s="11">
        <f>テーブル3[[#This Row],[半径方向応力min]]*寸法→圧入力!E$43*寸法→圧入力!E$5/1000</f>
        <v>1.4640256024385596</v>
      </c>
      <c r="G7" s="11">
        <f>テーブル3[[#This Row],[半径方向応力min]]*寸法→圧入力!F$43*寸法→圧入力!F$5/1000</f>
        <v>1.7941066701665909</v>
      </c>
      <c r="H7" s="11">
        <f>寸法→圧入力!$D$19</f>
        <v>345</v>
      </c>
      <c r="I7" s="11">
        <f>寸法→圧入力!$D$34</f>
        <v>150</v>
      </c>
      <c r="J7" s="11">
        <f>テーブル3[[#This Row],[半径方向応力nor]]*2*寸法→圧入力!E$13^2/(寸法→圧入力!E$13^2-寸法→圧入力!E$14^2)</f>
        <v>26.946419757690951</v>
      </c>
      <c r="K7" s="11">
        <f>テーブル3[[#This Row],[半径方向応力nor]]* (1+(寸法→圧入力!E$29/寸法→圧入力!E$28)^2)/((寸法→圧入力!E$29/寸法→圧入力!E$28)^2-1)</f>
        <v>26.29413279534306</v>
      </c>
      <c r="N7">
        <f>N6+5</f>
        <v>-45</v>
      </c>
      <c r="O7" s="22">
        <f>寸法→圧入力!F$13*(1+寸法→圧入力!D$18*10^-6*(テーブル4[[#This Row],[inner温度'[℃']]]-20)) - 寸法→圧入力!D$28*(1+寸法→圧入力!D$33*10^-6*(テーブル4[[#This Row],[inner温度'[℃']]]+O$3-20))</f>
        <v>6.162566249999557E-2</v>
      </c>
      <c r="P7" s="22">
        <f>寸法→圧入力!F$13*(1+寸法→圧入力!D$18*10^-6*(テーブル4[[#This Row],[inner温度'[℃']]]-20)) - 寸法→圧入力!D$28*(1+寸法→圧入力!D$33*10^-6*(テーブル4[[#This Row],[inner温度'[℃']]]+P$3-20))</f>
        <v>5.5325662499999595E-2</v>
      </c>
      <c r="Q7" s="22">
        <f>寸法→圧入力!F$13*(1+寸法→圧入力!D$18*10^-6*(テーブル4[[#This Row],[inner温度'[℃']]]-20)) - 寸法→圧入力!D$28*(1+寸法→圧入力!D$33*10^-6*(テーブル4[[#This Row],[inner温度'[℃']]]+Q$3-20))</f>
        <v>4.9025662499996514E-2</v>
      </c>
      <c r="R7" s="22">
        <f>寸法→圧入力!F$13*(1+寸法→圧入力!D$18*10^-6*(テーブル4[[#This Row],[inner温度'[℃']]]-20)) - 寸法→圧入力!D$28*(1+寸法→圧入力!D$33*10^-6*(テーブル4[[#This Row],[inner温度'[℃']]]+R$3-20))</f>
        <v>4.2725662499996986E-2</v>
      </c>
      <c r="S7" s="22">
        <f>寸法→圧入力!F$13*(1+寸法→圧入力!D$18*10^-6*(テーブル4[[#This Row],[inner温度'[℃']]]-20)) - 寸法→圧入力!D$28*(1+寸法→圧入力!D$33*10^-6*(テーブル4[[#This Row],[inner温度'[℃']]]+S$3-20))</f>
        <v>3.6425662499997458E-2</v>
      </c>
      <c r="T7" s="22">
        <f>寸法→圧入力!F$13*(1+寸法→圧入力!D$18*10^-6*(テーブル4[[#This Row],[inner温度'[℃']]]-20)) - 寸法→圧入力!D$28*(1+寸法→圧入力!D$33*10^-6*(テーブル4[[#This Row],[inner温度'[℃']]]+T$3-20))</f>
        <v>3.0125662499997929E-2</v>
      </c>
      <c r="U7" s="22">
        <f>寸法→圧入力!F$13*(1+寸法→圧入力!D$18*10^-6*(テーブル4[[#This Row],[inner温度'[℃']]]-20)) - 寸法→圧入力!D$28*(1+寸法→圧入力!D$33*10^-6*(テーブル4[[#This Row],[inner温度'[℃']]]+U$3-20))</f>
        <v>2.3825662499998401E-2</v>
      </c>
      <c r="V7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63.74931862634682</v>
      </c>
      <c r="W7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57.232216966859468</v>
      </c>
      <c r="X7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50.715115307364769</v>
      </c>
      <c r="Y7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44.198013647873751</v>
      </c>
      <c r="Z7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37.680911988382725</v>
      </c>
      <c r="AA7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31.163810328891699</v>
      </c>
      <c r="AB7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24.646708669400677</v>
      </c>
      <c r="AC7" s="11">
        <f>テーブル4[[#This Row],[半径方向応力:Δ-30℃]]*2*寸法→圧入力!D$13^2/(寸法→圧入力!D$13^2-寸法→圧入力!F$14^2)</f>
        <v>170.70176786732947</v>
      </c>
      <c r="AD7" s="11">
        <f>テーブル4[[#This Row],[半径方向応力:Δ-20℃]]*2*寸法→圧入力!D$13^2/(寸法→圧入力!D$13^2-寸法→圧入力!F$14^2)</f>
        <v>153.25090253077315</v>
      </c>
      <c r="AE7" s="11">
        <f>テーブル4[[#This Row],[半径方向応力:Δ-10℃]]*2*寸法→圧入力!D$13^2/(寸法→圧入力!D$13^2-寸法→圧入力!F$14^2)</f>
        <v>135.80003719419722</v>
      </c>
      <c r="AF7" s="11">
        <f>テーブル4[[#This Row],[半径方向応力:Δ0℃]]*2*寸法→圧入力!D$13^2/(寸法→圧入力!D$13^2-寸法→圧入力!F$14^2)</f>
        <v>118.34917185763111</v>
      </c>
      <c r="AG7" s="11">
        <f>テーブル4[[#This Row],[半径方向応力:Δ+10℃]]*2*寸法→圧入力!D$13^2/(寸法→圧入力!D$13^2-寸法→圧入力!F$14^2)</f>
        <v>100.89830652106498</v>
      </c>
      <c r="AH7" s="11">
        <f>テーブル4[[#This Row],[半径方向応力:Δ+20℃]]*2*寸法→圧入力!D$13^2/(寸法→圧入力!D$13^2-寸法→圧入力!F$14^2)</f>
        <v>83.447441184498871</v>
      </c>
      <c r="AI7" s="11">
        <f>テーブル4[[#This Row],[半径方向応力:Δ+30℃]]*2*寸法→圧入力!D$13^2/(寸法→圧入力!D$13^2-寸法→圧入力!F$14^2)</f>
        <v>65.99657584793276</v>
      </c>
      <c r="AJ7" s="11">
        <f>寸法→圧入力!$D$19</f>
        <v>345</v>
      </c>
      <c r="AK7" s="11">
        <f>テーブル4[[#This Row],[半径方向応力:Δ-30℃]]* (1+(寸法→圧入力!D$29/寸法→圧入力!F$28)^2)/((寸法→圧入力!D$29/寸法→圧入力!F$28)^2-1)</f>
        <v>174.64877444012433</v>
      </c>
      <c r="AL7" s="11">
        <f>テーブル4[[#This Row],[半径方向応力:Δ-20℃]]* (1+(寸法→圧入力!D$29/寸法→圧入力!F$28)^2)/((寸法→圧入力!D$29/寸法→圧入力!F$28)^2-1)</f>
        <v>156.79440607577351</v>
      </c>
      <c r="AM7" s="11">
        <f>テーブル4[[#This Row],[半径方向応力:Δ-10℃]]* (1+(寸法→圧入力!D$29/寸法→圧入力!F$28)^2)/((寸法→圧入力!D$29/寸法→圧入力!F$28)^2-1)</f>
        <v>138.94003771140257</v>
      </c>
      <c r="AN7" s="11">
        <f>テーブル4[[#This Row],[半径方向応力:Δ0℃]]* (1+(寸法→圧入力!D$29/寸法→圧入力!F$28)^2)/((寸法→圧入力!D$29/寸法→圧入力!F$28)^2-1)</f>
        <v>121.08566934704173</v>
      </c>
      <c r="AO7" s="11">
        <f>テーブル4[[#This Row],[半径方向応力:Δ+10℃]]* (1+(寸法→圧入力!D$29/寸法→圧入力!F$28)^2)/((寸法→圧入力!D$29/寸法→圧入力!F$28)^2-1)</f>
        <v>103.23130098268085</v>
      </c>
      <c r="AP7" s="11">
        <f>テーブル4[[#This Row],[半径方向応力:Δ+20℃]]* (1+(寸法→圧入力!D$29/寸法→圧入力!F$28)^2)/((寸法→圧入力!D$29/寸法→圧入力!F$28)^2-1)</f>
        <v>85.376932618319984</v>
      </c>
      <c r="AQ7" s="11">
        <f>テーブル4[[#This Row],[半径方向応力:Δ+30℃]]* (1+(寸法→圧入力!D$29/寸法→圧入力!F$28)^2)/((寸法→圧入力!D$29/寸法→圧入力!F$28)^2-1)</f>
        <v>67.522564253959118</v>
      </c>
      <c r="AR7" s="11">
        <f>寸法→圧入力!$D$34</f>
        <v>150</v>
      </c>
      <c r="AU7" s="152"/>
      <c r="AV7" s="151">
        <f t="shared" ref="AV7:AV25" si="2">AV6+10</f>
        <v>-30</v>
      </c>
      <c r="AW7" s="160">
        <f>(寸法→圧入力!$E$72+寸法→圧入力!$D$3*((寸法→圧入力!$D$33*10^-6*(グラフ!$AV7-20))-(寸法→圧入力!$D$18*10^-6*(グラフ!AW$4-20))))*1000</f>
        <v>7.8983361280938924</v>
      </c>
      <c r="AX7" s="160">
        <f>(寸法→圧入力!$E$72+寸法→圧入力!$D$3*((寸法→圧入力!$D$33*10^-6*(グラフ!$AV7-20))-(寸法→圧入力!$D$18*10^-6*(グラフ!AX$4-20))))*1000</f>
        <v>4.3283361280938921</v>
      </c>
      <c r="AY7" s="160">
        <f>(寸法→圧入力!$E$72+寸法→圧入力!$D$3*((寸法→圧入力!$D$33*10^-6*(グラフ!$AV7-20))-(寸法→圧入力!$D$18*10^-6*(グラフ!AY$4-20))))*1000</f>
        <v>0.75833612809388973</v>
      </c>
      <c r="AZ7" s="160">
        <f>(寸法→圧入力!$E$72+寸法→圧入力!$D$3*((寸法→圧入力!$D$33*10^-6*(グラフ!$AV7-20))-(寸法→圧入力!$D$18*10^-6*(グラフ!AZ$4-20))))*1000</f>
        <v>-2.8116638719061089</v>
      </c>
      <c r="BA7" s="160">
        <f>(寸法→圧入力!$E$72+寸法→圧入力!$D$3*((寸法→圧入力!$D$33*10^-6*(グラフ!$AV7-20))-(寸法→圧入力!$D$18*10^-6*(グラフ!BA$4-20))))*1000</f>
        <v>-6.3816638719061087</v>
      </c>
      <c r="BB7" s="160">
        <f>(寸法→圧入力!$E$72+寸法→圧入力!$D$3*((寸法→圧入力!$D$33*10^-6*(グラフ!$AV7-20))-(寸法→圧入力!$D$18*10^-6*(グラフ!BB$4-20))))*1000</f>
        <v>-9.9516638719061099</v>
      </c>
      <c r="BC7" s="160">
        <f>(寸法→圧入力!$E$72+寸法→圧入力!$D$3*((寸法→圧入力!$D$33*10^-6*(グラフ!$AV7-20))-(寸法→圧入力!$D$18*10^-6*(グラフ!BC$4-20))))*1000</f>
        <v>-13.52166387190611</v>
      </c>
      <c r="BD7" s="160">
        <f>(寸法→圧入力!$E$72+寸法→圧入力!$D$3*((寸法→圧入力!$D$33*10^-6*(グラフ!$AV7-20))-(寸法→圧入力!$D$18*10^-6*(グラフ!BD$4-20))))*1000</f>
        <v>-17.09166387190611</v>
      </c>
      <c r="BE7" s="160">
        <f>(寸法→圧入力!$E$72+寸法→圧入力!$D$3*((寸法→圧入力!$D$33*10^-6*(グラフ!$AV7-20))-(寸法→圧入力!$D$18*10^-6*(グラフ!BE$4-20))))*1000</f>
        <v>-20.661663871906107</v>
      </c>
      <c r="BF7" s="160">
        <f>(寸法→圧入力!$E$72+寸法→圧入力!$D$3*((寸法→圧入力!$D$33*10^-6*(グラフ!$AV7-20))-(寸法→圧入力!$D$18*10^-6*(グラフ!BF$4-20))))*1000</f>
        <v>-24.231663871906104</v>
      </c>
      <c r="BG7" s="160">
        <f>(寸法→圧入力!$E$72+寸法→圧入力!$D$3*((寸法→圧入力!$D$33*10^-6*(グラフ!$AV7-20))-(寸法→圧入力!$D$18*10^-6*(グラフ!BG$4-20))))*1000</f>
        <v>-27.801663871906108</v>
      </c>
      <c r="BH7" s="160">
        <f>(寸法→圧入力!$E$72+寸法→圧入力!$D$3*((寸法→圧入力!$D$33*10^-6*(グラフ!$AV7-20))-(寸法→圧入力!$D$18*10^-6*(グラフ!BH$4-20))))*1000</f>
        <v>-31.371663871906112</v>
      </c>
      <c r="BI7" s="160">
        <f>(寸法→圧入力!$E$72+寸法→圧入力!$D$3*((寸法→圧入力!$D$33*10^-6*(グラフ!$AV7-20))-(寸法→圧入力!$D$18*10^-6*(グラフ!BI$4-20))))*1000</f>
        <v>-34.941663871906101</v>
      </c>
      <c r="BJ7" s="160">
        <f>(寸法→圧入力!$E$72+寸法→圧入力!$D$3*((寸法→圧入力!$D$33*10^-6*(グラフ!$AV7-20))-(寸法→圧入力!$D$18*10^-6*(グラフ!BJ$4-20))))*1000</f>
        <v>-38.511663871906102</v>
      </c>
      <c r="BK7" s="160">
        <f>(寸法→圧入力!$E$72+寸法→圧入力!$D$3*((寸法→圧入力!$D$33*10^-6*(グラフ!$AV7-20))-(寸法→圧入力!$D$18*10^-6*(グラフ!BK$4-20))))*1000</f>
        <v>-42.081663871906109</v>
      </c>
      <c r="BL7" s="160">
        <f>(寸法→圧入力!$E$72+寸法→圧入力!$D$3*((寸法→圧入力!$D$33*10^-6*(グラフ!$AV7-20))-(寸法→圧入力!$D$18*10^-6*(グラフ!BL$4-20))))*1000</f>
        <v>-45.651663871906102</v>
      </c>
      <c r="BM7" s="160">
        <f>(寸法→圧入力!$E$72+寸法→圧入力!$D$3*((寸法→圧入力!$D$33*10^-6*(グラフ!$AV7-20))-(寸法→圧入力!$D$18*10^-6*(グラフ!BM$4-20))))*1000</f>
        <v>-49.221663871906102</v>
      </c>
      <c r="BN7" s="160">
        <f>(寸法→圧入力!$E$72+寸法→圧入力!$D$3*((寸法→圧入力!$D$33*10^-6*(グラフ!$AV7-20))-(寸法→圧入力!$D$18*10^-6*(グラフ!BN$4-20))))*1000</f>
        <v>-52.791663871906103</v>
      </c>
      <c r="BO7" s="160">
        <f>(寸法→圧入力!$E$72+寸法→圧入力!$D$3*((寸法→圧入力!$D$33*10^-6*(グラフ!$AV7-20))-(寸法→圧入力!$D$18*10^-6*(グラフ!BO$4-20))))*1000</f>
        <v>-56.36166387190611</v>
      </c>
      <c r="BP7" s="160">
        <f>(寸法→圧入力!$E$72+寸法→圧入力!$D$3*((寸法→圧入力!$D$33*10^-6*(グラフ!$AV7-20))-(寸法→圧入力!$D$18*10^-6*(グラフ!BP$4-20))))*1000</f>
        <v>-59.93166387190611</v>
      </c>
      <c r="BQ7" s="160">
        <f>(寸法→圧入力!$E$72+寸法→圧入力!$D$3*((寸法→圧入力!$D$33*10^-6*(グラフ!$AV7-20))-(寸法→圧入力!$D$18*10^-6*(グラフ!BQ$4-20))))*1000</f>
        <v>-63.501663871906104</v>
      </c>
    </row>
    <row r="8" spans="1:69" x14ac:dyDescent="0.7">
      <c r="A8" s="22">
        <f t="shared" si="1"/>
        <v>0.02</v>
      </c>
      <c r="B8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19.717237304874235</v>
      </c>
      <c r="C8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20.218787984025003</v>
      </c>
      <c r="D8" s="11">
        <f>(A8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20.689211617433372</v>
      </c>
      <c r="E8" s="11">
        <f>テーブル3[[#This Row],[半径方向応力min]]*寸法→圧入力!D$43*寸法→圧入力!D$5/1000</f>
        <v>2.2932022332371806</v>
      </c>
      <c r="F8" s="11">
        <f>テーブル3[[#This Row],[半径方向応力min]]*寸法→圧入力!E$43*寸法→圧入力!E$5/1000</f>
        <v>2.9280512048771192</v>
      </c>
      <c r="G8" s="11">
        <f>テーブル3[[#This Row],[半径方向応力min]]*寸法→圧入力!F$43*寸法→圧入力!F$5/1000</f>
        <v>3.5882133403331817</v>
      </c>
      <c r="H8" s="11">
        <f>寸法→圧入力!$D$19</f>
        <v>345</v>
      </c>
      <c r="I8" s="11">
        <f>寸法→圧入力!$D$34</f>
        <v>150</v>
      </c>
      <c r="J8" s="11">
        <f>テーブル3[[#This Row],[半径方向応力nor]]*2*寸法→圧入力!E$13^2/(寸法→圧入力!E$13^2-寸法→圧入力!E$14^2)</f>
        <v>53.892839515381901</v>
      </c>
      <c r="K8" s="11">
        <f>テーブル3[[#This Row],[半径方向応力nor]]* (1+(寸法→圧入力!E$29/寸法→圧入力!E$28)^2)/((寸法→圧入力!E$29/寸法→圧入力!E$28)^2-1)</f>
        <v>52.58826559068612</v>
      </c>
      <c r="N8">
        <f t="shared" ref="N8:N56" si="3">N7+5</f>
        <v>-40</v>
      </c>
      <c r="O8" s="22">
        <f>寸法→圧入力!F$13*(1+寸法→圧入力!D$18*10^-6*(テーブル4[[#This Row],[inner温度'[℃']]]-20)) - 寸法→圧入力!D$28*(1+寸法→圧入力!D$33*10^-6*(テーブル4[[#This Row],[inner温度'[℃']]]+O$3-20))</f>
        <v>6.0262149999999792E-2</v>
      </c>
      <c r="P8" s="22">
        <f>寸法→圧入力!F$13*(1+寸法→圧入力!D$18*10^-6*(テーブル4[[#This Row],[inner温度'[℃']]]-20)) - 寸法→圧入力!D$28*(1+寸法→圧入力!D$33*10^-6*(テーブル4[[#This Row],[inner温度'[℃']]]+P$3-20))</f>
        <v>5.3962150000000264E-2</v>
      </c>
      <c r="Q8" s="22">
        <f>寸法→圧入力!F$13*(1+寸法→圧入力!D$18*10^-6*(テーブル4[[#This Row],[inner温度'[℃']]]-20)) - 寸法→圧入力!D$28*(1+寸法→圧入力!D$33*10^-6*(テーブル4[[#This Row],[inner温度'[℃']]]+Q$3-20))</f>
        <v>4.7662150000000736E-2</v>
      </c>
      <c r="R8" s="22">
        <f>寸法→圧入力!F$13*(1+寸法→圧入力!D$18*10^-6*(テーブル4[[#This Row],[inner温度'[℃']]]-20)) - 寸法→圧入力!D$28*(1+寸法→圧入力!D$33*10^-6*(テーブル4[[#This Row],[inner温度'[℃']]]+R$3-20))</f>
        <v>4.1362150000001208E-2</v>
      </c>
      <c r="S8" s="22">
        <f>寸法→圧入力!F$13*(1+寸法→圧入力!D$18*10^-6*(テーブル4[[#This Row],[inner温度'[℃']]]-20)) - 寸法→圧入力!D$28*(1+寸法→圧入力!D$33*10^-6*(テーブル4[[#This Row],[inner温度'[℃']]]+S$3-20))</f>
        <v>3.5062150000001679E-2</v>
      </c>
      <c r="T8" s="22">
        <f>寸法→圧入力!F$13*(1+寸法→圧入力!D$18*10^-6*(テーブル4[[#This Row],[inner温度'[℃']]]-20)) - 寸法→圧入力!D$28*(1+寸法→圧入力!D$33*10^-6*(テーブル4[[#This Row],[inner温度'[℃']]]+T$3-20))</f>
        <v>2.8762149999998599E-2</v>
      </c>
      <c r="U8" s="22">
        <f>寸法→圧入力!F$13*(1+寸法→圧入力!D$18*10^-6*(テーブル4[[#This Row],[inner温度'[℃']]]-20)) - 寸法→圧入力!D$28*(1+寸法→圧入力!D$33*10^-6*(テーブル4[[#This Row],[inner温度'[℃']]]+U$3-20))</f>
        <v>2.2462150000002623E-2</v>
      </c>
      <c r="V8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62.338818693575412</v>
      </c>
      <c r="W8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55.821717034084379</v>
      </c>
      <c r="X8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49.304615374593354</v>
      </c>
      <c r="Y8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42.787513715102335</v>
      </c>
      <c r="Z8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36.27041205561131</v>
      </c>
      <c r="AA8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29.753310396116614</v>
      </c>
      <c r="AB8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23.236208736629262</v>
      </c>
      <c r="AC8" s="11">
        <f>テーブル4[[#This Row],[半径方向応力:Δ-30℃]]*2*寸法→圧入力!D$13^2/(寸法→圧入力!D$13^2-寸法→圧入力!F$14^2)</f>
        <v>166.9248673876227</v>
      </c>
      <c r="AD8" s="11">
        <f>テーブル4[[#This Row],[半径方向応力:Δ-20℃]]*2*寸法→圧入力!D$13^2/(寸法→圧入力!D$13^2-寸法→圧入力!F$14^2)</f>
        <v>149.47400205105654</v>
      </c>
      <c r="AE8" s="11">
        <f>テーブル4[[#This Row],[半径方向応力:Δ-10℃]]*2*寸法→圧入力!D$13^2/(寸法→圧入力!D$13^2-寸法→圧入力!F$14^2)</f>
        <v>132.02313671449042</v>
      </c>
      <c r="AF8" s="11">
        <f>テーブル4[[#This Row],[半径方向応力:Δ0℃]]*2*寸法→圧入力!D$13^2/(寸法→圧入力!D$13^2-寸法→圧入力!F$14^2)</f>
        <v>114.57227137792434</v>
      </c>
      <c r="AG8" s="11">
        <f>テーブル4[[#This Row],[半径方向応力:Δ+10℃]]*2*寸法→圧入力!D$13^2/(寸法→圧入力!D$13^2-寸法→圧入力!F$14^2)</f>
        <v>97.121406041358199</v>
      </c>
      <c r="AH8" s="11">
        <f>テーブル4[[#This Row],[半径方向応力:Δ+20℃]]*2*寸法→圧入力!D$13^2/(寸法→圧入力!D$13^2-寸法→圧入力!F$14^2)</f>
        <v>79.670540704782255</v>
      </c>
      <c r="AI8" s="11">
        <f>テーブル4[[#This Row],[半径方向応力:Δ+30℃]]*2*寸法→圧入力!D$13^2/(寸法→圧入力!D$13^2-寸法→圧入力!F$14^2)</f>
        <v>62.219675368225978</v>
      </c>
      <c r="AJ8" s="11">
        <f>寸法→圧入力!$D$19</f>
        <v>345</v>
      </c>
      <c r="AK8" s="11">
        <f>テーブル4[[#This Row],[半径方向応力:Δ-30℃]]* (1+(寸法→圧入力!D$29/寸法→圧入力!F$28)^2)/((寸法→圧入力!D$29/寸法→圧入力!F$28)^2-1)</f>
        <v>170.78454357594384</v>
      </c>
      <c r="AL8" s="11">
        <f>テーブル4[[#This Row],[半径方向応力:Δ-20℃]]* (1+(寸法→圧入力!D$29/寸法→圧入力!F$28)^2)/((寸法→圧入力!D$29/寸法→圧入力!F$28)^2-1)</f>
        <v>152.93017521158296</v>
      </c>
      <c r="AM8" s="11">
        <f>テーブル4[[#This Row],[半径方向応力:Δ-10℃]]* (1+(寸法→圧入力!D$29/寸法→圧入力!F$28)^2)/((寸法→圧入力!D$29/寸法→圧入力!F$28)^2-1)</f>
        <v>135.07580684722208</v>
      </c>
      <c r="AN8" s="11">
        <f>テーブル4[[#This Row],[半径方向応力:Δ0℃]]* (1+(寸法→圧入力!D$29/寸法→圧入力!F$28)^2)/((寸法→圧入力!D$29/寸法→圧入力!F$28)^2-1)</f>
        <v>117.22143848286125</v>
      </c>
      <c r="AO8" s="11">
        <f>テーブル4[[#This Row],[半径方向応力:Δ+10℃]]* (1+(寸法→圧入力!D$29/寸法→圧入力!F$28)^2)/((寸法→圧入力!D$29/寸法→圧入力!F$28)^2-1)</f>
        <v>99.367070118500365</v>
      </c>
      <c r="AP8" s="11">
        <f>テーブル4[[#This Row],[半径方向応力:Δ+20℃]]* (1+(寸法→圧入力!D$29/寸法→圧入力!F$28)^2)/((寸法→圧入力!D$29/寸法→圧入力!F$28)^2-1)</f>
        <v>81.512701754129438</v>
      </c>
      <c r="AQ8" s="11">
        <f>テーブル4[[#This Row],[半径方向応力:Δ+30℃]]* (1+(寸法→圧入力!D$29/寸法→圧入力!F$28)^2)/((寸法→圧入力!D$29/寸法→圧入力!F$28)^2-1)</f>
        <v>63.658333389778633</v>
      </c>
      <c r="AR8" s="11">
        <f>寸法→圧入力!$D$34</f>
        <v>150</v>
      </c>
      <c r="AU8" s="152"/>
      <c r="AV8" s="151">
        <f t="shared" si="2"/>
        <v>-20</v>
      </c>
      <c r="AW8" s="160">
        <f>(寸法→圧入力!$E$72+寸法→圧入力!$D$3*((寸法→圧入力!$D$33*10^-6*(グラフ!$AV8-20))-(寸法→圧入力!$D$18*10^-6*(グラフ!AW$4-20))))*1000</f>
        <v>14.198336128093892</v>
      </c>
      <c r="AX8" s="160">
        <f>(寸法→圧入力!$E$72+寸法→圧入力!$D$3*((寸法→圧入力!$D$33*10^-6*(グラフ!$AV8-20))-(寸法→圧入力!$D$18*10^-6*(グラフ!AX$4-20))))*1000</f>
        <v>10.628336128093892</v>
      </c>
      <c r="AY8" s="160">
        <f>(寸法→圧入力!$E$72+寸法→圧入力!$D$3*((寸法→圧入力!$D$33*10^-6*(グラフ!$AV8-20))-(寸法→圧入力!$D$18*10^-6*(グラフ!AY$4-20))))*1000</f>
        <v>7.0583361280938908</v>
      </c>
      <c r="AZ8" s="160">
        <f>(寸法→圧入力!$E$72+寸法→圧入力!$D$3*((寸法→圧入力!$D$33*10^-6*(グラフ!$AV8-20))-(寸法→圧入力!$D$18*10^-6*(グラフ!AZ$4-20))))*1000</f>
        <v>3.4883361280938914</v>
      </c>
      <c r="BA8" s="160">
        <f>(寸法→圧入力!$E$72+寸法→圧入力!$D$3*((寸法→圧入力!$D$33*10^-6*(グラフ!$AV8-20))-(寸法→圧入力!$D$18*10^-6*(グラフ!BA$4-20))))*1000</f>
        <v>-8.1663871906107258E-2</v>
      </c>
      <c r="BB8" s="160">
        <f>(寸法→圧入力!$E$72+寸法→圧入力!$D$3*((寸法→圧入力!$D$33*10^-6*(グラフ!$AV8-20))-(寸法→圧入力!$D$18*10^-6*(グラフ!BB$4-20))))*1000</f>
        <v>-3.6516638719061056</v>
      </c>
      <c r="BC8" s="160">
        <f>(寸法→圧入力!$E$72+寸法→圧入力!$D$3*((寸法→圧入力!$D$33*10^-6*(グラフ!$AV8-20))-(寸法→圧入力!$D$18*10^-6*(グラフ!BC$4-20))))*1000</f>
        <v>-7.2216638719061095</v>
      </c>
      <c r="BD8" s="160">
        <f>(寸法→圧入力!$E$72+寸法→圧入力!$D$3*((寸法→圧入力!$D$33*10^-6*(グラフ!$AV8-20))-(寸法→圧入力!$D$18*10^-6*(グラフ!BD$4-20))))*1000</f>
        <v>-10.791663871906106</v>
      </c>
      <c r="BE8" s="160">
        <f>(寸法→圧入力!$E$72+寸法→圧入力!$D$3*((寸法→圧入力!$D$33*10^-6*(グラフ!$AV8-20))-(寸法→圧入力!$D$18*10^-6*(グラフ!BE$4-20))))*1000</f>
        <v>-14.361663871906106</v>
      </c>
      <c r="BF8" s="160">
        <f>(寸法→圧入力!$E$72+寸法→圧入力!$D$3*((寸法→圧入力!$D$33*10^-6*(グラフ!$AV8-20))-(寸法→圧入力!$D$18*10^-6*(グラフ!BF$4-20))))*1000</f>
        <v>-17.93166387190611</v>
      </c>
      <c r="BG8" s="160">
        <f>(寸法→圧入力!$E$72+寸法→圧入力!$D$3*((寸法→圧入力!$D$33*10^-6*(グラフ!$AV8-20))-(寸法→圧入力!$D$18*10^-6*(グラフ!BG$4-20))))*1000</f>
        <v>-21.501663871906107</v>
      </c>
      <c r="BH8" s="160">
        <f>(寸法→圧入力!$E$72+寸法→圧入力!$D$3*((寸法→圧入力!$D$33*10^-6*(グラフ!$AV8-20))-(寸法→圧入力!$D$18*10^-6*(グラフ!BH$4-20))))*1000</f>
        <v>-25.071663871906104</v>
      </c>
      <c r="BI8" s="160">
        <f>(寸法→圧入力!$E$72+寸法→圧入力!$D$3*((寸法→圧入力!$D$33*10^-6*(グラフ!$AV8-20))-(寸法→圧入力!$D$18*10^-6*(グラフ!BI$4-20))))*1000</f>
        <v>-28.641663871906108</v>
      </c>
      <c r="BJ8" s="160">
        <f>(寸法→圧入力!$E$72+寸法→圧入力!$D$3*((寸法→圧入力!$D$33*10^-6*(グラフ!$AV8-20))-(寸法→圧入力!$D$18*10^-6*(グラフ!BJ$4-20))))*1000</f>
        <v>-32.211663871906104</v>
      </c>
      <c r="BK8" s="160">
        <f>(寸法→圧入力!$E$72+寸法→圧入力!$D$3*((寸法→圧入力!$D$33*10^-6*(グラフ!$AV8-20))-(寸法→圧入力!$D$18*10^-6*(グラフ!BK$4-20))))*1000</f>
        <v>-35.781663871906105</v>
      </c>
      <c r="BL8" s="160">
        <f>(寸法→圧入力!$E$72+寸法→圧入力!$D$3*((寸法→圧入力!$D$33*10^-6*(グラフ!$AV8-20))-(寸法→圧入力!$D$18*10^-6*(グラフ!BL$4-20))))*1000</f>
        <v>-39.351663871906105</v>
      </c>
      <c r="BM8" s="160">
        <f>(寸法→圧入力!$E$72+寸法→圧入力!$D$3*((寸法→圧入力!$D$33*10^-6*(グラフ!$AV8-20))-(寸法→圧入力!$D$18*10^-6*(グラフ!BM$4-20))))*1000</f>
        <v>-42.921663871906105</v>
      </c>
      <c r="BN8" s="160">
        <f>(寸法→圧入力!$E$72+寸法→圧入力!$D$3*((寸法→圧入力!$D$33*10^-6*(グラフ!$AV8-20))-(寸法→圧入力!$D$18*10^-6*(グラフ!BN$4-20))))*1000</f>
        <v>-46.491663871906098</v>
      </c>
      <c r="BO8" s="160">
        <f>(寸法→圧入力!$E$72+寸法→圧入力!$D$3*((寸法→圧入力!$D$33*10^-6*(グラフ!$AV8-20))-(寸法→圧入力!$D$18*10^-6*(グラフ!BO$4-20))))*1000</f>
        <v>-50.061663871906106</v>
      </c>
      <c r="BP8" s="160">
        <f>(寸法→圧入力!$E$72+寸法→圧入力!$D$3*((寸法→圧入力!$D$33*10^-6*(グラフ!$AV8-20))-(寸法→圧入力!$D$18*10^-6*(グラフ!BP$4-20))))*1000</f>
        <v>-53.631663871906113</v>
      </c>
      <c r="BQ8" s="160">
        <f>(寸法→圧入力!$E$72+寸法→圧入力!$D$3*((寸法→圧入力!$D$33*10^-6*(グラフ!$AV8-20))-(寸法→圧入力!$D$18*10^-6*(グラフ!BQ$4-20))))*1000</f>
        <v>-57.201663871906099</v>
      </c>
    </row>
    <row r="9" spans="1:69" x14ac:dyDescent="0.7">
      <c r="A9" s="22">
        <f t="shared" si="1"/>
        <v>0.03</v>
      </c>
      <c r="B9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29.575855957311354</v>
      </c>
      <c r="C9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30.328181976037509</v>
      </c>
      <c r="D9" s="11">
        <f>(A9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31.033817426150058</v>
      </c>
      <c r="E9" s="11">
        <f>テーブル3[[#This Row],[半径方向応力min]]*寸法→圧入力!D$43*寸法→圧入力!D$5/1000</f>
        <v>3.4398033498557705</v>
      </c>
      <c r="F9" s="11">
        <f>テーブル3[[#This Row],[半径方向応力min]]*寸法→圧入力!E$43*寸法→圧入力!E$5/1000</f>
        <v>4.3920768073156795</v>
      </c>
      <c r="G9" s="11">
        <f>テーブル3[[#This Row],[半径方向応力min]]*寸法→圧入力!F$43*寸法→圧入力!F$5/1000</f>
        <v>5.3823200104997735</v>
      </c>
      <c r="H9" s="11">
        <f>寸法→圧入力!$D$19</f>
        <v>345</v>
      </c>
      <c r="I9" s="11">
        <f>寸法→圧入力!$D$34</f>
        <v>150</v>
      </c>
      <c r="J9" s="11">
        <f>テーブル3[[#This Row],[半径方向応力nor]]*2*寸法→圧入力!E$13^2/(寸法→圧入力!E$13^2-寸法→圧入力!E$14^2)</f>
        <v>80.839259273072884</v>
      </c>
      <c r="K9" s="11">
        <f>テーブル3[[#This Row],[半径方向応力nor]]* (1+(寸法→圧入力!E$29/寸法→圧入力!E$28)^2)/((寸法→圧入力!E$29/寸法→圧入力!E$28)^2-1)</f>
        <v>78.882398386029195</v>
      </c>
      <c r="N9">
        <f t="shared" si="3"/>
        <v>-35</v>
      </c>
      <c r="O9" s="22">
        <f>寸法→圧入力!F$13*(1+寸法→圧入力!D$18*10^-6*(テーブル4[[#This Row],[inner温度'[℃']]]-20)) - 寸法→圧入力!D$28*(1+寸法→圧入力!D$33*10^-6*(テーブル4[[#This Row],[inner温度'[℃']]]+O$3-20))</f>
        <v>5.8898637500000461E-2</v>
      </c>
      <c r="P9" s="22">
        <f>寸法→圧入力!F$13*(1+寸法→圧入力!D$18*10^-6*(テーブル4[[#This Row],[inner温度'[℃']]]-20)) - 寸法→圧入力!D$28*(1+寸法→圧入力!D$33*10^-6*(テーブル4[[#This Row],[inner温度'[℃']]]+P$3-20))</f>
        <v>5.259863749999738E-2</v>
      </c>
      <c r="Q9" s="22">
        <f>寸法→圧入力!F$13*(1+寸法→圧入力!D$18*10^-6*(テーブル4[[#This Row],[inner温度'[℃']]]-20)) - 寸法→圧入力!D$28*(1+寸法→圧入力!D$33*10^-6*(テーブル4[[#This Row],[inner温度'[℃']]]+Q$3-20))</f>
        <v>4.6298637499997852E-2</v>
      </c>
      <c r="R9" s="22">
        <f>寸法→圧入力!F$13*(1+寸法→圧入力!D$18*10^-6*(テーブル4[[#This Row],[inner温度'[℃']]]-20)) - 寸法→圧入力!D$28*(1+寸法→圧入力!D$33*10^-6*(テーブル4[[#This Row],[inner温度'[℃']]]+R$3-20))</f>
        <v>3.9998637499998324E-2</v>
      </c>
      <c r="S9" s="22">
        <f>寸法→圧入力!F$13*(1+寸法→圧入力!D$18*10^-6*(テーブル4[[#This Row],[inner温度'[℃']]]-20)) - 寸法→圧入力!D$28*(1+寸法→圧入力!D$33*10^-6*(テーブル4[[#This Row],[inner温度'[℃']]]+S$3-20))</f>
        <v>3.3698637499998796E-2</v>
      </c>
      <c r="T9" s="22">
        <f>寸法→圧入力!F$13*(1+寸法→圧入力!D$18*10^-6*(テーブル4[[#This Row],[inner温度'[℃']]]-20)) - 寸法→圧入力!D$28*(1+寸法→圧入力!D$33*10^-6*(テーブル4[[#This Row],[inner温度'[℃']]]+T$3-20))</f>
        <v>2.7398637499999268E-2</v>
      </c>
      <c r="U9" s="22">
        <f>寸法→圧入力!F$13*(1+寸法→圧入力!D$18*10^-6*(テーブル4[[#This Row],[inner温度'[℃']]]-20)) - 寸法→圧入力!D$28*(1+寸法→圧入力!D$33*10^-6*(テーブル4[[#This Row],[inner温度'[℃']]]+U$3-20))</f>
        <v>2.1098637499999739E-2</v>
      </c>
      <c r="V9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60.928318760800316</v>
      </c>
      <c r="W9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54.411217101305617</v>
      </c>
      <c r="X9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47.894115441814591</v>
      </c>
      <c r="Y9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41.377013782323566</v>
      </c>
      <c r="Z9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34.859912122832547</v>
      </c>
      <c r="AA9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28.342810463341525</v>
      </c>
      <c r="AB9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21.8257088038505</v>
      </c>
      <c r="AC9" s="11">
        <f>テーブル4[[#This Row],[半径方向応力:Δ-30℃]]*2*寸法→圧入力!D$13^2/(寸法→圧入力!D$13^2-寸法→圧入力!F$14^2)</f>
        <v>163.14796690790604</v>
      </c>
      <c r="AD9" s="11">
        <f>テーブル4[[#This Row],[半径方向応力:Δ-20℃]]*2*寸法→圧入力!D$13^2/(寸法→圧入力!D$13^2-寸法→圧入力!F$14^2)</f>
        <v>145.69710157133008</v>
      </c>
      <c r="AE9" s="11">
        <f>テーブル4[[#This Row],[半径方向応力:Δ-10℃]]*2*寸法→圧入力!D$13^2/(寸法→圧入力!D$13^2-寸法→圧入力!F$14^2)</f>
        <v>128.24623623476396</v>
      </c>
      <c r="AF9" s="11">
        <f>テーブル4[[#This Row],[半径方向応力:Δ0℃]]*2*寸法→圧入力!D$13^2/(寸法→圧入力!D$13^2-寸法→圧入力!F$14^2)</f>
        <v>110.79537089819785</v>
      </c>
      <c r="AG9" s="11">
        <f>テーブル4[[#This Row],[半径方向応力:Δ+10℃]]*2*寸法→圧入力!D$13^2/(寸法→圧入力!D$13^2-寸法→圧入力!F$14^2)</f>
        <v>93.344505561631749</v>
      </c>
      <c r="AH9" s="11">
        <f>テーブル4[[#This Row],[半径方向応力:Δ+20℃]]*2*寸法→圧入力!D$13^2/(寸法→圧入力!D$13^2-寸法→圧入力!F$14^2)</f>
        <v>75.893640225065639</v>
      </c>
      <c r="AI9" s="11">
        <f>テーブル4[[#This Row],[半径方向応力:Δ+30℃]]*2*寸法→圧入力!D$13^2/(寸法→圧入力!D$13^2-寸法→圧入力!F$14^2)</f>
        <v>58.442774888499521</v>
      </c>
      <c r="AJ9" s="11">
        <f>寸法→圧入力!$D$19</f>
        <v>345</v>
      </c>
      <c r="AK9" s="11">
        <f>テーブル4[[#This Row],[半径方向応力:Δ-30℃]]* (1+(寸法→圧入力!D$29/寸法→圧入力!F$28)^2)/((寸法→圧入力!D$29/寸法→圧入力!F$28)^2-1)</f>
        <v>166.92031271175327</v>
      </c>
      <c r="AL9" s="11">
        <f>テーブル4[[#This Row],[半径方向応力:Δ-20℃]]* (1+(寸法→圧入力!D$29/寸法→圧入力!F$28)^2)/((寸法→圧入力!D$29/寸法→圧入力!F$28)^2-1)</f>
        <v>149.06594434738233</v>
      </c>
      <c r="AM9" s="11">
        <f>テーブル4[[#This Row],[半径方向応力:Δ-10℃]]* (1+(寸法→圧入力!D$29/寸法→圧入力!F$28)^2)/((寸法→圧入力!D$29/寸法→圧入力!F$28)^2-1)</f>
        <v>131.21157598302148</v>
      </c>
      <c r="AN9" s="11">
        <f>テーブル4[[#This Row],[半径方向応力:Δ0℃]]* (1+(寸法→圧入力!D$29/寸法→圧入力!F$28)^2)/((寸法→圧入力!D$29/寸法→圧入力!F$28)^2-1)</f>
        <v>113.35720761866061</v>
      </c>
      <c r="AO9" s="11">
        <f>テーブル4[[#This Row],[半径方向応力:Δ+10℃]]* (1+(寸法→圧入力!D$29/寸法→圧入力!F$28)^2)/((寸法→圧入力!D$29/寸法→圧入力!F$28)^2-1)</f>
        <v>95.502839254299744</v>
      </c>
      <c r="AP9" s="11">
        <f>テーブル4[[#This Row],[半径方向応力:Δ+20℃]]* (1+(寸法→圧入力!D$29/寸法→圧入力!F$28)^2)/((寸法→圧入力!D$29/寸法→圧入力!F$28)^2-1)</f>
        <v>77.648470889938892</v>
      </c>
      <c r="AQ9" s="11">
        <f>テーブル4[[#This Row],[半径方向応力:Δ+30℃]]* (1+(寸法→圧入力!D$29/寸法→圧入力!F$28)^2)/((寸法→圧入力!D$29/寸法→圧入力!F$28)^2-1)</f>
        <v>59.794102525578012</v>
      </c>
      <c r="AR9" s="11">
        <f>寸法→圧入力!$D$34</f>
        <v>150</v>
      </c>
      <c r="AU9" s="152"/>
      <c r="AV9" s="151">
        <f t="shared" si="2"/>
        <v>-10</v>
      </c>
      <c r="AW9" s="160">
        <f>(寸法→圧入力!$E$72+寸法→圧入力!$D$3*((寸法→圧入力!$D$33*10^-6*(グラフ!$AV9-20))-(寸法→圧入力!$D$18*10^-6*(グラフ!AW$4-20))))*1000</f>
        <v>20.498336128093893</v>
      </c>
      <c r="AX9" s="160">
        <f>(寸法→圧入力!$E$72+寸法→圧入力!$D$3*((寸法→圧入力!$D$33*10^-6*(グラフ!$AV9-20))-(寸法→圧入力!$D$18*10^-6*(グラフ!AX$4-20))))*1000</f>
        <v>16.928336128093893</v>
      </c>
      <c r="AY9" s="160">
        <f>(寸法→圧入力!$E$72+寸法→圧入力!$D$3*((寸法→圧入力!$D$33*10^-6*(グラフ!$AV9-20))-(寸法→圧入力!$D$18*10^-6*(グラフ!AY$4-20))))*1000</f>
        <v>13.358336128093892</v>
      </c>
      <c r="AZ9" s="160">
        <f>(寸法→圧入力!$E$72+寸法→圧入力!$D$3*((寸法→圧入力!$D$33*10^-6*(グラフ!$AV9-20))-(寸法→圧入力!$D$18*10^-6*(グラフ!AZ$4-20))))*1000</f>
        <v>9.7883361280938921</v>
      </c>
      <c r="BA9" s="160">
        <f>(寸法→圧入力!$E$72+寸法→圧入力!$D$3*((寸法→圧入力!$D$33*10^-6*(グラフ!$AV9-20))-(寸法→圧入力!$D$18*10^-6*(グラフ!BA$4-20))))*1000</f>
        <v>6.2183361280938927</v>
      </c>
      <c r="BB9" s="160">
        <f>(寸法→圧入力!$E$72+寸法→圧入力!$D$3*((寸法→圧入力!$D$33*10^-6*(グラフ!$AV9-20))-(寸法→圧入力!$D$18*10^-6*(グラフ!BB$4-20))))*1000</f>
        <v>2.6483361280938924</v>
      </c>
      <c r="BC9" s="160">
        <f>(寸法→圧入力!$E$72+寸法→圧入力!$D$3*((寸法→圧入力!$D$33*10^-6*(グラフ!$AV9-20))-(寸法→圧入力!$D$18*10^-6*(グラフ!BC$4-20))))*1000</f>
        <v>-0.92166387190610777</v>
      </c>
      <c r="BD9" s="160">
        <f>(寸法→圧入力!$E$72+寸法→圧入力!$D$3*((寸法→圧入力!$D$33*10^-6*(グラフ!$AV9-20))-(寸法→圧入力!$D$18*10^-6*(グラフ!BD$4-20))))*1000</f>
        <v>-4.4916638719061064</v>
      </c>
      <c r="BE9" s="160">
        <f>(寸法→圧入力!$E$72+寸法→圧入力!$D$3*((寸法→圧入力!$D$33*10^-6*(グラフ!$AV9-20))-(寸法→圧入力!$D$18*10^-6*(グラフ!BE$4-20))))*1000</f>
        <v>-8.0616638719061058</v>
      </c>
      <c r="BF9" s="160">
        <f>(寸法→圧入力!$E$72+寸法→圧入力!$D$3*((寸法→圧入力!$D$33*10^-6*(グラフ!$AV9-20))-(寸法→圧入力!$D$18*10^-6*(グラフ!BF$4-20))))*1000</f>
        <v>-11.631663871906103</v>
      </c>
      <c r="BG9" s="160">
        <f>(寸法→圧入力!$E$72+寸法→圧入力!$D$3*((寸法→圧入力!$D$33*10^-6*(グラフ!$AV9-20))-(寸法→圧入力!$D$18*10^-6*(グラフ!BG$4-20))))*1000</f>
        <v>-15.20166387190611</v>
      </c>
      <c r="BH9" s="160">
        <f>(寸法→圧入力!$E$72+寸法→圧入力!$D$3*((寸法→圧入力!$D$33*10^-6*(グラフ!$AV9-20))-(寸法→圧入力!$D$18*10^-6*(グラフ!BH$4-20))))*1000</f>
        <v>-18.771663871906103</v>
      </c>
      <c r="BI9" s="160">
        <f>(寸法→圧入力!$E$72+寸法→圧入力!$D$3*((寸法→圧入力!$D$33*10^-6*(グラフ!$AV9-20))-(寸法→圧入力!$D$18*10^-6*(グラフ!BI$4-20))))*1000</f>
        <v>-22.341663871906107</v>
      </c>
      <c r="BJ9" s="160">
        <f>(寸法→圧入力!$E$72+寸法→圧入力!$D$3*((寸法→圧入力!$D$33*10^-6*(グラフ!$AV9-20))-(寸法→圧入力!$D$18*10^-6*(グラフ!BJ$4-20))))*1000</f>
        <v>-25.911663871906104</v>
      </c>
      <c r="BK9" s="160">
        <f>(寸法→圧入力!$E$72+寸法→圧入力!$D$3*((寸法→圧入力!$D$33*10^-6*(グラフ!$AV9-20))-(寸法→圧入力!$D$18*10^-6*(グラフ!BK$4-20))))*1000</f>
        <v>-29.481663871906107</v>
      </c>
      <c r="BL9" s="160">
        <f>(寸法→圧入力!$E$72+寸法→圧入力!$D$3*((寸法→圧入力!$D$33*10^-6*(グラフ!$AV9-20))-(寸法→圧入力!$D$18*10^-6*(グラフ!BL$4-20))))*1000</f>
        <v>-33.051663871906108</v>
      </c>
      <c r="BM9" s="160">
        <f>(寸法→圧入力!$E$72+寸法→圧入力!$D$3*((寸法→圧入力!$D$33*10^-6*(グラフ!$AV9-20))-(寸法→圧入力!$D$18*10^-6*(グラフ!BM$4-20))))*1000</f>
        <v>-36.621663871906101</v>
      </c>
      <c r="BN9" s="160">
        <f>(寸法→圧入力!$E$72+寸法→圧入力!$D$3*((寸法→圧入力!$D$33*10^-6*(グラフ!$AV9-20))-(寸法→圧入力!$D$18*10^-6*(グラフ!BN$4-20))))*1000</f>
        <v>-40.191663871906108</v>
      </c>
      <c r="BO9" s="160">
        <f>(寸法→圧入力!$E$72+寸法→圧入力!$D$3*((寸法→圧入力!$D$33*10^-6*(グラフ!$AV9-20))-(寸法→圧入力!$D$18*10^-6*(グラフ!BO$4-20))))*1000</f>
        <v>-43.761663871906109</v>
      </c>
      <c r="BP9" s="160">
        <f>(寸法→圧入力!$E$72+寸法→圧入力!$D$3*((寸法→圧入力!$D$33*10^-6*(グラフ!$AV9-20))-(寸法→圧入力!$D$18*10^-6*(グラフ!BP$4-20))))*1000</f>
        <v>-47.331663871906109</v>
      </c>
      <c r="BQ9" s="160">
        <f>(寸法→圧入力!$E$72+寸法→圧入力!$D$3*((寸法→圧入力!$D$33*10^-6*(グラフ!$AV9-20))-(寸法→圧入力!$D$18*10^-6*(グラフ!BQ$4-20))))*1000</f>
        <v>-50.901663871906116</v>
      </c>
    </row>
    <row r="10" spans="1:69" x14ac:dyDescent="0.7">
      <c r="A10" s="22">
        <f t="shared" si="1"/>
        <v>0.04</v>
      </c>
      <c r="B10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39.43447460974847</v>
      </c>
      <c r="C10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40.437575968050005</v>
      </c>
      <c r="D10" s="11">
        <f>(A10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41.378423234866744</v>
      </c>
      <c r="E10" s="11">
        <f>テーブル3[[#This Row],[半径方向応力min]]*寸法→圧入力!D$43*寸法→圧入力!D$5/1000</f>
        <v>4.5864044664743613</v>
      </c>
      <c r="F10" s="11">
        <f>テーブル3[[#This Row],[半径方向応力min]]*寸法→圧入力!E$43*寸法→圧入力!E$5/1000</f>
        <v>5.8561024097542385</v>
      </c>
      <c r="G10" s="11">
        <f>テーブル3[[#This Row],[半径方向応力min]]*寸法→圧入力!F$43*寸法→圧入力!F$5/1000</f>
        <v>7.1764266806663635</v>
      </c>
      <c r="H10" s="11">
        <f>寸法→圧入力!$D$19</f>
        <v>345</v>
      </c>
      <c r="I10" s="11">
        <f>寸法→圧入力!$D$34</f>
        <v>150</v>
      </c>
      <c r="J10" s="11">
        <f>テーブル3[[#This Row],[半径方向応力nor]]*2*寸法→圧入力!E$13^2/(寸法→圧入力!E$13^2-寸法→圧入力!E$14^2)</f>
        <v>107.7856790307638</v>
      </c>
      <c r="K10" s="11">
        <f>テーブル3[[#This Row],[半径方向応力nor]]* (1+(寸法→圧入力!E$29/寸法→圧入力!E$28)^2)/((寸法→圧入力!E$29/寸法→圧入力!E$28)^2-1)</f>
        <v>105.17653118137224</v>
      </c>
      <c r="N10">
        <f t="shared" si="3"/>
        <v>-30</v>
      </c>
      <c r="O10" s="22">
        <f>寸法→圧入力!F$13*(1+寸法→圧入力!D$18*10^-6*(テーブル4[[#This Row],[inner温度'[℃']]]-20)) - 寸法→圧入力!D$28*(1+寸法→圧入力!D$33*10^-6*(テーブル4[[#This Row],[inner温度'[℃']]]+O$3-20))</f>
        <v>5.7535124999997578E-2</v>
      </c>
      <c r="P10" s="22">
        <f>寸法→圧入力!F$13*(1+寸法→圧入力!D$18*10^-6*(テーブル4[[#This Row],[inner温度'[℃']]]-20)) - 寸法→圧入力!D$28*(1+寸法→圧入力!D$33*10^-6*(テーブル4[[#This Row],[inner温度'[℃']]]+P$3-20))</f>
        <v>5.123512499999805E-2</v>
      </c>
      <c r="Q10" s="22">
        <f>寸法→圧入力!F$13*(1+寸法→圧入力!D$18*10^-6*(テーブル4[[#This Row],[inner温度'[℃']]]-20)) - 寸法→圧入力!D$28*(1+寸法→圧入力!D$33*10^-6*(テーブル4[[#This Row],[inner温度'[℃']]]+Q$3-20))</f>
        <v>4.4935124999998521E-2</v>
      </c>
      <c r="R10" s="22">
        <f>寸法→圧入力!F$13*(1+寸法→圧入力!D$18*10^-6*(テーブル4[[#This Row],[inner温度'[℃']]]-20)) - 寸法→圧入力!D$28*(1+寸法→圧入力!D$33*10^-6*(テーブル4[[#This Row],[inner温度'[℃']]]+R$3-20))</f>
        <v>3.8635124999998993E-2</v>
      </c>
      <c r="S10" s="22">
        <f>寸法→圧入力!F$13*(1+寸法→圧入力!D$18*10^-6*(テーブル4[[#This Row],[inner温度'[℃']]]-20)) - 寸法→圧入力!D$28*(1+寸法→圧入力!D$33*10^-6*(テーブル4[[#This Row],[inner温度'[℃']]]+S$3-20))</f>
        <v>3.2335124999995912E-2</v>
      </c>
      <c r="T10" s="22">
        <f>寸法→圧入力!F$13*(1+寸法→圧入力!D$18*10^-6*(テーブル4[[#This Row],[inner温度'[℃']]]-20)) - 寸法→圧入力!D$28*(1+寸法→圧入力!D$33*10^-6*(テーブル4[[#This Row],[inner温度'[℃']]]+T$3-20))</f>
        <v>2.6035124999999937E-2</v>
      </c>
      <c r="U10" s="22">
        <f>寸法→圧入力!F$13*(1+寸法→圧入力!D$18*10^-6*(テーブル4[[#This Row],[inner温度'[℃']]]-20)) - 寸法→圧入力!D$28*(1+寸法→圧入力!D$33*10^-6*(テーブル4[[#This Row],[inner温度'[℃']]]+U$3-20))</f>
        <v>1.9735124999996856E-2</v>
      </c>
      <c r="V10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59.517818828021554</v>
      </c>
      <c r="W10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53.000717168530528</v>
      </c>
      <c r="X10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46.483615509039502</v>
      </c>
      <c r="Y10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39.966513849548477</v>
      </c>
      <c r="Z10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33.449412190053785</v>
      </c>
      <c r="AA10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26.932310530566436</v>
      </c>
      <c r="AB10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20.415208871071737</v>
      </c>
      <c r="AC10" s="11">
        <f>テーブル4[[#This Row],[半径方向応力:Δ-30℃]]*2*寸法→圧入力!D$13^2/(寸法→圧入力!D$13^2-寸法→圧入力!F$14^2)</f>
        <v>159.37106642817957</v>
      </c>
      <c r="AD10" s="11">
        <f>テーブル4[[#This Row],[半径方向応力:Δ-20℃]]*2*寸法→圧入力!D$13^2/(寸法→圧入力!D$13^2-寸法→圧入力!F$14^2)</f>
        <v>141.92020109161348</v>
      </c>
      <c r="AE10" s="11">
        <f>テーブル4[[#This Row],[半径方向応力:Δ-10℃]]*2*寸法→圧入力!D$13^2/(寸法→圧入力!D$13^2-寸法→圧入力!F$14^2)</f>
        <v>124.46933575504735</v>
      </c>
      <c r="AF10" s="11">
        <f>テーブル4[[#This Row],[半径方向応力:Δ0℃]]*2*寸法→圧入力!D$13^2/(寸法→圧入力!D$13^2-寸法→圧入力!F$14^2)</f>
        <v>107.01847041848123</v>
      </c>
      <c r="AG10" s="11">
        <f>テーブル4[[#This Row],[半径方向応力:Δ+10℃]]*2*寸法→圧入力!D$13^2/(寸法→圧入力!D$13^2-寸法→圧入力!F$14^2)</f>
        <v>89.567605081905299</v>
      </c>
      <c r="AH10" s="11">
        <f>テーブル4[[#This Row],[半径方向応力:Δ+20℃]]*2*寸法→圧入力!D$13^2/(寸法→圧入力!D$13^2-寸法→圧入力!F$14^2)</f>
        <v>72.116739745349022</v>
      </c>
      <c r="AI10" s="11">
        <f>テーブル4[[#This Row],[半径方向応力:Δ+30℃]]*2*寸法→圧入力!D$13^2/(寸法→圧入力!D$13^2-寸法→圧入力!F$14^2)</f>
        <v>54.665874408773057</v>
      </c>
      <c r="AJ10" s="11">
        <f>寸法→圧入力!$D$19</f>
        <v>345</v>
      </c>
      <c r="AK10" s="11">
        <f>テーブル4[[#This Row],[半径方向応力:Δ-30℃]]* (1+(寸法→圧入力!D$29/寸法→圧入力!F$28)^2)/((寸法→圧入力!D$29/寸法→圧入力!F$28)^2-1)</f>
        <v>163.05608184755266</v>
      </c>
      <c r="AL10" s="11">
        <f>テーブル4[[#This Row],[半径方向応力:Δ-20℃]]* (1+(寸法→圧入力!D$29/寸法→圧入力!F$28)^2)/((寸法→圧入力!D$29/寸法→圧入力!F$28)^2-1)</f>
        <v>145.20171348319178</v>
      </c>
      <c r="AM10" s="11">
        <f>テーブル4[[#This Row],[半径方向応力:Δ-10℃]]* (1+(寸法→圧入力!D$29/寸法→圧入力!F$28)^2)/((寸法→圧入力!D$29/寸法→圧入力!F$28)^2-1)</f>
        <v>127.34734511883092</v>
      </c>
      <c r="AN10" s="11">
        <f>テーブル4[[#This Row],[半径方向応力:Δ0℃]]* (1+(寸法→圧入力!D$29/寸法→圧入力!F$28)^2)/((寸法→圧入力!D$29/寸法→圧入力!F$28)^2-1)</f>
        <v>109.49297675447005</v>
      </c>
      <c r="AO10" s="11">
        <f>テーブル4[[#This Row],[半径方向応力:Δ+10℃]]* (1+(寸法→圧入力!D$29/寸法→圧入力!F$28)^2)/((寸法→圧入力!D$29/寸法→圧入力!F$28)^2-1)</f>
        <v>91.638608390099137</v>
      </c>
      <c r="AP10" s="11">
        <f>テーブル4[[#This Row],[半径方向応力:Δ+20℃]]* (1+(寸法→圧入力!D$29/寸法→圧入力!F$28)^2)/((寸法→圧入力!D$29/寸法→圧入力!F$28)^2-1)</f>
        <v>73.784240025748332</v>
      </c>
      <c r="AQ10" s="11">
        <f>テーブル4[[#This Row],[半径方向応力:Δ+30℃]]* (1+(寸法→圧入力!D$29/寸法→圧入力!F$28)^2)/((寸法→圧入力!D$29/寸法→圧入力!F$28)^2-1)</f>
        <v>55.929871661377391</v>
      </c>
      <c r="AR10" s="11">
        <f>寸法→圧入力!$D$34</f>
        <v>150</v>
      </c>
      <c r="AU10" s="152"/>
      <c r="AV10" s="151">
        <f t="shared" si="2"/>
        <v>0</v>
      </c>
      <c r="AW10" s="160">
        <f>(寸法→圧入力!$E$72+寸法→圧入力!$D$3*((寸法→圧入力!$D$33*10^-6*(グラフ!$AV10-20))-(寸法→圧入力!$D$18*10^-6*(グラフ!AW$4-20))))*1000</f>
        <v>26.79833612809389</v>
      </c>
      <c r="AX10" s="160">
        <f>(寸法→圧入力!$E$72+寸法→圧入力!$D$3*((寸法→圧入力!$D$33*10^-6*(グラフ!$AV10-20))-(寸法→圧入力!$D$18*10^-6*(グラフ!AX$4-20))))*1000</f>
        <v>23.228336128093893</v>
      </c>
      <c r="AY10" s="160">
        <f>(寸法→圧入力!$E$72+寸法→圧入力!$D$3*((寸法→圧入力!$D$33*10^-6*(グラフ!$AV10-20))-(寸法→圧入力!$D$18*10^-6*(グラフ!AY$4-20))))*1000</f>
        <v>19.65833612809389</v>
      </c>
      <c r="AZ10" s="160">
        <f>(寸法→圧入力!$E$72+寸法→圧入力!$D$3*((寸法→圧入力!$D$33*10^-6*(グラフ!$AV10-20))-(寸法→圧入力!$D$18*10^-6*(グラフ!AZ$4-20))))*1000</f>
        <v>16.088336128093893</v>
      </c>
      <c r="BA10" s="160">
        <f>(寸法→圧入力!$E$72+寸法→圧入力!$D$3*((寸法→圧入力!$D$33*10^-6*(グラフ!$AV10-20))-(寸法→圧入力!$D$18*10^-6*(グラフ!BA$4-20))))*1000</f>
        <v>12.518336128093891</v>
      </c>
      <c r="BB10" s="160">
        <f>(寸法→圧入力!$E$72+寸法→圧入力!$D$3*((寸法→圧入力!$D$33*10^-6*(グラフ!$AV10-20))-(寸法→圧入力!$D$18*10^-6*(グラフ!BB$4-20))))*1000</f>
        <v>8.9483361280938905</v>
      </c>
      <c r="BC10" s="160">
        <f>(寸法→圧入力!$E$72+寸法→圧入力!$D$3*((寸法→圧入力!$D$33*10^-6*(グラフ!$AV10-20))-(寸法→圧入力!$D$18*10^-6*(グラフ!BC$4-20))))*1000</f>
        <v>5.3783361280938919</v>
      </c>
      <c r="BD10" s="160">
        <f>(寸法→圧入力!$E$72+寸法→圧入力!$D$3*((寸法→圧入力!$D$33*10^-6*(グラフ!$AV10-20))-(寸法→圧入力!$D$18*10^-6*(グラフ!BD$4-20))))*1000</f>
        <v>1.8083361280938921</v>
      </c>
      <c r="BE10" s="160">
        <f>(寸法→圧入力!$E$72+寸法→圧入力!$D$3*((寸法→圧入力!$D$33*10^-6*(グラフ!$AV10-20))-(寸法→圧入力!$D$18*10^-6*(グラフ!BE$4-20))))*1000</f>
        <v>-1.76166387190611</v>
      </c>
      <c r="BF10" s="160">
        <f>(寸法→圧入力!$E$72+寸法→圧入力!$D$3*((寸法→圧入力!$D$33*10^-6*(グラフ!$AV10-20))-(寸法→圧入力!$D$18*10^-6*(グラフ!BF$4-20))))*1000</f>
        <v>-5.3316638719061071</v>
      </c>
      <c r="BG10" s="160">
        <f>(寸法→圧入力!$E$72+寸法→圧入力!$D$3*((寸法→圧入力!$D$33*10^-6*(グラフ!$AV10-20))-(寸法→圧入力!$D$18*10^-6*(グラフ!BG$4-20))))*1000</f>
        <v>-8.9016638719061074</v>
      </c>
      <c r="BH10" s="160">
        <f>(寸法→圧入力!$E$72+寸法→圧入力!$D$3*((寸法→圧入力!$D$33*10^-6*(グラフ!$AV10-20))-(寸法→圧入力!$D$18*10^-6*(グラフ!BH$4-20))))*1000</f>
        <v>-12.471663871906108</v>
      </c>
      <c r="BI10" s="160">
        <f>(寸法→圧入力!$E$72+寸法→圧入力!$D$3*((寸法→圧入力!$D$33*10^-6*(グラフ!$AV10-20))-(寸法→圧入力!$D$18*10^-6*(グラフ!BI$4-20))))*1000</f>
        <v>-16.041663871906103</v>
      </c>
      <c r="BJ10" s="160">
        <f>(寸法→圧入力!$E$72+寸法→圧入力!$D$3*((寸法→圧入力!$D$33*10^-6*(グラフ!$AV10-20))-(寸法→圧入力!$D$18*10^-6*(グラフ!BJ$4-20))))*1000</f>
        <v>-19.61166387190611</v>
      </c>
      <c r="BK10" s="160">
        <f>(寸法→圧入力!$E$72+寸法→圧入力!$D$3*((寸法→圧入力!$D$33*10^-6*(グラフ!$AV10-20))-(寸法→圧入力!$D$18*10^-6*(グラフ!BK$4-20))))*1000</f>
        <v>-23.181663871906107</v>
      </c>
      <c r="BL10" s="160">
        <f>(寸法→圧入力!$E$72+寸法→圧入力!$D$3*((寸法→圧入力!$D$33*10^-6*(グラフ!$AV10-20))-(寸法→圧入力!$D$18*10^-6*(グラフ!BL$4-20))))*1000</f>
        <v>-26.751663871906111</v>
      </c>
      <c r="BM10" s="160">
        <f>(寸法→圧入力!$E$72+寸法→圧入力!$D$3*((寸法→圧入力!$D$33*10^-6*(グラフ!$AV10-20))-(寸法→圧入力!$D$18*10^-6*(グラフ!BM$4-20))))*1000</f>
        <v>-30.321663871906107</v>
      </c>
      <c r="BN10" s="160">
        <f>(寸法→圧入力!$E$72+寸法→圧入力!$D$3*((寸法→圧入力!$D$33*10^-6*(グラフ!$AV10-20))-(寸法→圧入力!$D$18*10^-6*(グラフ!BN$4-20))))*1000</f>
        <v>-33.891663871906104</v>
      </c>
      <c r="BO10" s="160">
        <f>(寸法→圧入力!$E$72+寸法→圧入力!$D$3*((寸法→圧入力!$D$33*10^-6*(グラフ!$AV10-20))-(寸法→圧入力!$D$18*10^-6*(グラフ!BO$4-20))))*1000</f>
        <v>-37.461663871906111</v>
      </c>
      <c r="BP10" s="160">
        <f>(寸法→圧入力!$E$72+寸法→圧入力!$D$3*((寸法→圧入力!$D$33*10^-6*(グラフ!$AV10-20))-(寸法→圧入力!$D$18*10^-6*(グラフ!BP$4-20))))*1000</f>
        <v>-41.031663871906112</v>
      </c>
      <c r="BQ10" s="160">
        <f>(寸法→圧入力!$E$72+寸法→圧入力!$D$3*((寸法→圧入力!$D$33*10^-6*(グラフ!$AV10-20))-(寸法→圧入力!$D$18*10^-6*(グラフ!BQ$4-20))))*1000</f>
        <v>-44.601663871906112</v>
      </c>
    </row>
    <row r="11" spans="1:69" ht="18" thickBot="1" x14ac:dyDescent="0.75">
      <c r="A11" s="22">
        <f t="shared" si="1"/>
        <v>0.05</v>
      </c>
      <c r="B11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49.293093262185593</v>
      </c>
      <c r="C11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50.546969960062519</v>
      </c>
      <c r="D11" s="11">
        <f>(A11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51.723029043583431</v>
      </c>
      <c r="E11" s="11">
        <f>テーブル3[[#This Row],[半径方向応力min]]*寸法→圧入力!D$43*寸法→圧入力!D$5/1000</f>
        <v>5.7330055830929512</v>
      </c>
      <c r="F11" s="11">
        <f>テーブル3[[#This Row],[半径方向応力min]]*寸法→圧入力!E$43*寸法→圧入力!E$5/1000</f>
        <v>7.3201280121927992</v>
      </c>
      <c r="G11" s="11">
        <f>テーブル3[[#This Row],[半径方向応力min]]*寸法→圧入力!F$43*寸法→圧入力!F$5/1000</f>
        <v>8.9705333508329552</v>
      </c>
      <c r="H11" s="11">
        <f>寸法→圧入力!$D$19</f>
        <v>345</v>
      </c>
      <c r="I11" s="11">
        <f>寸法→圧入力!$D$34</f>
        <v>150</v>
      </c>
      <c r="J11" s="11">
        <f>テーブル3[[#This Row],[半径方向応力nor]]*2*寸法→圧入力!E$13^2/(寸法→圧入力!E$13^2-寸法→圧入力!E$14^2)</f>
        <v>134.73209878845481</v>
      </c>
      <c r="K11" s="11">
        <f>テーブル3[[#This Row],[半径方向応力nor]]* (1+(寸法→圧入力!E$29/寸法→圧入力!E$28)^2)/((寸法→圧入力!E$29/寸法→圧入力!E$28)^2-1)</f>
        <v>131.47066397671531</v>
      </c>
      <c r="N11">
        <f t="shared" si="3"/>
        <v>-25</v>
      </c>
      <c r="O11" s="22">
        <f>寸法→圧入力!F$13*(1+寸法→圧入力!D$18*10^-6*(テーブル4[[#This Row],[inner温度'[℃']]]-20)) - 寸法→圧入力!D$28*(1+寸法→圧入力!D$33*10^-6*(テーブル4[[#This Row],[inner温度'[℃']]]+O$3-20))</f>
        <v>5.6171612499994694E-2</v>
      </c>
      <c r="P11" s="22">
        <f>寸法→圧入力!F$13*(1+寸法→圧入力!D$18*10^-6*(テーブル4[[#This Row],[inner温度'[℃']]]-20)) - 寸法→圧入力!D$28*(1+寸法→圧入力!D$33*10^-6*(テーブル4[[#This Row],[inner温度'[℃']]]+P$3-20))</f>
        <v>4.9871612499995166E-2</v>
      </c>
      <c r="Q11" s="22">
        <f>寸法→圧入力!F$13*(1+寸法→圧入力!D$18*10^-6*(テーブル4[[#This Row],[inner温度'[℃']]]-20)) - 寸法→圧入力!D$28*(1+寸法→圧入力!D$33*10^-6*(テーブル4[[#This Row],[inner温度'[℃']]]+Q$3-20))</f>
        <v>4.3571612499995638E-2</v>
      </c>
      <c r="R11" s="22">
        <f>寸法→圧入力!F$13*(1+寸法→圧入力!D$18*10^-6*(テーブル4[[#This Row],[inner温度'[℃']]]-20)) - 寸法→圧入力!D$28*(1+寸法→圧入力!D$33*10^-6*(テーブル4[[#This Row],[inner温度'[℃']]]+R$3-20))</f>
        <v>3.727161249999611E-2</v>
      </c>
      <c r="S11" s="22">
        <f>寸法→圧入力!F$13*(1+寸法→圧入力!D$18*10^-6*(テーブル4[[#This Row],[inner温度'[℃']]]-20)) - 寸法→圧入力!D$28*(1+寸法→圧入力!D$33*10^-6*(テーブル4[[#This Row],[inner温度'[℃']]]+S$3-20))</f>
        <v>3.0971612499996581E-2</v>
      </c>
      <c r="T11" s="22">
        <f>寸法→圧入力!F$13*(1+寸法→圧入力!D$18*10^-6*(テーブル4[[#This Row],[inner温度'[℃']]]-20)) - 寸法→圧入力!D$28*(1+寸法→圧入力!D$33*10^-6*(テーブル4[[#This Row],[inner温度'[℃']]]+T$3-20))</f>
        <v>2.4671612499997053E-2</v>
      </c>
      <c r="U11" s="22">
        <f>寸法→圧入力!F$13*(1+寸法→圧入力!D$18*10^-6*(テーブル4[[#This Row],[inner温度'[℃']]]-20)) - 寸法→圧入力!D$28*(1+寸法→圧入力!D$33*10^-6*(テーブル4[[#This Row],[inner温度'[℃']]]+U$3-20))</f>
        <v>1.8371612499993972E-2</v>
      </c>
      <c r="V11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58.107318895242791</v>
      </c>
      <c r="W11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51.590217235751766</v>
      </c>
      <c r="X11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45.07311557626074</v>
      </c>
      <c r="Y11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38.556013916769714</v>
      </c>
      <c r="Z11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32.038912257278689</v>
      </c>
      <c r="AA11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25.52181059778767</v>
      </c>
      <c r="AB11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19.004708938292971</v>
      </c>
      <c r="AC11" s="11">
        <f>テーブル4[[#This Row],[半径方向応力:Δ-30℃]]*2*寸法→圧入力!D$13^2/(寸法→圧入力!D$13^2-寸法→圧入力!F$14^2)</f>
        <v>155.59416594845314</v>
      </c>
      <c r="AD11" s="11">
        <f>テーブル4[[#This Row],[半径方向応力:Δ-20℃]]*2*寸法→圧入力!D$13^2/(寸法→圧入力!D$13^2-寸法→圧入力!F$14^2)</f>
        <v>138.14330061188701</v>
      </c>
      <c r="AE11" s="11">
        <f>テーブル4[[#This Row],[半径方向応力:Δ-10℃]]*2*寸法→圧入力!D$13^2/(寸法→圧入力!D$13^2-寸法→圧入力!F$14^2)</f>
        <v>120.6924352753209</v>
      </c>
      <c r="AF11" s="11">
        <f>テーブル4[[#This Row],[半径方向応力:Δ0℃]]*2*寸法→圧入力!D$13^2/(寸法→圧入力!D$13^2-寸法→圧入力!F$14^2)</f>
        <v>103.24156993875476</v>
      </c>
      <c r="AG11" s="11">
        <f>テーブル4[[#This Row],[半径方向応力:Δ+10℃]]*2*寸法→圧入力!D$13^2/(寸法→圧入力!D$13^2-寸法→圧入力!F$14^2)</f>
        <v>85.790704602188654</v>
      </c>
      <c r="AH11" s="11">
        <f>テーブル4[[#This Row],[半径方向応力:Δ+20℃]]*2*寸法→圧入力!D$13^2/(寸法→圧入力!D$13^2-寸法→圧入力!F$14^2)</f>
        <v>68.339839265622558</v>
      </c>
      <c r="AI11" s="11">
        <f>テーブル4[[#This Row],[半径方向応力:Δ+30℃]]*2*寸法→圧入力!D$13^2/(寸法→圧入力!D$13^2-寸法→圧入力!F$14^2)</f>
        <v>50.8889739290466</v>
      </c>
      <c r="AJ11" s="11">
        <f>寸法→圧入力!$D$19</f>
        <v>345</v>
      </c>
      <c r="AK11" s="11">
        <f>テーブル4[[#This Row],[半径方向応力:Δ-30℃]]* (1+(寸法→圧入力!D$29/寸法→圧入力!F$28)^2)/((寸法→圧入力!D$29/寸法→圧入力!F$28)^2-1)</f>
        <v>159.19185098335205</v>
      </c>
      <c r="AL11" s="11">
        <f>テーブル4[[#This Row],[半径方向応力:Δ-20℃]]* (1+(寸法→圧入力!D$29/寸法→圧入力!F$28)^2)/((寸法→圧入力!D$29/寸法→圧入力!F$28)^2-1)</f>
        <v>141.33748261899117</v>
      </c>
      <c r="AM11" s="11">
        <f>テーブル4[[#This Row],[半径方向応力:Δ-10℃]]* (1+(寸法→圧入力!D$29/寸法→圧入力!F$28)^2)/((寸法→圧入力!D$29/寸法→圧入力!F$28)^2-1)</f>
        <v>123.48311425463031</v>
      </c>
      <c r="AN11" s="11">
        <f>テーブル4[[#This Row],[半径方向応力:Δ0℃]]* (1+(寸法→圧入力!D$29/寸法→圧入力!F$28)^2)/((寸法→圧入力!D$29/寸法→圧入力!F$28)^2-1)</f>
        <v>105.62874589026944</v>
      </c>
      <c r="AO11" s="11">
        <f>テーブル4[[#This Row],[半径方向応力:Δ+10℃]]* (1+(寸法→圧入力!D$29/寸法→圧入力!F$28)^2)/((寸法→圧入力!D$29/寸法→圧入力!F$28)^2-1)</f>
        <v>87.774377525908562</v>
      </c>
      <c r="AP11" s="11">
        <f>テーブル4[[#This Row],[半径方向応力:Δ+20℃]]* (1+(寸法→圧入力!D$29/寸法→圧入力!F$28)^2)/((寸法→圧入力!D$29/寸法→圧入力!F$28)^2-1)</f>
        <v>69.920009161547711</v>
      </c>
      <c r="AQ11" s="11">
        <f>テーブル4[[#This Row],[半径方向応力:Δ+30℃]]* (1+(寸法→圧入力!D$29/寸法→圧入力!F$28)^2)/((寸法→圧入力!D$29/寸法→圧入力!F$28)^2-1)</f>
        <v>52.065640797176769</v>
      </c>
      <c r="AR11" s="11">
        <f>寸法→圧入力!$D$34</f>
        <v>150</v>
      </c>
      <c r="AU11" s="152"/>
      <c r="AV11" s="151">
        <f t="shared" si="2"/>
        <v>10</v>
      </c>
      <c r="AW11" s="160">
        <f>(寸法→圧入力!$E$72+寸法→圧入力!$D$3*((寸法→圧入力!$D$33*10^-6*(グラフ!$AV11-20))-(寸法→圧入力!$D$18*10^-6*(グラフ!AW$4-20))))*1000</f>
        <v>33.098336128093891</v>
      </c>
      <c r="AX11" s="160">
        <f>(寸法→圧入力!$E$72+寸法→圧入力!$D$3*((寸法→圧入力!$D$33*10^-6*(グラフ!$AV11-20))-(寸法→圧入力!$D$18*10^-6*(グラフ!AX$4-20))))*1000</f>
        <v>29.528336128093891</v>
      </c>
      <c r="AY11" s="160">
        <f>(寸法→圧入力!$E$72+寸法→圧入力!$D$3*((寸法→圧入力!$D$33*10^-6*(グラフ!$AV11-20))-(寸法→圧入力!$D$18*10^-6*(グラフ!AY$4-20))))*1000</f>
        <v>25.958336128093887</v>
      </c>
      <c r="AZ11" s="160">
        <f>(寸法→圧入力!$E$72+寸法→圧入力!$D$3*((寸法→圧入力!$D$33*10^-6*(グラフ!$AV11-20))-(寸法→圧入力!$D$18*10^-6*(グラフ!AZ$4-20))))*1000</f>
        <v>22.38833612809389</v>
      </c>
      <c r="BA11" s="160">
        <f>(寸法→圧入力!$E$72+寸法→圧入力!$D$3*((寸法→圧入力!$D$33*10^-6*(グラフ!$AV11-20))-(寸法→圧入力!$D$18*10^-6*(グラフ!BA$4-20))))*1000</f>
        <v>18.81833612809389</v>
      </c>
      <c r="BB11" s="160">
        <f>(寸法→圧入力!$E$72+寸法→圧入力!$D$3*((寸法→圧入力!$D$33*10^-6*(グラフ!$AV11-20))-(寸法→圧入力!$D$18*10^-6*(グラフ!BB$4-20))))*1000</f>
        <v>15.248336128093891</v>
      </c>
      <c r="BC11" s="160">
        <f>(寸法→圧入力!$E$72+寸法→圧入力!$D$3*((寸法→圧入力!$D$33*10^-6*(グラフ!$AV11-20))-(寸法→圧入力!$D$18*10^-6*(グラフ!BC$4-20))))*1000</f>
        <v>11.678336128093891</v>
      </c>
      <c r="BD11" s="163">
        <f>(寸法→圧入力!$E$72+寸法→圧入力!$D$3*((寸法→圧入力!$D$33*10^-6*(グラフ!$AV11-20))-(寸法→圧入力!$D$18*10^-6*(グラフ!BD$4-20))))*1000</f>
        <v>8.1083361280938906</v>
      </c>
      <c r="BE11" s="160">
        <f>(寸法→圧入力!$E$72+寸法→圧入力!$D$3*((寸法→圧入力!$D$33*10^-6*(グラフ!$AV11-20))-(寸法→圧入力!$D$18*10^-6*(グラフ!BE$4-20))))*1000</f>
        <v>4.5383361280938921</v>
      </c>
      <c r="BF11" s="160">
        <f>(寸法→圧入力!$E$72+寸法→圧入力!$D$3*((寸法→圧入力!$D$33*10^-6*(グラフ!$AV11-20))-(寸法→圧入力!$D$18*10^-6*(グラフ!BF$4-20))))*1000</f>
        <v>0.96833612809389158</v>
      </c>
      <c r="BG11" s="160">
        <f>(寸法→圧入力!$E$72+寸法→圧入力!$D$3*((寸法→圧入力!$D$33*10^-6*(グラフ!$AV11-20))-(寸法→圧入力!$D$18*10^-6*(グラフ!BG$4-20))))*1000</f>
        <v>-2.6016638719061103</v>
      </c>
      <c r="BH11" s="160">
        <f>(寸法→圧入力!$E$72+寸法→圧入力!$D$3*((寸法→圧入力!$D$33*10^-6*(グラフ!$AV11-20))-(寸法→圧入力!$D$18*10^-6*(グラフ!BH$4-20))))*1000</f>
        <v>-6.1716638719061105</v>
      </c>
      <c r="BI11" s="160">
        <f>(寸法→圧入力!$E$72+寸法→圧入力!$D$3*((寸法→圧入力!$D$33*10^-6*(グラフ!$AV11-20))-(寸法→圧入力!$D$18*10^-6*(グラフ!BI$4-20))))*1000</f>
        <v>-9.7416638719061073</v>
      </c>
      <c r="BJ11" s="160">
        <f>(寸法→圧入力!$E$72+寸法→圧入力!$D$3*((寸法→圧入力!$D$33*10^-6*(グラフ!$AV11-20))-(寸法→圧入力!$D$18*10^-6*(グラフ!BJ$4-20))))*1000</f>
        <v>-13.311663871906111</v>
      </c>
      <c r="BK11" s="160">
        <f>(寸法→圧入力!$E$72+寸法→圧入力!$D$3*((寸法→圧入力!$D$33*10^-6*(グラフ!$AV11-20))-(寸法→圧入力!$D$18*10^-6*(グラフ!BK$4-20))))*1000</f>
        <v>-16.88166387190611</v>
      </c>
      <c r="BL11" s="160">
        <f>(寸法→圧入力!$E$72+寸法→圧入力!$D$3*((寸法→圧入力!$D$33*10^-6*(グラフ!$AV11-20))-(寸法→圧入力!$D$18*10^-6*(グラフ!BL$4-20))))*1000</f>
        <v>-20.451663871906106</v>
      </c>
      <c r="BM11" s="160">
        <f>(寸法→圧入力!$E$72+寸法→圧入力!$D$3*((寸法→圧入力!$D$33*10^-6*(グラフ!$AV11-20))-(寸法→圧入力!$D$18*10^-6*(グラフ!BM$4-20))))*1000</f>
        <v>-24.021663871906103</v>
      </c>
      <c r="BN11" s="160">
        <f>(寸法→圧入力!$E$72+寸法→圧入力!$D$3*((寸法→圧入力!$D$33*10^-6*(グラフ!$AV11-20))-(寸法→圧入力!$D$18*10^-6*(グラフ!BN$4-20))))*1000</f>
        <v>-27.591663871906107</v>
      </c>
      <c r="BO11" s="160">
        <f>(寸法→圧入力!$E$72+寸法→圧入力!$D$3*((寸法→圧入力!$D$33*10^-6*(グラフ!$AV11-20))-(寸法→圧入力!$D$18*10^-6*(グラフ!BO$4-20))))*1000</f>
        <v>-31.161663871906107</v>
      </c>
      <c r="BP11" s="160">
        <f>(寸法→圧入力!$E$72+寸法→圧入力!$D$3*((寸法→圧入力!$D$33*10^-6*(グラフ!$AV11-20))-(寸法→圧入力!$D$18*10^-6*(グラフ!BP$4-20))))*1000</f>
        <v>-34.731663871906107</v>
      </c>
      <c r="BQ11" s="160">
        <f>(寸法→圧入力!$E$72+寸法→圧入力!$D$3*((寸法→圧入力!$D$33*10^-6*(グラフ!$AV11-20))-(寸法→圧入力!$D$18*10^-6*(グラフ!BQ$4-20))))*1000</f>
        <v>-38.301663871906101</v>
      </c>
    </row>
    <row r="12" spans="1:69" ht="18" thickBot="1" x14ac:dyDescent="0.75">
      <c r="A12" s="22">
        <f t="shared" si="1"/>
        <v>0.06</v>
      </c>
      <c r="B12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59.151711914622709</v>
      </c>
      <c r="C12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60.656363952075019</v>
      </c>
      <c r="D12" s="11">
        <f>(A12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62.067634852300117</v>
      </c>
      <c r="E12" s="11">
        <f>テーブル3[[#This Row],[半径方向応力min]]*寸法→圧入力!D$43*寸法→圧入力!D$5/1000</f>
        <v>6.879606699711541</v>
      </c>
      <c r="F12" s="11">
        <f>テーブル3[[#This Row],[半径方向応力min]]*寸法→圧入力!E$43*寸法→圧入力!E$5/1000</f>
        <v>8.784153614631359</v>
      </c>
      <c r="G12" s="11">
        <f>テーブル3[[#This Row],[半径方向応力min]]*寸法→圧入力!F$43*寸法→圧入力!F$5/1000</f>
        <v>10.764640020999547</v>
      </c>
      <c r="H12" s="11">
        <f>寸法→圧入力!$D$19</f>
        <v>345</v>
      </c>
      <c r="I12" s="11">
        <f>寸法→圧入力!$D$34</f>
        <v>150</v>
      </c>
      <c r="J12" s="11">
        <f>テーブル3[[#This Row],[半径方向応力nor]]*2*寸法→圧入力!E$13^2/(寸法→圧入力!E$13^2-寸法→圧入力!E$14^2)</f>
        <v>161.67851854614577</v>
      </c>
      <c r="K12" s="11">
        <f>テーブル3[[#This Row],[半径方向応力nor]]* (1+(寸法→圧入力!E$29/寸法→圧入力!E$28)^2)/((寸法→圧入力!E$29/寸法→圧入力!E$28)^2-1)</f>
        <v>157.76479677205839</v>
      </c>
      <c r="N12">
        <f>N11+5</f>
        <v>-20</v>
      </c>
      <c r="O12" s="22">
        <f>寸法→圧入力!F$13*(1+寸法→圧入力!D$18*10^-6*(テーブル4[[#This Row],[inner温度'[℃']]]-20)) - 寸法→圧入力!D$28*(1+寸法→圧入力!D$33*10^-6*(テーブル4[[#This Row],[inner温度'[℃']]]+O$3-20))</f>
        <v>5.4808099999998916E-2</v>
      </c>
      <c r="P12" s="22">
        <f>寸法→圧入力!F$13*(1+寸法→圧入力!D$18*10^-6*(テーブル4[[#This Row],[inner温度'[℃']]]-20)) - 寸法→圧入力!D$28*(1+寸法→圧入力!D$33*10^-6*(テーブル4[[#This Row],[inner温度'[℃']]]+P$3-20))</f>
        <v>4.8508099999999388E-2</v>
      </c>
      <c r="Q12" s="22">
        <f>寸法→圧入力!F$13*(1+寸法→圧入力!D$18*10^-6*(テーブル4[[#This Row],[inner温度'[℃']]]-20)) - 寸法→圧入力!D$28*(1+寸法→圧入力!D$33*10^-6*(テーブル4[[#This Row],[inner温度'[℃']]]+Q$3-20))</f>
        <v>4.220809999999986E-2</v>
      </c>
      <c r="R12" s="22">
        <f>寸法→圧入力!F$13*(1+寸法→圧入力!D$18*10^-6*(テーブル4[[#This Row],[inner温度'[℃']]]-20)) - 寸法→圧入力!D$28*(1+寸法→圧入力!D$33*10^-6*(テーブル4[[#This Row],[inner温度'[℃']]]+R$3-20))</f>
        <v>3.5908099999996779E-2</v>
      </c>
      <c r="S12" s="22">
        <f>寸法→圧入力!F$13*(1+寸法→圧入力!D$18*10^-6*(テーブル4[[#This Row],[inner温度'[℃']]]-20)) - 寸法→圧入力!D$28*(1+寸法→圧入力!D$33*10^-6*(テーブル4[[#This Row],[inner温度'[℃']]]+S$3-20))</f>
        <v>2.9608100000000803E-2</v>
      </c>
      <c r="T12" s="22">
        <f>寸法→圧入力!F$13*(1+寸法→圧入力!D$18*10^-6*(テーブル4[[#This Row],[inner温度'[℃']]]-20)) - 寸法→圧入力!D$28*(1+寸法→圧入力!D$33*10^-6*(テーブル4[[#This Row],[inner温度'[℃']]]+T$3-20))</f>
        <v>2.3308099999997722E-2</v>
      </c>
      <c r="U12" s="22">
        <f>寸法→圧入力!F$13*(1+寸法→圧入力!D$18*10^-6*(テーブル4[[#This Row],[inner温度'[℃']]]-20)) - 寸法→圧入力!D$28*(1+寸法→圧入力!D$33*10^-6*(テーブル4[[#This Row],[inner温度'[℃']]]+U$3-20))</f>
        <v>1.7008100000001747E-2</v>
      </c>
      <c r="V12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56.696818962471376</v>
      </c>
      <c r="W12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50.17971730298035</v>
      </c>
      <c r="X12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43.662615643489325</v>
      </c>
      <c r="Y12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37.145513983994626</v>
      </c>
      <c r="Z12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30.628412324507284</v>
      </c>
      <c r="AA12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24.111310665012581</v>
      </c>
      <c r="AB12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17.594209005525233</v>
      </c>
      <c r="AC12" s="11">
        <f>テーブル4[[#This Row],[半径方向応力:Δ-30℃]]*2*寸法→圧入力!D$13^2/(寸法→圧入力!D$13^2-寸法→圧入力!F$14^2)</f>
        <v>151.81726546874634</v>
      </c>
      <c r="AD12" s="11">
        <f>テーブル4[[#This Row],[半径方向応力:Δ-20℃]]*2*寸法→圧入力!D$13^2/(寸法→圧入力!D$13^2-寸法→圧入力!F$14^2)</f>
        <v>134.36640013218022</v>
      </c>
      <c r="AE12" s="11">
        <f>テーブル4[[#This Row],[半径方向応力:Δ-10℃]]*2*寸法→圧入力!D$13^2/(寸法→圧入力!D$13^2-寸法→圧入力!F$14^2)</f>
        <v>116.91553479561411</v>
      </c>
      <c r="AF12" s="11">
        <f>テーブル4[[#This Row],[半径方向応力:Δ0℃]]*2*寸法→圧入力!D$13^2/(寸法→圧入力!D$13^2-寸法→圧入力!F$14^2)</f>
        <v>99.464669459038149</v>
      </c>
      <c r="AG12" s="11">
        <f>テーブル4[[#This Row],[半径方向応力:Δ+10℃]]*2*寸法→圧入力!D$13^2/(寸法→圧入力!D$13^2-寸法→圧入力!F$14^2)</f>
        <v>82.013804122481901</v>
      </c>
      <c r="AH12" s="11">
        <f>テーブル4[[#This Row],[半径方向応力:Δ+20℃]]*2*寸法→圧入力!D$13^2/(寸法→圧入力!D$13^2-寸法→圧入力!F$14^2)</f>
        <v>64.562938785905928</v>
      </c>
      <c r="AI12" s="11">
        <f>テーブル4[[#This Row],[半径方向応力:Δ+30℃]]*2*寸法→圧入力!D$13^2/(寸法→圧入力!D$13^2-寸法→圧入力!F$14^2)</f>
        <v>47.112073449349658</v>
      </c>
      <c r="AJ12" s="11">
        <f>寸法→圧入力!$D$19</f>
        <v>345</v>
      </c>
      <c r="AK12" s="11">
        <f>テーブル4[[#This Row],[半径方向応力:Δ-30℃]]* (1+(寸法→圧入力!D$29/寸法→圧入力!F$28)^2)/((寸法→圧入力!D$29/寸法→圧入力!F$28)^2-1)</f>
        <v>155.32762011917157</v>
      </c>
      <c r="AL12" s="11">
        <f>テーブル4[[#This Row],[半径方向応力:Δ-20℃]]* (1+(寸法→圧入力!D$29/寸法→圧入力!F$28)^2)/((寸法→圧入力!D$29/寸法→圧入力!F$28)^2-1)</f>
        <v>137.47325175481069</v>
      </c>
      <c r="AM12" s="11">
        <f>テーブル4[[#This Row],[半径方向応力:Δ-10℃]]* (1+(寸法→圧入力!D$29/寸法→圧入力!F$28)^2)/((寸法→圧入力!D$29/寸法→圧入力!F$28)^2-1)</f>
        <v>119.61888339044982</v>
      </c>
      <c r="AN12" s="11">
        <f>テーブル4[[#This Row],[半径方向応力:Δ0℃]]* (1+(寸法→圧入力!D$29/寸法→圧入力!F$28)^2)/((寸法→圧入力!D$29/寸法→圧入力!F$28)^2-1)</f>
        <v>101.76451502607888</v>
      </c>
      <c r="AO12" s="11">
        <f>テーブル4[[#This Row],[半径方向応力:Δ+10℃]]* (1+(寸法→圧入力!D$29/寸法→圧入力!F$28)^2)/((寸法→圧入力!D$29/寸法→圧入力!F$28)^2-1)</f>
        <v>83.910146661728106</v>
      </c>
      <c r="AP12" s="11">
        <f>テーブル4[[#This Row],[半径方向応力:Δ+20℃]]* (1+(寸法→圧入力!D$29/寸法→圧入力!F$28)^2)/((寸法→圧入力!D$29/寸法→圧入力!F$28)^2-1)</f>
        <v>66.055778297357151</v>
      </c>
      <c r="AQ12" s="11">
        <f>テーブル4[[#This Row],[半径方向応力:Δ+30℃]]* (1+(寸法→圧入力!D$29/寸法→圧入力!F$28)^2)/((寸法→圧入力!D$29/寸法→圧入力!F$28)^2-1)</f>
        <v>48.201409933006353</v>
      </c>
      <c r="AR12" s="11">
        <f>寸法→圧入力!$D$34</f>
        <v>150</v>
      </c>
      <c r="AU12" s="152"/>
      <c r="AV12" s="151">
        <f t="shared" si="2"/>
        <v>20</v>
      </c>
      <c r="AW12" s="160">
        <f>(寸法→圧入力!$E$72+寸法→圧入力!$D$3*((寸法→圧入力!$D$33*10^-6*(グラフ!$AV12-20))-(寸法→圧入力!$D$18*10^-6*(グラフ!AW$4-20))))*1000</f>
        <v>39.398336128093888</v>
      </c>
      <c r="AX12" s="160">
        <f>(寸法→圧入力!$E$72+寸法→圧入力!$D$3*((寸法→圧入力!$D$33*10^-6*(グラフ!$AV12-20))-(寸法→圧入力!$D$18*10^-6*(グラフ!AX$4-20))))*1000</f>
        <v>35.828336128093895</v>
      </c>
      <c r="AY12" s="160">
        <f>(寸法→圧入力!$E$72+寸法→圧入力!$D$3*((寸法→圧入力!$D$33*10^-6*(グラフ!$AV12-20))-(寸法→圧入力!$D$18*10^-6*(グラフ!AY$4-20))))*1000</f>
        <v>32.258336128093887</v>
      </c>
      <c r="AZ12" s="160">
        <f>(寸法→圧入力!$E$72+寸法→圧入力!$D$3*((寸法→圧入力!$D$33*10^-6*(グラフ!$AV12-20))-(寸法→圧入力!$D$18*10^-6*(グラフ!AZ$4-20))))*1000</f>
        <v>28.688336128093891</v>
      </c>
      <c r="BA12" s="160">
        <f>(寸法→圧入力!$E$72+寸法→圧入力!$D$3*((寸法→圧入力!$D$33*10^-6*(グラフ!$AV12-20))-(寸法→圧入力!$D$18*10^-6*(グラフ!BA$4-20))))*1000</f>
        <v>25.11833612809389</v>
      </c>
      <c r="BB12" s="160">
        <f>(寸法→圧入力!$E$72+寸法→圧入力!$D$3*((寸法→圧入力!$D$33*10^-6*(グラフ!$AV12-20))-(寸法→圧入力!$D$18*10^-6*(グラフ!BB$4-20))))*1000</f>
        <v>21.54833612809389</v>
      </c>
      <c r="BC12" s="161">
        <f>(寸法→圧入力!$E$72+寸法→圧入力!$D$3*((寸法→圧入力!$D$33*10^-6*(グラフ!$AV12-20))-(寸法→圧入力!$D$18*10^-6*(グラフ!BC$4-20))))*1000</f>
        <v>17.97833612809389</v>
      </c>
      <c r="BD12" s="165">
        <f>(寸法→圧入力!$E$72+寸法→圧入力!$D$3*((寸法→圧入力!$D$33*10^-6*(グラフ!$AV12-20))-(寸法→圧入力!$D$18*10^-6*(グラフ!BD$4-20))))*1000</f>
        <v>14.40833612809389</v>
      </c>
      <c r="BE12" s="162">
        <f>(寸法→圧入力!$E$72+寸法→圧入力!$D$3*((寸法→圧入力!$D$33*10^-6*(グラフ!$AV12-20))-(寸法→圧入力!$D$18*10^-6*(グラフ!BE$4-20))))*1000</f>
        <v>10.838336128093891</v>
      </c>
      <c r="BF12" s="160">
        <f>(寸法→圧入力!$E$72+寸法→圧入力!$D$3*((寸法→圧入力!$D$33*10^-6*(グラフ!$AV12-20))-(寸法→圧入力!$D$18*10^-6*(グラフ!BF$4-20))))*1000</f>
        <v>7.2683361280938907</v>
      </c>
      <c r="BG12" s="160">
        <f>(寸法→圧入力!$E$72+寸法→圧入力!$D$3*((寸法→圧入力!$D$33*10^-6*(グラフ!$AV12-20))-(寸法→圧入力!$D$18*10^-6*(グラフ!BG$4-20))))*1000</f>
        <v>3.6983361280938896</v>
      </c>
      <c r="BH12" s="160">
        <f>(寸法→圧入力!$E$72+寸法→圧入力!$D$3*((寸法→圧入力!$D$33*10^-6*(グラフ!$AV12-20))-(寸法→圧入力!$D$18*10^-6*(グラフ!BH$4-20))))*1000</f>
        <v>0.12833612809389111</v>
      </c>
      <c r="BI12" s="160">
        <f>(寸法→圧入力!$E$72+寸法→圧入力!$D$3*((寸法→圧入力!$D$33*10^-6*(グラフ!$AV12-20))-(寸法→圧入力!$D$18*10^-6*(グラフ!BI$4-20))))*1000</f>
        <v>-3.4416638719061075</v>
      </c>
      <c r="BJ12" s="160">
        <f>(寸法→圧入力!$E$72+寸法→圧入力!$D$3*((寸法→圧入力!$D$33*10^-6*(グラフ!$AV12-20))-(寸法→圧入力!$D$18*10^-6*(グラフ!BJ$4-20))))*1000</f>
        <v>-7.0116638719061113</v>
      </c>
      <c r="BK12" s="160">
        <f>(寸法→圧入力!$E$72+寸法→圧入力!$D$3*((寸法→圧入力!$D$33*10^-6*(グラフ!$AV12-20))-(寸法→圧入力!$D$18*10^-6*(グラフ!BK$4-20))))*1000</f>
        <v>-10.581663871906107</v>
      </c>
      <c r="BL12" s="160">
        <f>(寸法→圧入力!$E$72+寸法→圧入力!$D$3*((寸法→圧入力!$D$33*10^-6*(グラフ!$AV12-20))-(寸法→圧入力!$D$18*10^-6*(グラフ!BL$4-20))))*1000</f>
        <v>-14.151663871906107</v>
      </c>
      <c r="BM12" s="160">
        <f>(寸法→圧入力!$E$72+寸法→圧入力!$D$3*((寸法→圧入力!$D$33*10^-6*(グラフ!$AV12-20))-(寸法→圧入力!$D$18*10^-6*(グラフ!BM$4-20))))*1000</f>
        <v>-17.721663871906109</v>
      </c>
      <c r="BN12" s="160">
        <f>(寸法→圧入力!$E$72+寸法→圧入力!$D$3*((寸法→圧入力!$D$33*10^-6*(グラフ!$AV12-20))-(寸法→圧入力!$D$18*10^-6*(グラフ!BN$4-20))))*1000</f>
        <v>-21.291663871906106</v>
      </c>
      <c r="BO12" s="160">
        <f>(寸法→圧入力!$E$72+寸法→圧入力!$D$3*((寸法→圧入力!$D$33*10^-6*(グラフ!$AV12-20))-(寸法→圧入力!$D$18*10^-6*(グラフ!BO$4-20))))*1000</f>
        <v>-24.86166387190611</v>
      </c>
      <c r="BP12" s="160">
        <f>(寸法→圧入力!$E$72+寸法→圧入力!$D$3*((寸法→圧入力!$D$33*10^-6*(グラフ!$AV12-20))-(寸法→圧入力!$D$18*10^-6*(グラフ!BP$4-20))))*1000</f>
        <v>-28.431663871906114</v>
      </c>
      <c r="BQ12" s="160">
        <f>(寸法→圧入力!$E$72+寸法→圧入力!$D$3*((寸法→圧入力!$D$33*10^-6*(グラフ!$AV12-20))-(寸法→圧入力!$D$18*10^-6*(グラフ!BQ$4-20))))*1000</f>
        <v>-32.001663871906111</v>
      </c>
    </row>
    <row r="13" spans="1:69" x14ac:dyDescent="0.7">
      <c r="A13" s="22">
        <f t="shared" si="1"/>
        <v>7.0000000000000007E-2</v>
      </c>
      <c r="B13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69.010330567059825</v>
      </c>
      <c r="C13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70.765757944087525</v>
      </c>
      <c r="D13" s="11">
        <f>(A13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72.41224066101681</v>
      </c>
      <c r="E13" s="11">
        <f>テーブル3[[#This Row],[半径方向応力min]]*寸法→圧入力!D$43*寸法→圧入力!D$5/1000</f>
        <v>8.0262078163301318</v>
      </c>
      <c r="F13" s="11">
        <f>テーブル3[[#This Row],[半径方向応力min]]*寸法→圧入力!E$43*寸法→圧入力!E$5/1000</f>
        <v>10.248179217069918</v>
      </c>
      <c r="G13" s="11">
        <f>テーブル3[[#This Row],[半径方向応力min]]*寸法→圧入力!F$43*寸法→圧入力!F$5/1000</f>
        <v>12.558746691166135</v>
      </c>
      <c r="H13" s="11">
        <f>寸法→圧入力!$D$19</f>
        <v>345</v>
      </c>
      <c r="I13" s="11">
        <f>寸法→圧入力!$D$34</f>
        <v>150</v>
      </c>
      <c r="J13" s="11">
        <f>テーブル3[[#This Row],[半径方向応力nor]]*2*寸法→圧入力!E$13^2/(寸法→圧入力!E$13^2-寸法→圧入力!E$14^2)</f>
        <v>188.62493830383673</v>
      </c>
      <c r="K13" s="11">
        <f>テーブル3[[#This Row],[半径方向応力nor]]* (1+(寸法→圧入力!E$29/寸法→圧入力!E$28)^2)/((寸法→圧入力!E$29/寸法→圧入力!E$28)^2-1)</f>
        <v>184.05892956740146</v>
      </c>
      <c r="N13">
        <f t="shared" si="3"/>
        <v>-15</v>
      </c>
      <c r="O13" s="22">
        <f>寸法→圧入力!F$13*(1+寸法→圧入力!D$18*10^-6*(テーブル4[[#This Row],[inner温度'[℃']]]-20)) - 寸法→圧入力!D$28*(1+寸法→圧入力!D$33*10^-6*(テーブル4[[#This Row],[inner温度'[℃']]]+O$3-20))</f>
        <v>5.3444587499996032E-2</v>
      </c>
      <c r="P13" s="22">
        <f>寸法→圧入力!F$13*(1+寸法→圧入力!D$18*10^-6*(テーブル4[[#This Row],[inner温度'[℃']]]-20)) - 寸法→圧入力!D$28*(1+寸法→圧入力!D$33*10^-6*(テーブル4[[#This Row],[inner温度'[℃']]]+P$3-20))</f>
        <v>4.7144587499996504E-2</v>
      </c>
      <c r="Q13" s="22">
        <f>寸法→圧入力!F$13*(1+寸法→圧入力!D$18*10^-6*(テーブル4[[#This Row],[inner温度'[℃']]]-20)) - 寸法→圧入力!D$28*(1+寸法→圧入力!D$33*10^-6*(テーブル4[[#This Row],[inner温度'[℃']]]+Q$3-20))</f>
        <v>4.0844587499996976E-2</v>
      </c>
      <c r="R13" s="22">
        <f>寸法→圧入力!F$13*(1+寸法→圧入力!D$18*10^-6*(テーブル4[[#This Row],[inner温度'[℃']]]-20)) - 寸法→圧入力!D$28*(1+寸法→圧入力!D$33*10^-6*(テーブル4[[#This Row],[inner温度'[℃']]]+R$3-20))</f>
        <v>3.4544587499997448E-2</v>
      </c>
      <c r="S13" s="22">
        <f>寸法→圧入力!F$13*(1+寸法→圧入力!D$18*10^-6*(テーブル4[[#This Row],[inner温度'[℃']]]-20)) - 寸法→圧入力!D$28*(1+寸法→圧入力!D$33*10^-6*(テーブル4[[#This Row],[inner温度'[℃']]]+S$3-20))</f>
        <v>2.824458749999792E-2</v>
      </c>
      <c r="T13" s="22">
        <f>寸法→圧入力!F$13*(1+寸法→圧入力!D$18*10^-6*(テーブル4[[#This Row],[inner温度'[℃']]]-20)) - 寸法→圧入力!D$28*(1+寸法→圧入力!D$33*10^-6*(テーブル4[[#This Row],[inner温度'[℃']]]+T$3-20))</f>
        <v>2.1944587499994839E-2</v>
      </c>
      <c r="U13" s="22">
        <f>寸法→圧入力!F$13*(1+寸法→圧入力!D$18*10^-6*(テーブル4[[#This Row],[inner温度'[℃']]]-20)) - 寸法→圧入力!D$28*(1+寸法→圧入力!D$33*10^-6*(テーブル4[[#This Row],[inner温度'[℃']]]+U$3-20))</f>
        <v>1.5644587499998863E-2</v>
      </c>
      <c r="V13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55.286319029692613</v>
      </c>
      <c r="W13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48.769217370201588</v>
      </c>
      <c r="X13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42.252115710710562</v>
      </c>
      <c r="Y13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35.735014051219537</v>
      </c>
      <c r="Z13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29.217912391728518</v>
      </c>
      <c r="AA13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22.700810732233819</v>
      </c>
      <c r="AB13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16.183709072746467</v>
      </c>
      <c r="AC13" s="11">
        <f>テーブル4[[#This Row],[半径方向応力:Δ-30℃]]*2*寸法→圧入力!D$13^2/(寸法→圧入力!D$13^2-寸法→圧入力!F$14^2)</f>
        <v>148.04036498901991</v>
      </c>
      <c r="AD13" s="11">
        <f>テーブル4[[#This Row],[半径方向応力:Δ-20℃]]*2*寸法→圧入力!D$13^2/(寸法→圧入力!D$13^2-寸法→圧入力!F$14^2)</f>
        <v>130.58949965245375</v>
      </c>
      <c r="AE13" s="11">
        <f>テーブル4[[#This Row],[半径方向応力:Δ-10℃]]*2*寸法→圧入力!D$13^2/(寸法→圧入力!D$13^2-寸法→圧入力!F$14^2)</f>
        <v>113.13863431588764</v>
      </c>
      <c r="AF13" s="11">
        <f>テーブル4[[#This Row],[半径方向応力:Δ0℃]]*2*寸法→圧入力!D$13^2/(寸法→圧入力!D$13^2-寸法→圧入力!F$14^2)</f>
        <v>95.687768979321532</v>
      </c>
      <c r="AG13" s="11">
        <f>テーブル4[[#This Row],[半径方向応力:Δ+10℃]]*2*寸法→圧入力!D$13^2/(寸法→圧入力!D$13^2-寸法→圧入力!F$14^2)</f>
        <v>78.236903642755422</v>
      </c>
      <c r="AH13" s="11">
        <f>テーブル4[[#This Row],[半径方向応力:Δ+20℃]]*2*寸法→圧入力!D$13^2/(寸法→圧入力!D$13^2-寸法→圧入力!F$14^2)</f>
        <v>60.786038306179478</v>
      </c>
      <c r="AI13" s="11">
        <f>テーブル4[[#This Row],[半径方向応力:Δ+30℃]]*2*寸法→圧入力!D$13^2/(寸法→圧入力!D$13^2-寸法→圧入力!F$14^2)</f>
        <v>43.335172969623194</v>
      </c>
      <c r="AJ13" s="11">
        <f>寸法→圧入力!$D$19</f>
        <v>345</v>
      </c>
      <c r="AK13" s="11">
        <f>テーブル4[[#This Row],[半径方向応力:Δ-30℃]]* (1+(寸法→圧入力!D$29/寸法→圧入力!F$28)^2)/((寸法→圧入力!D$29/寸法→圧入力!F$28)^2-1)</f>
        <v>151.46338925497093</v>
      </c>
      <c r="AL13" s="11">
        <f>テーブル4[[#This Row],[半径方向応力:Δ-20℃]]* (1+(寸法→圧入力!D$29/寸法→圧入力!F$28)^2)/((寸法→圧入力!D$29/寸法→圧入力!F$28)^2-1)</f>
        <v>133.60902089061008</v>
      </c>
      <c r="AM13" s="11">
        <f>テーブル4[[#This Row],[半径方向応力:Δ-10℃]]* (1+(寸法→圧入力!D$29/寸法→圧入力!F$28)^2)/((寸法→圧入力!D$29/寸法→圧入力!F$28)^2-1)</f>
        <v>115.7546525262492</v>
      </c>
      <c r="AN13" s="11">
        <f>テーブル4[[#This Row],[半径方向応力:Δ0℃]]* (1+(寸法→圧入力!D$29/寸法→圧入力!F$28)^2)/((寸法→圧入力!D$29/寸法→圧入力!F$28)^2-1)</f>
        <v>97.900284161888337</v>
      </c>
      <c r="AO13" s="11">
        <f>テーブル4[[#This Row],[半径方向応力:Δ+10℃]]* (1+(寸法→圧入力!D$29/寸法→圧入力!F$28)^2)/((寸法→圧入力!D$29/寸法→圧入力!F$28)^2-1)</f>
        <v>80.045915797527485</v>
      </c>
      <c r="AP13" s="11">
        <f>テーブル4[[#This Row],[半径方向応力:Δ+20℃]]* (1+(寸法→圧入力!D$29/寸法→圧入力!F$28)^2)/((寸法→圧入力!D$29/寸法→圧入力!F$28)^2-1)</f>
        <v>62.191547433156536</v>
      </c>
      <c r="AQ13" s="11">
        <f>テーブル4[[#This Row],[半径方向応力:Δ+30℃]]* (1+(寸法→圧入力!D$29/寸法→圧入力!F$28)^2)/((寸法→圧入力!D$29/寸法→圧入力!F$28)^2-1)</f>
        <v>44.337179068805732</v>
      </c>
      <c r="AR13" s="11">
        <f>寸法→圧入力!$D$34</f>
        <v>150</v>
      </c>
      <c r="AU13" s="152"/>
      <c r="AV13" s="151">
        <f t="shared" si="2"/>
        <v>30</v>
      </c>
      <c r="AW13" s="160">
        <f>(寸法→圧入力!$E$72+寸法→圧入力!$D$3*((寸法→圧入力!$D$33*10^-6*(グラフ!$AV13-20))-(寸法→圧入力!$D$18*10^-6*(グラフ!AW$4-20))))*1000</f>
        <v>45.698336128093892</v>
      </c>
      <c r="AX13" s="160">
        <f>(寸法→圧入力!$E$72+寸法→圧入力!$D$3*((寸法→圧入力!$D$33*10^-6*(グラフ!$AV13-20))-(寸法→圧入力!$D$18*10^-6*(グラフ!AX$4-20))))*1000</f>
        <v>42.128336128093892</v>
      </c>
      <c r="AY13" s="160">
        <f>(寸法→圧入力!$E$72+寸法→圧入力!$D$3*((寸法→圧入力!$D$33*10^-6*(グラフ!$AV13-20))-(寸法→圧入力!$D$18*10^-6*(グラフ!AY$4-20))))*1000</f>
        <v>38.558336128093892</v>
      </c>
      <c r="AZ13" s="160">
        <f>(寸法→圧入力!$E$72+寸法→圧入力!$D$3*((寸法→圧入力!$D$33*10^-6*(グラフ!$AV13-20))-(寸法→圧入力!$D$18*10^-6*(グラフ!AZ$4-20))))*1000</f>
        <v>34.988336128093891</v>
      </c>
      <c r="BA13" s="160">
        <f>(寸法→圧入力!$E$72+寸法→圧入力!$D$3*((寸法→圧入力!$D$33*10^-6*(グラフ!$AV13-20))-(寸法→圧入力!$D$18*10^-6*(グラフ!BA$4-20))))*1000</f>
        <v>31.418336128093888</v>
      </c>
      <c r="BB13" s="160">
        <f>(寸法→圧入力!$E$72+寸法→圧入力!$D$3*((寸法→圧入力!$D$33*10^-6*(グラフ!$AV13-20))-(寸法→圧入力!$D$18*10^-6*(グラフ!BB$4-20))))*1000</f>
        <v>27.848336128093891</v>
      </c>
      <c r="BC13" s="160">
        <f>(寸法→圧入力!$E$72+寸法→圧入力!$D$3*((寸法→圧入力!$D$33*10^-6*(グラフ!$AV13-20))-(寸法→圧入力!$D$18*10^-6*(グラフ!BC$4-20))))*1000</f>
        <v>24.278336128093887</v>
      </c>
      <c r="BD13" s="164">
        <f>(寸法→圧入力!$E$72+寸法→圧入力!$D$3*((寸法→圧入力!$D$33*10^-6*(グラフ!$AV13-20))-(寸法→圧入力!$D$18*10^-6*(グラフ!BD$4-20))))*1000</f>
        <v>20.70833612809389</v>
      </c>
      <c r="BE13" s="160">
        <f>(寸法→圧入力!$E$72+寸法→圧入力!$D$3*((寸法→圧入力!$D$33*10^-6*(グラフ!$AV13-20))-(寸法→圧入力!$D$18*10^-6*(グラフ!BE$4-20))))*1000</f>
        <v>17.13833612809389</v>
      </c>
      <c r="BF13" s="160">
        <f>(寸法→圧入力!$E$72+寸法→圧入力!$D$3*((寸法→圧入力!$D$33*10^-6*(グラフ!$AV13-20))-(寸法→圧入力!$D$18*10^-6*(グラフ!BF$4-20))))*1000</f>
        <v>13.56833612809389</v>
      </c>
      <c r="BG13" s="160">
        <f>(寸法→圧入力!$E$72+寸法→圧入力!$D$3*((寸法→圧入力!$D$33*10^-6*(グラフ!$AV13-20))-(寸法→圧入力!$D$18*10^-6*(グラフ!BG$4-20))))*1000</f>
        <v>9.9983361280938894</v>
      </c>
      <c r="BH13" s="160">
        <f>(寸法→圧入力!$E$72+寸法→圧入力!$D$3*((寸法→圧入力!$D$33*10^-6*(グラフ!$AV13-20))-(寸法→圧入力!$D$18*10^-6*(グラフ!BH$4-20))))*1000</f>
        <v>6.4283361280938909</v>
      </c>
      <c r="BI13" s="160">
        <f>(寸法→圧入力!$E$72+寸法→圧入力!$D$3*((寸法→圧入力!$D$33*10^-6*(グラフ!$AV13-20))-(寸法→圧入力!$D$18*10^-6*(グラフ!BI$4-20))))*1000</f>
        <v>2.8583361280938928</v>
      </c>
      <c r="BJ13" s="160">
        <f>(寸法→圧入力!$E$72+寸法→圧入力!$D$3*((寸法→圧入力!$D$33*10^-6*(グラフ!$AV13-20))-(寸法→圧入力!$D$18*10^-6*(グラフ!BJ$4-20))))*1000</f>
        <v>-0.71166387190610936</v>
      </c>
      <c r="BK13" s="160">
        <f>(寸法→圧入力!$E$72+寸法→圧入力!$D$3*((寸法→圧入力!$D$33*10^-6*(グラフ!$AV13-20))-(寸法→圧入力!$D$18*10^-6*(グラフ!BK$4-20))))*1000</f>
        <v>-4.2816638719061082</v>
      </c>
      <c r="BL13" s="160">
        <f>(寸法→圧入力!$E$72+寸法→圧入力!$D$3*((寸法→圧入力!$D$33*10^-6*(グラフ!$AV13-20))-(寸法→圧入力!$D$18*10^-6*(グラフ!BL$4-20))))*1000</f>
        <v>-7.8516638719061085</v>
      </c>
      <c r="BM13" s="160">
        <f>(寸法→圧入力!$E$72+寸法→圧入力!$D$3*((寸法→圧入力!$D$33*10^-6*(グラフ!$AV13-20))-(寸法→圧入力!$D$18*10^-6*(グラフ!BM$4-20))))*1000</f>
        <v>-11.421663871906105</v>
      </c>
      <c r="BN13" s="160">
        <f>(寸法→圧入力!$E$72+寸法→圧入力!$D$3*((寸法→圧入力!$D$33*10^-6*(グラフ!$AV13-20))-(寸法→圧入力!$D$18*10^-6*(グラフ!BN$4-20))))*1000</f>
        <v>-14.991663871906109</v>
      </c>
      <c r="BO13" s="160">
        <f>(寸法→圧入力!$E$72+寸法→圧入力!$D$3*((寸法→圧入力!$D$33*10^-6*(グラフ!$AV13-20))-(寸法→圧入力!$D$18*10^-6*(グラフ!BO$4-20))))*1000</f>
        <v>-18.561663871906116</v>
      </c>
      <c r="BP13" s="160">
        <f>(寸法→圧入力!$E$72+寸法→圧入力!$D$3*((寸法→圧入力!$D$33*10^-6*(グラフ!$AV13-20))-(寸法→圧入力!$D$18*10^-6*(グラフ!BP$4-20))))*1000</f>
        <v>-22.131663871906113</v>
      </c>
      <c r="BQ13" s="160">
        <f>(寸法→圧入力!$E$72+寸法→圧入力!$D$3*((寸法→圧入力!$D$33*10^-6*(グラフ!$AV13-20))-(寸法→圧入力!$D$18*10^-6*(グラフ!BQ$4-20))))*1000</f>
        <v>-25.70166387190611</v>
      </c>
    </row>
    <row r="14" spans="1:69" x14ac:dyDescent="0.7">
      <c r="A14" s="22">
        <f t="shared" si="1"/>
        <v>0.08</v>
      </c>
      <c r="B14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78.86894921949694</v>
      </c>
      <c r="C14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80.875151936100011</v>
      </c>
      <c r="D14" s="11">
        <f>(A14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82.756846469733489</v>
      </c>
      <c r="E14" s="11">
        <f>テーブル3[[#This Row],[半径方向応力min]]*寸法→圧入力!D$43*寸法→圧入力!D$5/1000</f>
        <v>9.1728089329487226</v>
      </c>
      <c r="F14" s="11">
        <f>テーブル3[[#This Row],[半径方向応力min]]*寸法→圧入力!E$43*寸法→圧入力!E$5/1000</f>
        <v>11.712204819508477</v>
      </c>
      <c r="G14" s="11">
        <f>テーブル3[[#This Row],[半径方向応力min]]*寸法→圧入力!F$43*寸法→圧入力!F$5/1000</f>
        <v>14.352853361332727</v>
      </c>
      <c r="H14" s="11">
        <f>寸法→圧入力!$D$19</f>
        <v>345</v>
      </c>
      <c r="I14" s="11">
        <f>寸法→圧入力!$D$34</f>
        <v>150</v>
      </c>
      <c r="J14" s="11">
        <f>テーブル3[[#This Row],[半径方向応力nor]]*2*寸法→圧入力!E$13^2/(寸法→圧入力!E$13^2-寸法→圧入力!E$14^2)</f>
        <v>215.5713580615276</v>
      </c>
      <c r="K14" s="11">
        <f>テーブル3[[#This Row],[半径方向応力nor]]* (1+(寸法→圧入力!E$29/寸法→圧入力!E$28)^2)/((寸法→圧入力!E$29/寸法→圧入力!E$28)^2-1)</f>
        <v>210.35306236274448</v>
      </c>
      <c r="N14">
        <f t="shared" si="3"/>
        <v>-10</v>
      </c>
      <c r="O14" s="22">
        <f>寸法→圧入力!F$13*(1+寸法→圧入力!D$18*10^-6*(テーブル4[[#This Row],[inner温度'[℃']]]-20)) - 寸法→圧入力!D$28*(1+寸法→圧入力!D$33*10^-6*(テーブル4[[#This Row],[inner温度'[℃']]]+O$3-20))</f>
        <v>5.2081074999996702E-2</v>
      </c>
      <c r="P14" s="22">
        <f>寸法→圧入力!F$13*(1+寸法→圧入力!D$18*10^-6*(テーブル4[[#This Row],[inner温度'[℃']]]-20)) - 寸法→圧入力!D$28*(1+寸法→圧入力!D$33*10^-6*(テーブル4[[#This Row],[inner温度'[℃']]]+P$3-20))</f>
        <v>4.5781074999997173E-2</v>
      </c>
      <c r="Q14" s="22">
        <f>寸法→圧入力!F$13*(1+寸法→圧入力!D$18*10^-6*(テーブル4[[#This Row],[inner温度'[℃']]]-20)) - 寸法→圧入力!D$28*(1+寸法→圧入力!D$33*10^-6*(テーブル4[[#This Row],[inner温度'[℃']]]+Q$3-20))</f>
        <v>3.9481074999994092E-2</v>
      </c>
      <c r="R14" s="22">
        <f>寸法→圧入力!F$13*(1+寸法→圧入力!D$18*10^-6*(テーブル4[[#This Row],[inner温度'[℃']]]-20)) - 寸法→圧入力!D$28*(1+寸法→圧入力!D$33*10^-6*(テーブル4[[#This Row],[inner温度'[℃']]]+R$3-20))</f>
        <v>3.3181074999998117E-2</v>
      </c>
      <c r="S14" s="22">
        <f>寸法→圧入力!F$13*(1+寸法→圧入力!D$18*10^-6*(テーブル4[[#This Row],[inner温度'[℃']]]-20)) - 寸法→圧入力!D$28*(1+寸法→圧入力!D$33*10^-6*(テーブル4[[#This Row],[inner温度'[℃']]]+S$3-20))</f>
        <v>2.6881074999995036E-2</v>
      </c>
      <c r="T14" s="22">
        <f>寸法→圧入力!F$13*(1+寸法→圧入力!D$18*10^-6*(テーブル4[[#This Row],[inner温度'[℃']]]-20)) - 寸法→圧入力!D$28*(1+寸法→圧入力!D$33*10^-6*(テーブル4[[#This Row],[inner温度'[℃']]]+T$3-20))</f>
        <v>2.0581074999999061E-2</v>
      </c>
      <c r="U14" s="22">
        <f>寸法→圧入力!F$13*(1+寸法→圧入力!D$18*10^-6*(テーブル4[[#This Row],[inner温度'[℃']]]-20)) - 寸法→圧入力!D$28*(1+寸法→圧入力!D$33*10^-6*(テーブル4[[#This Row],[inner温度'[℃']]]+U$3-20))</f>
        <v>1.428107499999598E-2</v>
      </c>
      <c r="V14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53.875819096917525</v>
      </c>
      <c r="W14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47.358717437426499</v>
      </c>
      <c r="X14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40.8416157779318</v>
      </c>
      <c r="Y14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34.324514118444455</v>
      </c>
      <c r="Z14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27.807412458949752</v>
      </c>
      <c r="AA14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21.290310799462404</v>
      </c>
      <c r="AB14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14.773209139967705</v>
      </c>
      <c r="AC14" s="11">
        <f>テーブル4[[#This Row],[半径方向応力:Δ-30℃]]*2*寸法→圧入力!D$13^2/(寸法→圧入力!D$13^2-寸法→圧入力!F$14^2)</f>
        <v>144.26346450930328</v>
      </c>
      <c r="AD14" s="11">
        <f>テーブル4[[#This Row],[半径方向応力:Δ-20℃]]*2*寸法→圧入力!D$13^2/(寸法→圧入力!D$13^2-寸法→圧入力!F$14^2)</f>
        <v>126.81259917273715</v>
      </c>
      <c r="AE14" s="11">
        <f>テーブル4[[#This Row],[半径方向応力:Δ-10℃]]*2*寸法→圧入力!D$13^2/(寸法→圧入力!D$13^2-寸法→圧入力!F$14^2)</f>
        <v>109.36173383616119</v>
      </c>
      <c r="AF14" s="11">
        <f>テーブル4[[#This Row],[半径方向応力:Δ0℃]]*2*寸法→圧入力!D$13^2/(寸法→圧入力!D$13^2-寸法→圧入力!F$14^2)</f>
        <v>91.910868499604916</v>
      </c>
      <c r="AG14" s="11">
        <f>テーブル4[[#This Row],[半径方向応力:Δ+10℃]]*2*寸法→圧入力!D$13^2/(寸法→圧入力!D$13^2-寸法→圧入力!F$14^2)</f>
        <v>74.460003163028958</v>
      </c>
      <c r="AH14" s="11">
        <f>テーブル4[[#This Row],[半径方向応力:Δ+20℃]]*2*寸法→圧入力!D$13^2/(寸法→圧入力!D$13^2-寸法→圧入力!F$14^2)</f>
        <v>57.009137826472688</v>
      </c>
      <c r="AI14" s="11">
        <f>テーブル4[[#This Row],[半径方向応力:Δ+30℃]]*2*寸法→圧入力!D$13^2/(寸法→圧入力!D$13^2-寸法→圧入力!F$14^2)</f>
        <v>39.55827248989673</v>
      </c>
      <c r="AJ14" s="11">
        <f>寸法→圧入力!$D$19</f>
        <v>345</v>
      </c>
      <c r="AK14" s="11">
        <f>テーブル4[[#This Row],[半径方向応力:Δ-30℃]]* (1+(寸法→圧入力!D$29/寸法→圧入力!F$28)^2)/((寸法→圧入力!D$29/寸法→圧入力!F$28)^2-1)</f>
        <v>147.59915839078039</v>
      </c>
      <c r="AL14" s="11">
        <f>テーブル4[[#This Row],[半径方向応力:Δ-20℃]]* (1+(寸法→圧入力!D$29/寸法→圧入力!F$28)^2)/((寸法→圧入力!D$29/寸法→圧入力!F$28)^2-1)</f>
        <v>129.74479002641951</v>
      </c>
      <c r="AM14" s="11">
        <f>テーブル4[[#This Row],[半径方向応力:Δ-10℃]]* (1+(寸法→圧入力!D$29/寸法→圧入力!F$28)^2)/((寸法→圧入力!D$29/寸法→圧入力!F$28)^2-1)</f>
        <v>111.89042166204858</v>
      </c>
      <c r="AN14" s="11">
        <f>テーブル4[[#This Row],[半径方向応力:Δ0℃]]* (1+(寸法→圧入力!D$29/寸法→圧入力!F$28)^2)/((寸法→圧入力!D$29/寸法→圧入力!F$28)^2-1)</f>
        <v>94.036053297697791</v>
      </c>
      <c r="AO14" s="11">
        <f>テーブル4[[#This Row],[半径方向応力:Δ+10℃]]* (1+(寸法→圧入力!D$29/寸法→圧入力!F$28)^2)/((寸法→圧入力!D$29/寸法→圧入力!F$28)^2-1)</f>
        <v>76.181684933326849</v>
      </c>
      <c r="AP14" s="11">
        <f>テーブル4[[#This Row],[半径方向応力:Δ+20℃]]* (1+(寸法→圧入力!D$29/寸法→圧入力!F$28)^2)/((寸法→圧入力!D$29/寸法→圧入力!F$28)^2-1)</f>
        <v>58.327316568976052</v>
      </c>
      <c r="AQ14" s="11">
        <f>テーブル4[[#This Row],[半径方向応力:Δ+30℃]]* (1+(寸法→圧入力!D$29/寸法→圧入力!F$28)^2)/((寸法→圧入力!D$29/寸法→圧入力!F$28)^2-1)</f>
        <v>40.47294820460511</v>
      </c>
      <c r="AR14" s="11">
        <f>寸法→圧入力!$D$34</f>
        <v>150</v>
      </c>
      <c r="AU14" s="152"/>
      <c r="AV14" s="151">
        <f t="shared" si="2"/>
        <v>40</v>
      </c>
      <c r="AW14" s="160">
        <f>(寸法→圧入力!$E$72+寸法→圧入力!$D$3*((寸法→圧入力!$D$33*10^-6*(グラフ!$AV14-20))-(寸法→圧入力!$D$18*10^-6*(グラフ!AW$4-20))))*1000</f>
        <v>51.998336128093889</v>
      </c>
      <c r="AX14" s="160">
        <f>(寸法→圧入力!$E$72+寸法→圧入力!$D$3*((寸法→圧入力!$D$33*10^-6*(グラフ!$AV14-20))-(寸法→圧入力!$D$18*10^-6*(グラフ!AX$4-20))))*1000</f>
        <v>48.428336128093889</v>
      </c>
      <c r="AY14" s="160">
        <f>(寸法→圧入力!$E$72+寸法→圧入力!$D$3*((寸法→圧入力!$D$33*10^-6*(グラフ!$AV14-20))-(寸法→圧入力!$D$18*10^-6*(グラフ!AY$4-20))))*1000</f>
        <v>44.858336128093882</v>
      </c>
      <c r="AZ14" s="160">
        <f>(寸法→圧入力!$E$72+寸法→圧入力!$D$3*((寸法→圧入力!$D$33*10^-6*(グラフ!$AV14-20))-(寸法→圧入力!$D$18*10^-6*(グラフ!AZ$4-20))))*1000</f>
        <v>41.288336128093889</v>
      </c>
      <c r="BA14" s="160">
        <f>(寸法→圧入力!$E$72+寸法→圧入力!$D$3*((寸法→圧入力!$D$33*10^-6*(グラフ!$AV14-20))-(寸法→圧入力!$D$18*10^-6*(グラフ!BA$4-20))))*1000</f>
        <v>37.718336128093888</v>
      </c>
      <c r="BB14" s="160">
        <f>(寸法→圧入力!$E$72+寸法→圧入力!$D$3*((寸法→圧入力!$D$33*10^-6*(グラフ!$AV14-20))-(寸法→圧入力!$D$18*10^-6*(グラフ!BB$4-20))))*1000</f>
        <v>34.148336128093881</v>
      </c>
      <c r="BC14" s="160">
        <f>(寸法→圧入力!$E$72+寸法→圧入力!$D$3*((寸法→圧入力!$D$33*10^-6*(グラフ!$AV14-20))-(寸法→圧入力!$D$18*10^-6*(グラフ!BC$4-20))))*1000</f>
        <v>30.578336128093891</v>
      </c>
      <c r="BD14" s="160">
        <f>(寸法→圧入力!$E$72+寸法→圧入力!$D$3*((寸法→圧入力!$D$33*10^-6*(グラフ!$AV14-20))-(寸法→圧入力!$D$18*10^-6*(グラフ!BD$4-20))))*1000</f>
        <v>27.008336128093891</v>
      </c>
      <c r="BE14" s="160">
        <f>(寸法→圧入力!$E$72+寸法→圧入力!$D$3*((寸法→圧入力!$D$33*10^-6*(グラフ!$AV14-20))-(寸法→圧入力!$D$18*10^-6*(グラフ!BE$4-20))))*1000</f>
        <v>23.438336128093887</v>
      </c>
      <c r="BF14" s="160">
        <f>(寸法→圧入力!$E$72+寸法→圧入力!$D$3*((寸法→圧入力!$D$33*10^-6*(グラフ!$AV14-20))-(寸法→圧入力!$D$18*10^-6*(グラフ!BF$4-20))))*1000</f>
        <v>19.86833612809389</v>
      </c>
      <c r="BG14" s="160">
        <f>(寸法→圧入力!$E$72+寸法→圧入力!$D$3*((寸法→圧入力!$D$33*10^-6*(グラフ!$AV14-20))-(寸法→圧入力!$D$18*10^-6*(グラフ!BG$4-20))))*1000</f>
        <v>16.29833612809389</v>
      </c>
      <c r="BH14" s="160">
        <f>(寸法→圧入力!$E$72+寸法→圧入力!$D$3*((寸法→圧入力!$D$33*10^-6*(グラフ!$AV14-20))-(寸法→圧入力!$D$18*10^-6*(グラフ!BH$4-20))))*1000</f>
        <v>12.72833612809389</v>
      </c>
      <c r="BI14" s="160">
        <f>(寸法→圧入力!$E$72+寸法→圧入力!$D$3*((寸法→圧入力!$D$33*10^-6*(グラフ!$AV14-20))-(寸法→圧入力!$D$18*10^-6*(グラフ!BI$4-20))))*1000</f>
        <v>9.1583361280938913</v>
      </c>
      <c r="BJ14" s="160">
        <f>(寸法→圧入力!$E$72+寸法→圧入力!$D$3*((寸法→圧入力!$D$33*10^-6*(グラフ!$AV14-20))-(寸法→圧入力!$D$18*10^-6*(グラフ!BJ$4-20))))*1000</f>
        <v>5.5883361280938892</v>
      </c>
      <c r="BK14" s="160">
        <f>(寸法→圧入力!$E$72+寸法→圧入力!$D$3*((寸法→圧入力!$D$33*10^-6*(グラフ!$AV14-20))-(寸法→圧入力!$D$18*10^-6*(グラフ!BK$4-20))))*1000</f>
        <v>2.0183361280938903</v>
      </c>
      <c r="BL14" s="160">
        <f>(寸法→圧入力!$E$72+寸法→圧入力!$D$3*((寸法→圧入力!$D$33*10^-6*(グラフ!$AV14-20))-(寸法→圧入力!$D$18*10^-6*(グラフ!BL$4-20))))*1000</f>
        <v>-1.551663871906108</v>
      </c>
      <c r="BM14" s="160">
        <f>(寸法→圧入力!$E$72+寸法→圧入力!$D$3*((寸法→圧入力!$D$33*10^-6*(グラフ!$AV14-20))-(寸法→圧入力!$D$18*10^-6*(グラフ!BM$4-20))))*1000</f>
        <v>-5.1216638719061045</v>
      </c>
      <c r="BN14" s="160">
        <f>(寸法→圧入力!$E$72+寸法→圧入力!$D$3*((寸法→圧入力!$D$33*10^-6*(グラフ!$AV14-20))-(寸法→圧入力!$D$18*10^-6*(グラフ!BN$4-20))))*1000</f>
        <v>-8.6916638719061048</v>
      </c>
      <c r="BO14" s="160">
        <f>(寸法→圧入力!$E$72+寸法→圧入力!$D$3*((寸法→圧入力!$D$33*10^-6*(グラフ!$AV14-20))-(寸法→圧入力!$D$18*10^-6*(グラフ!BO$4-20))))*1000</f>
        <v>-12.261663871906109</v>
      </c>
      <c r="BP14" s="160">
        <f>(寸法→圧入力!$E$72+寸法→圧入力!$D$3*((寸法→圧入力!$D$33*10^-6*(グラフ!$AV14-20))-(寸法→圧入力!$D$18*10^-6*(グラフ!BP$4-20))))*1000</f>
        <v>-15.831663871906109</v>
      </c>
      <c r="BQ14" s="160">
        <f>(寸法→圧入力!$E$72+寸法→圧入力!$D$3*((寸法→圧入力!$D$33*10^-6*(グラフ!$AV14-20))-(寸法→圧入力!$D$18*10^-6*(グラフ!BQ$4-20))))*1000</f>
        <v>-19.401663871906109</v>
      </c>
    </row>
    <row r="15" spans="1:69" x14ac:dyDescent="0.7">
      <c r="A15" s="22">
        <f t="shared" si="1"/>
        <v>0.09</v>
      </c>
      <c r="B15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88.727567871934056</v>
      </c>
      <c r="C15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90.984545928112524</v>
      </c>
      <c r="D15" s="11">
        <f>(A15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93.101452278450168</v>
      </c>
      <c r="E15" s="11">
        <f>テーブル3[[#This Row],[半径方向応力min]]*寸法→圧入力!D$43*寸法→圧入力!D$5/1000</f>
        <v>10.319410049567312</v>
      </c>
      <c r="F15" s="11">
        <f>テーブル3[[#This Row],[半径方向応力min]]*寸法→圧入力!E$43*寸法→圧入力!E$5/1000</f>
        <v>13.176230421947038</v>
      </c>
      <c r="G15" s="11">
        <f>テーブル3[[#This Row],[半径方向応力min]]*寸法→圧入力!F$43*寸法→圧入力!F$5/1000</f>
        <v>16.146960031499315</v>
      </c>
      <c r="H15" s="11">
        <f>寸法→圧入力!$D$19</f>
        <v>345</v>
      </c>
      <c r="I15" s="11">
        <f>寸法→圧入力!$D$34</f>
        <v>150</v>
      </c>
      <c r="J15" s="11">
        <f>テーブル3[[#This Row],[半径方向応力nor]]*2*寸法→圧入力!E$13^2/(寸法→圧入力!E$13^2-寸法→圧入力!E$14^2)</f>
        <v>242.51777781921859</v>
      </c>
      <c r="K15" s="11">
        <f>テーブル3[[#This Row],[半径方向応力nor]]* (1+(寸法→圧入力!E$29/寸法→圧入力!E$28)^2)/((寸法→圧入力!E$29/寸法→圧入力!E$28)^2-1)</f>
        <v>236.64719515808756</v>
      </c>
      <c r="N15">
        <f t="shared" si="3"/>
        <v>-5</v>
      </c>
      <c r="O15" s="22">
        <f>寸法→圧入力!F$13*(1+寸法→圧入力!D$18*10^-6*(テーブル4[[#This Row],[inner温度'[℃']]]-20)) - 寸法→圧入力!D$28*(1+寸法→圧入力!D$33*10^-6*(テーブル4[[#This Row],[inner温度'[℃']]]+O$3-20))</f>
        <v>5.0717562500000923E-2</v>
      </c>
      <c r="P15" s="22">
        <f>寸法→圧入力!F$13*(1+寸法→圧入力!D$18*10^-6*(テーブル4[[#This Row],[inner温度'[℃']]]-20)) - 寸法→圧入力!D$28*(1+寸法→圧入力!D$33*10^-6*(テーブル4[[#This Row],[inner温度'[℃']]]+P$3-20))</f>
        <v>4.4417562500001395E-2</v>
      </c>
      <c r="Q15" s="22">
        <f>寸法→圧入力!F$13*(1+寸法→圧入力!D$18*10^-6*(テーブル4[[#This Row],[inner温度'[℃']]]-20)) - 寸法→圧入力!D$28*(1+寸法→圧入力!D$33*10^-6*(テーブル4[[#This Row],[inner温度'[℃']]]+Q$3-20))</f>
        <v>3.8117562500001867E-2</v>
      </c>
      <c r="R15" s="22">
        <f>寸法→圧入力!F$13*(1+寸法→圧入力!D$18*10^-6*(テーブル4[[#This Row],[inner温度'[℃']]]-20)) - 寸法→圧入力!D$28*(1+寸法→圧入力!D$33*10^-6*(テーブル4[[#This Row],[inner温度'[℃']]]+R$3-20))</f>
        <v>3.1817562500002339E-2</v>
      </c>
      <c r="S15" s="22">
        <f>寸法→圧入力!F$13*(1+寸法→圧入力!D$18*10^-6*(テーブル4[[#This Row],[inner温度'[℃']]]-20)) - 寸法→圧入力!D$28*(1+寸法→圧入力!D$33*10^-6*(テーブル4[[#This Row],[inner温度'[℃']]]+S$3-20))</f>
        <v>2.5517562499999258E-2</v>
      </c>
      <c r="T15" s="22">
        <f>寸法→圧入力!F$13*(1+寸法→圧入力!D$18*10^-6*(テーブル4[[#This Row],[inner温度'[℃']]]-20)) - 寸法→圧入力!D$28*(1+寸法→圧入力!D$33*10^-6*(テーブル4[[#This Row],[inner温度'[℃']]]+T$3-20))</f>
        <v>1.9217562500003282E-2</v>
      </c>
      <c r="U15" s="22">
        <f>寸法→圧入力!F$13*(1+寸法→圧入力!D$18*10^-6*(テーブル4[[#This Row],[inner温度'[℃']]]-20)) - 寸法→圧入力!D$28*(1+寸法→圧入力!D$33*10^-6*(テーブル4[[#This Row],[inner温度'[℃']]]+U$3-20))</f>
        <v>1.2917562500000201E-2</v>
      </c>
      <c r="V15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52.465319164146116</v>
      </c>
      <c r="W15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45.948217504655091</v>
      </c>
      <c r="X15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39.431115845164065</v>
      </c>
      <c r="Y15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32.914014185673039</v>
      </c>
      <c r="Z15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26.396912526178337</v>
      </c>
      <c r="AA15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19.879810866690992</v>
      </c>
      <c r="AB15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13.362709207196291</v>
      </c>
      <c r="AC15" s="11">
        <f>テーブル4[[#This Row],[半径方向応力:Δ-30℃]]*2*寸法→圧入力!D$13^2/(寸法→圧入力!D$13^2-寸法→圧入力!F$14^2)</f>
        <v>140.48656402959651</v>
      </c>
      <c r="AD15" s="11">
        <f>テーブル4[[#This Row],[半径方向応力:Δ-20℃]]*2*寸法→圧入力!D$13^2/(寸法→圧入力!D$13^2-寸法→圧入力!F$14^2)</f>
        <v>123.03569869303038</v>
      </c>
      <c r="AE15" s="11">
        <f>テーブル4[[#This Row],[半径方向応力:Δ-10℃]]*2*寸法→圧入力!D$13^2/(寸法→圧入力!D$13^2-寸法→圧入力!F$14^2)</f>
        <v>105.58483335646426</v>
      </c>
      <c r="AF15" s="11">
        <f>テーブル4[[#This Row],[半径方向応力:Δ0℃]]*2*寸法→圧入力!D$13^2/(寸法→圧入力!D$13^2-寸法→圧入力!F$14^2)</f>
        <v>88.133968019898148</v>
      </c>
      <c r="AG15" s="11">
        <f>テーブル4[[#This Row],[半径方向応力:Δ+10℃]]*2*寸法→圧入力!D$13^2/(寸法→圧入力!D$13^2-寸法→圧入力!F$14^2)</f>
        <v>70.683102683322176</v>
      </c>
      <c r="AH15" s="11">
        <f>テーブル4[[#This Row],[半径方向応力:Δ+20℃]]*2*寸法→圧入力!D$13^2/(寸法→圧入力!D$13^2-寸法→圧入力!F$14^2)</f>
        <v>53.232237346765913</v>
      </c>
      <c r="AI15" s="11">
        <f>テーブル4[[#This Row],[半径方向応力:Δ+30℃]]*2*寸法→圧入力!D$13^2/(寸法→圧入力!D$13^2-寸法→圧入力!F$14^2)</f>
        <v>35.781372010189955</v>
      </c>
      <c r="AJ15" s="11">
        <f>寸法→圧入力!$D$19</f>
        <v>345</v>
      </c>
      <c r="AK15" s="11">
        <f>テーブル4[[#This Row],[半径方向応力:Δ-30℃]]* (1+(寸法→圧入力!D$29/寸法→圧入力!F$28)^2)/((寸法→圧入力!D$29/寸法→圧入力!F$28)^2-1)</f>
        <v>143.73492752659993</v>
      </c>
      <c r="AL15" s="11">
        <f>テーブル4[[#This Row],[半径方向応力:Δ-20℃]]* (1+(寸法→圧入力!D$29/寸法→圧入力!F$28)^2)/((寸法→圧入力!D$29/寸法→圧入力!F$28)^2-1)</f>
        <v>125.88055916223905</v>
      </c>
      <c r="AM15" s="11">
        <f>テーブル4[[#This Row],[半径方向応力:Δ-10℃]]* (1+(寸法→圧入力!D$29/寸法→圧入力!F$28)^2)/((寸法→圧入力!D$29/寸法→圧入力!F$28)^2-1)</f>
        <v>108.02619079787817</v>
      </c>
      <c r="AN15" s="11">
        <f>テーブル4[[#This Row],[半径方向応力:Δ0℃]]* (1+(寸法→圧入力!D$29/寸法→圧入力!F$28)^2)/((寸法→圧入力!D$29/寸法→圧入力!F$28)^2-1)</f>
        <v>90.171822433517306</v>
      </c>
      <c r="AO15" s="11">
        <f>テーブル4[[#This Row],[半径方向応力:Δ+10℃]]* (1+(寸法→圧入力!D$29/寸法→圧入力!F$28)^2)/((寸法→圧入力!D$29/寸法→圧入力!F$28)^2-1)</f>
        <v>72.317454069146365</v>
      </c>
      <c r="AP15" s="11">
        <f>テーブル4[[#This Row],[半径方向応力:Δ+20℃]]* (1+(寸法→圧入力!D$29/寸法→圧入力!F$28)^2)/((寸法→圧入力!D$29/寸法→圧入力!F$28)^2-1)</f>
        <v>54.463085704795567</v>
      </c>
      <c r="AQ15" s="11">
        <f>テーブル4[[#This Row],[半径方向応力:Δ+30℃]]* (1+(寸法→圧入力!D$29/寸法→圧入力!F$28)^2)/((寸法→圧入力!D$29/寸法→圧入力!F$28)^2-1)</f>
        <v>36.608717340424626</v>
      </c>
      <c r="AR15" s="11">
        <f>寸法→圧入力!$D$34</f>
        <v>150</v>
      </c>
      <c r="AU15" s="152"/>
      <c r="AV15" s="151">
        <f t="shared" si="2"/>
        <v>50</v>
      </c>
      <c r="AW15" s="160">
        <f>(寸法→圧入力!$E$72+寸法→圧入力!$D$3*((寸法→圧入力!$D$33*10^-6*(グラフ!$AV15-20))-(寸法→圧入力!$D$18*10^-6*(グラフ!AW$4-20))))*1000</f>
        <v>58.298336128093887</v>
      </c>
      <c r="AX15" s="160">
        <f>(寸法→圧入力!$E$72+寸法→圧入力!$D$3*((寸法→圧入力!$D$33*10^-6*(グラフ!$AV15-20))-(寸法→圧入力!$D$18*10^-6*(グラフ!AX$4-20))))*1000</f>
        <v>54.728336128093886</v>
      </c>
      <c r="AY15" s="160">
        <f>(寸法→圧入力!$E$72+寸法→圧入力!$D$3*((寸法→圧入力!$D$33*10^-6*(グラフ!$AV15-20))-(寸法→圧入力!$D$18*10^-6*(グラフ!AY$4-20))))*1000</f>
        <v>51.158336128093886</v>
      </c>
      <c r="AZ15" s="160">
        <f>(寸法→圧入力!$E$72+寸法→圧入力!$D$3*((寸法→圧入力!$D$33*10^-6*(グラフ!$AV15-20))-(寸法→圧入力!$D$18*10^-6*(グラフ!AZ$4-20))))*1000</f>
        <v>47.588336128093886</v>
      </c>
      <c r="BA15" s="160">
        <f>(寸法→圧入力!$E$72+寸法→圧入力!$D$3*((寸法→圧入力!$D$33*10^-6*(グラフ!$AV15-20))-(寸法→圧入力!$D$18*10^-6*(グラフ!BA$4-20))))*1000</f>
        <v>44.018336128093885</v>
      </c>
      <c r="BB15" s="160">
        <f>(寸法→圧入力!$E$72+寸法→圧入力!$D$3*((寸法→圧入力!$D$33*10^-6*(グラフ!$AV15-20))-(寸法→圧入力!$D$18*10^-6*(グラフ!BB$4-20))))*1000</f>
        <v>40.448336128093885</v>
      </c>
      <c r="BC15" s="160">
        <f>(寸法→圧入力!$E$72+寸法→圧入力!$D$3*((寸法→圧入力!$D$33*10^-6*(グラフ!$AV15-20))-(寸法→圧入力!$D$18*10^-6*(グラフ!BC$4-20))))*1000</f>
        <v>36.878336128093885</v>
      </c>
      <c r="BD15" s="160">
        <f>(寸法→圧入力!$E$72+寸法→圧入力!$D$3*((寸法→圧入力!$D$33*10^-6*(グラフ!$AV15-20))-(寸法→圧入力!$D$18*10^-6*(グラフ!BD$4-20))))*1000</f>
        <v>33.308336128093892</v>
      </c>
      <c r="BE15" s="160">
        <f>(寸法→圧入力!$E$72+寸法→圧入力!$D$3*((寸法→圧入力!$D$33*10^-6*(グラフ!$AV15-20))-(寸法→圧入力!$D$18*10^-6*(グラフ!BE$4-20))))*1000</f>
        <v>29.738336128093888</v>
      </c>
      <c r="BF15" s="160">
        <f>(寸法→圧入力!$E$72+寸法→圧入力!$D$3*((寸法→圧入力!$D$33*10^-6*(グラフ!$AV15-20))-(寸法→圧入力!$D$18*10^-6*(グラフ!BF$4-20))))*1000</f>
        <v>26.168336128093891</v>
      </c>
      <c r="BG15" s="160">
        <f>(寸法→圧入力!$E$72+寸法→圧入力!$D$3*((寸法→圧入力!$D$33*10^-6*(グラフ!$AV15-20))-(寸法→圧入力!$D$18*10^-6*(グラフ!BG$4-20))))*1000</f>
        <v>22.598336128093887</v>
      </c>
      <c r="BH15" s="160">
        <f>(寸法→圧入力!$E$72+寸法→圧入力!$D$3*((寸法→圧入力!$D$33*10^-6*(グラフ!$AV15-20))-(寸法→圧入力!$D$18*10^-6*(グラフ!BH$4-20))))*1000</f>
        <v>19.028336128093891</v>
      </c>
      <c r="BI15" s="160">
        <f>(寸法→圧入力!$E$72+寸法→圧入力!$D$3*((寸法→圧入力!$D$33*10^-6*(グラフ!$AV15-20))-(寸法→圧入力!$D$18*10^-6*(グラフ!BI$4-20))))*1000</f>
        <v>15.458336128093888</v>
      </c>
      <c r="BJ15" s="160">
        <f>(寸法→圧入力!$E$72+寸法→圧入力!$D$3*((寸法→圧入力!$D$33*10^-6*(グラフ!$AV15-20))-(寸法→圧入力!$D$18*10^-6*(グラフ!BJ$4-20))))*1000</f>
        <v>11.888336128093886</v>
      </c>
      <c r="BK15" s="160">
        <f>(寸法→圧入力!$E$72+寸法→圧入力!$D$3*((寸法→圧入力!$D$33*10^-6*(グラフ!$AV15-20))-(寸法→圧入力!$D$18*10^-6*(グラフ!BK$4-20))))*1000</f>
        <v>8.3183361280938879</v>
      </c>
      <c r="BL15" s="160">
        <f>(寸法→圧入力!$E$72+寸法→圧入力!$D$3*((寸法→圧入力!$D$33*10^-6*(グラフ!$AV15-20))-(寸法→圧入力!$D$18*10^-6*(グラフ!BL$4-20))))*1000</f>
        <v>4.7483361280938903</v>
      </c>
      <c r="BM15" s="160">
        <f>(寸法→圧入力!$E$72+寸法→圧入力!$D$3*((寸法→圧入力!$D$33*10^-6*(グラフ!$AV15-20))-(寸法→圧入力!$D$18*10^-6*(グラフ!BM$4-20))))*1000</f>
        <v>1.1783361280938918</v>
      </c>
      <c r="BN15" s="160">
        <f>(寸法→圧入力!$E$72+寸法→圧入力!$D$3*((寸法→圧入力!$D$33*10^-6*(グラフ!$AV15-20))-(寸法→圧入力!$D$18*10^-6*(グラフ!BN$4-20))))*1000</f>
        <v>-2.3916638719061085</v>
      </c>
      <c r="BO15" s="160">
        <f>(寸法→圧入力!$E$72+寸法→圧入力!$D$3*((寸法→圧入力!$D$33*10^-6*(グラフ!$AV15-20))-(寸法→圧入力!$D$18*10^-6*(グラフ!BO$4-20))))*1000</f>
        <v>-5.9616638719061124</v>
      </c>
      <c r="BP15" s="160">
        <f>(寸法→圧入力!$E$72+寸法→圧入力!$D$3*((寸法→圧入力!$D$33*10^-6*(グラフ!$AV15-20))-(寸法→圧入力!$D$18*10^-6*(グラフ!BP$4-20))))*1000</f>
        <v>-9.5316638719061118</v>
      </c>
      <c r="BQ15" s="160">
        <f>(寸法→圧入力!$E$72+寸法→圧入力!$D$3*((寸法→圧入力!$D$33*10^-6*(グラフ!$AV15-20))-(寸法→圧入力!$D$18*10^-6*(グラフ!BQ$4-20))))*1000</f>
        <v>-13.101663871906112</v>
      </c>
    </row>
    <row r="16" spans="1:69" x14ac:dyDescent="0.7">
      <c r="A16" s="22">
        <f t="shared" si="1"/>
        <v>0.1</v>
      </c>
      <c r="B16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98.586186524371186</v>
      </c>
      <c r="C16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101.09393992012504</v>
      </c>
      <c r="D16" s="11">
        <f>(A16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103.44605808716686</v>
      </c>
      <c r="E16" s="11">
        <f>テーブル3[[#This Row],[半径方向応力min]]*寸法→圧入力!D$43*寸法→圧入力!D$5/1000</f>
        <v>11.466011166185902</v>
      </c>
      <c r="F16" s="11">
        <f>テーブル3[[#This Row],[半径方向応力min]]*寸法→圧入力!E$43*寸法→圧入力!E$5/1000</f>
        <v>14.640256024385598</v>
      </c>
      <c r="G16" s="11">
        <f>テーブル3[[#This Row],[半径方向応力min]]*寸法→圧入力!F$43*寸法→圧入力!F$5/1000</f>
        <v>17.94106670166591</v>
      </c>
      <c r="H16" s="11">
        <f>寸法→圧入力!$D$19</f>
        <v>345</v>
      </c>
      <c r="I16" s="11">
        <f>寸法→圧入力!$D$34</f>
        <v>150</v>
      </c>
      <c r="J16" s="11">
        <f>テーブル3[[#This Row],[半径方向応力nor]]*2*寸法→圧入力!E$13^2/(寸法→圧入力!E$13^2-寸法→圧入力!E$14^2)</f>
        <v>269.46419757690961</v>
      </c>
      <c r="K16" s="11">
        <f>テーブル3[[#This Row],[半径方向応力nor]]* (1+(寸法→圧入力!E$29/寸法→圧入力!E$28)^2)/((寸法→圧入力!E$29/寸法→圧入力!E$28)^2-1)</f>
        <v>262.94132795343063</v>
      </c>
      <c r="N16">
        <f t="shared" si="3"/>
        <v>0</v>
      </c>
      <c r="O16" s="22">
        <f>寸法→圧入力!F$13*(1+寸法→圧入力!D$18*10^-6*(テーブル4[[#This Row],[inner温度'[℃']]]-20)) - 寸法→圧入力!D$28*(1+寸法→圧入力!D$33*10^-6*(テーブル4[[#This Row],[inner温度'[℃']]]+O$3-20))</f>
        <v>4.9354050000001592E-2</v>
      </c>
      <c r="P16" s="22">
        <f>寸法→圧入力!F$13*(1+寸法→圧入力!D$18*10^-6*(テーブル4[[#This Row],[inner温度'[℃']]]-20)) - 寸法→圧入力!D$28*(1+寸法→圧入力!D$33*10^-6*(テーブル4[[#This Row],[inner温度'[℃']]]+P$3-20))</f>
        <v>4.3054049999998512E-2</v>
      </c>
      <c r="Q16" s="22">
        <f>寸法→圧入力!F$13*(1+寸法→圧入力!D$18*10^-6*(テーブル4[[#This Row],[inner温度'[℃']]]-20)) - 寸法→圧入力!D$28*(1+寸法→圧入力!D$33*10^-6*(テーブル4[[#This Row],[inner温度'[℃']]]+Q$3-20))</f>
        <v>3.6754050000002536E-2</v>
      </c>
      <c r="R16" s="22">
        <f>寸法→圧入力!F$13*(1+寸法→圧入力!D$18*10^-6*(テーブル4[[#This Row],[inner温度'[℃']]]-20)) - 寸法→圧入力!D$28*(1+寸法→圧入力!D$33*10^-6*(テーブル4[[#This Row],[inner温度'[℃']]]+R$3-20))</f>
        <v>3.0454049999999455E-2</v>
      </c>
      <c r="S16" s="22">
        <f>寸法→圧入力!F$13*(1+寸法→圧入力!D$18*10^-6*(テーブル4[[#This Row],[inner温度'[℃']]]-20)) - 寸法→圧入力!D$28*(1+寸法→圧入力!D$33*10^-6*(テーブル4[[#This Row],[inner温度'[℃']]]+S$3-20))</f>
        <v>2.415405000000348E-2</v>
      </c>
      <c r="T16" s="22">
        <f>寸法→圧入力!F$13*(1+寸法→圧入力!D$18*10^-6*(テーブル4[[#This Row],[inner温度'[℃']]]-20)) - 寸法→圧入力!D$28*(1+寸法→圧入力!D$33*10^-6*(テーブル4[[#This Row],[inner温度'[℃']]]+T$3-20))</f>
        <v>1.7854050000000399E-2</v>
      </c>
      <c r="U16" s="22">
        <f>寸法→圧入力!F$13*(1+寸法→圧入力!D$18*10^-6*(テーブル4[[#This Row],[inner温度'[℃']]]-20)) - 寸法→圧入力!D$28*(1+寸法→圧入力!D$33*10^-6*(テーブル4[[#This Row],[inner温度'[℃']]]+U$3-20))</f>
        <v>1.1554049999997318E-2</v>
      </c>
      <c r="V16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51.054819231371027</v>
      </c>
      <c r="W16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44.537717571876328</v>
      </c>
      <c r="X16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38.020615912388976</v>
      </c>
      <c r="Y16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31.503514252894277</v>
      </c>
      <c r="Z16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24.986412593406925</v>
      </c>
      <c r="AA16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18.469310933912229</v>
      </c>
      <c r="AB16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11.952209274417529</v>
      </c>
      <c r="AC16" s="11">
        <f>テーブル4[[#This Row],[半径方向応力:Δ-30℃]]*2*寸法→圧入力!D$13^2/(寸法→圧入力!D$13^2-寸法→圧入力!F$14^2)</f>
        <v>136.70966354987988</v>
      </c>
      <c r="AD16" s="11">
        <f>テーブル4[[#This Row],[半径方向応力:Δ-20℃]]*2*寸法→圧入力!D$13^2/(寸法→圧入力!D$13^2-寸法→圧入力!F$14^2)</f>
        <v>119.25879821330393</v>
      </c>
      <c r="AE16" s="11">
        <f>テーブル4[[#This Row],[半径方向応力:Δ-10℃]]*2*寸法→圧入力!D$13^2/(寸法→圧入力!D$13^2-寸法→圧入力!F$14^2)</f>
        <v>101.80793287674766</v>
      </c>
      <c r="AF16" s="11">
        <f>テーブル4[[#This Row],[半径方向応力:Δ0℃]]*2*寸法→圧入力!D$13^2/(寸法→圧入力!D$13^2-寸法→圧入力!F$14^2)</f>
        <v>84.357067540171684</v>
      </c>
      <c r="AG16" s="11">
        <f>テーブル4[[#This Row],[半径方向応力:Δ+10℃]]*2*寸法→圧入力!D$13^2/(寸法→圧入力!D$13^2-寸法→圧入力!F$14^2)</f>
        <v>66.906202203615408</v>
      </c>
      <c r="AH16" s="11">
        <f>テーブル4[[#This Row],[半径方向応力:Δ+20℃]]*2*寸法→圧入力!D$13^2/(寸法→圧入力!D$13^2-寸法→圧入力!F$14^2)</f>
        <v>49.455336867039456</v>
      </c>
      <c r="AI16" s="11">
        <f>テーブル4[[#This Row],[半径方向応力:Δ+30℃]]*2*寸法→圧入力!D$13^2/(寸法→圧入力!D$13^2-寸法→圧入力!F$14^2)</f>
        <v>32.004471530463491</v>
      </c>
      <c r="AJ16" s="11">
        <f>寸法→圧入力!$D$19</f>
        <v>345</v>
      </c>
      <c r="AK16" s="11">
        <f>テーブル4[[#This Row],[半径方向応力:Δ-30℃]]* (1+(寸法→圧入力!D$29/寸法→圧入力!F$28)^2)/((寸法→圧入力!D$29/寸法→圧入力!F$28)^2-1)</f>
        <v>139.87069666240939</v>
      </c>
      <c r="AL16" s="11">
        <f>テーブル4[[#This Row],[半径方向応力:Δ-20℃]]* (1+(寸法→圧入力!D$29/寸法→圧入力!F$28)^2)/((寸法→圧入力!D$29/寸法→圧入力!F$28)^2-1)</f>
        <v>122.01632829803845</v>
      </c>
      <c r="AM16" s="11">
        <f>テーブル4[[#This Row],[半径方向応力:Δ-10℃]]* (1+(寸法→圧入力!D$29/寸法→圧入力!F$28)^2)/((寸法→圧入力!D$29/寸法→圧入力!F$28)^2-1)</f>
        <v>104.16195993368763</v>
      </c>
      <c r="AN16" s="11">
        <f>テーブル4[[#This Row],[半径方向応力:Δ0℃]]* (1+(寸法→圧入力!D$29/寸法→圧入力!F$28)^2)/((寸法→圧入力!D$29/寸法→圧入力!F$28)^2-1)</f>
        <v>86.307591569316685</v>
      </c>
      <c r="AO16" s="11">
        <f>テーブル4[[#This Row],[半径方向応力:Δ+10℃]]* (1+(寸法→圧入力!D$29/寸法→圧入力!F$28)^2)/((寸法→圧入力!D$29/寸法→圧入力!F$28)^2-1)</f>
        <v>68.45322320496588</v>
      </c>
      <c r="AP16" s="11">
        <f>テーブル4[[#This Row],[半径方向応力:Δ+20℃]]* (1+(寸法→圧入力!D$29/寸法→圧入力!F$28)^2)/((寸法→圧入力!D$29/寸法→圧入力!F$28)^2-1)</f>
        <v>50.598854840594953</v>
      </c>
      <c r="AQ16" s="11">
        <f>テーブル4[[#This Row],[半径方向応力:Δ+30℃]]* (1+(寸法→圧入力!D$29/寸法→圧入力!F$28)^2)/((寸法→圧入力!D$29/寸法→圧入力!F$28)^2-1)</f>
        <v>32.744486476224012</v>
      </c>
      <c r="AR16" s="11">
        <f>寸法→圧入力!$D$34</f>
        <v>150</v>
      </c>
      <c r="AU16" s="152"/>
      <c r="AV16" s="151">
        <f t="shared" si="2"/>
        <v>60</v>
      </c>
      <c r="AW16" s="160">
        <f>(寸法→圧入力!$E$72+寸法→圧入力!$D$3*((寸法→圧入力!$D$33*10^-6*(グラフ!$AV16-20))-(寸法→圧入力!$D$18*10^-6*(グラフ!AW$4-20))))*1000</f>
        <v>64.598336128093891</v>
      </c>
      <c r="AX16" s="160">
        <f>(寸法→圧入力!$E$72+寸法→圧入力!$D$3*((寸法→圧入力!$D$33*10^-6*(グラフ!$AV16-20))-(寸法→圧入力!$D$18*10^-6*(グラフ!AX$4-20))))*1000</f>
        <v>61.028336128093883</v>
      </c>
      <c r="AY16" s="160">
        <f>(寸法→圧入力!$E$72+寸法→圧入力!$D$3*((寸法→圧入力!$D$33*10^-6*(グラフ!$AV16-20))-(寸法→圧入力!$D$18*10^-6*(グラフ!AY$4-20))))*1000</f>
        <v>57.45833612809389</v>
      </c>
      <c r="AZ16" s="160">
        <f>(寸法→圧入力!$E$72+寸法→圧入力!$D$3*((寸法→圧入力!$D$33*10^-6*(グラフ!$AV16-20))-(寸法→圧入力!$D$18*10^-6*(グラフ!AZ$4-20))))*1000</f>
        <v>53.888336128093883</v>
      </c>
      <c r="BA16" s="160">
        <f>(寸法→圧入力!$E$72+寸法→圧入力!$D$3*((寸法→圧入力!$D$33*10^-6*(グラフ!$AV16-20))-(寸法→圧入力!$D$18*10^-6*(グラフ!BA$4-20))))*1000</f>
        <v>50.31833612809389</v>
      </c>
      <c r="BB16" s="160">
        <f>(寸法→圧入力!$E$72+寸法→圧入力!$D$3*((寸法→圧入力!$D$33*10^-6*(グラフ!$AV16-20))-(寸法→圧入力!$D$18*10^-6*(グラフ!BB$4-20))))*1000</f>
        <v>46.748336128093889</v>
      </c>
      <c r="BC16" s="160">
        <f>(寸法→圧入力!$E$72+寸法→圧入力!$D$3*((寸法→圧入力!$D$33*10^-6*(グラフ!$AV16-20))-(寸法→圧入力!$D$18*10^-6*(グラフ!BC$4-20))))*1000</f>
        <v>43.178336128093889</v>
      </c>
      <c r="BD16" s="160">
        <f>(寸法→圧入力!$E$72+寸法→圧入力!$D$3*((寸法→圧入力!$D$33*10^-6*(グラフ!$AV16-20))-(寸法→圧入力!$D$18*10^-6*(グラフ!BD$4-20))))*1000</f>
        <v>39.608336128093889</v>
      </c>
      <c r="BE16" s="160">
        <f>(寸法→圧入力!$E$72+寸法→圧入力!$D$3*((寸法→圧入力!$D$33*10^-6*(グラフ!$AV16-20))-(寸法→圧入力!$D$18*10^-6*(グラフ!BE$4-20))))*1000</f>
        <v>36.038336128093889</v>
      </c>
      <c r="BF16" s="160">
        <f>(寸法→圧入力!$E$72+寸法→圧入力!$D$3*((寸法→圧入力!$D$33*10^-6*(グラフ!$AV16-20))-(寸法→圧入力!$D$18*10^-6*(グラフ!BF$4-20))))*1000</f>
        <v>32.468336128093881</v>
      </c>
      <c r="BG16" s="160">
        <f>(寸法→圧入力!$E$72+寸法→圧入力!$D$3*((寸法→圧入力!$D$33*10^-6*(グラフ!$AV16-20))-(寸法→圧入力!$D$18*10^-6*(グラフ!BG$4-20))))*1000</f>
        <v>28.898336128093888</v>
      </c>
      <c r="BH16" s="160">
        <f>(寸法→圧入力!$E$72+寸法→圧入力!$D$3*((寸法→圧入力!$D$33*10^-6*(グラフ!$AV16-20))-(寸法→圧入力!$D$18*10^-6*(グラフ!BH$4-20))))*1000</f>
        <v>25.328336128093891</v>
      </c>
      <c r="BI16" s="160">
        <f>(寸法→圧入力!$E$72+寸法→圧入力!$D$3*((寸法→圧入力!$D$33*10^-6*(グラフ!$AV16-20))-(寸法→圧入力!$D$18*10^-6*(グラフ!BI$4-20))))*1000</f>
        <v>21.758336128093891</v>
      </c>
      <c r="BJ16" s="160">
        <f>(寸法→圧入力!$E$72+寸法→圧入力!$D$3*((寸法→圧入力!$D$33*10^-6*(グラフ!$AV16-20))-(寸法→圧入力!$D$18*10^-6*(グラフ!BJ$4-20))))*1000</f>
        <v>18.188336128093891</v>
      </c>
      <c r="BK16" s="160">
        <f>(寸法→圧入力!$E$72+寸法→圧入力!$D$3*((寸法→圧入力!$D$33*10^-6*(グラフ!$AV16-20))-(寸法→圧入力!$D$18*10^-6*(グラフ!BK$4-20))))*1000</f>
        <v>14.618336128093889</v>
      </c>
      <c r="BL16" s="160">
        <f>(寸法→圧入力!$E$72+寸法→圧入力!$D$3*((寸法→圧入力!$D$33*10^-6*(グラフ!$AV16-20))-(寸法→圧入力!$D$18*10^-6*(グラフ!BL$4-20))))*1000</f>
        <v>11.04833612809389</v>
      </c>
      <c r="BM16" s="160">
        <f>(寸法→圧入力!$E$72+寸法→圧入力!$D$3*((寸法→圧入力!$D$33*10^-6*(グラフ!$AV16-20))-(寸法→圧入力!$D$18*10^-6*(グラフ!BM$4-20))))*1000</f>
        <v>7.4783361280938907</v>
      </c>
      <c r="BN16" s="160">
        <f>(寸法→圧入力!$E$72+寸法→圧入力!$D$3*((寸法→圧入力!$D$33*10^-6*(グラフ!$AV16-20))-(寸法→圧入力!$D$18*10^-6*(グラフ!BN$4-20))))*1000</f>
        <v>3.9083361280938913</v>
      </c>
      <c r="BO16" s="160">
        <f>(寸法→圧入力!$E$72+寸法→圧入力!$D$3*((寸法→圧入力!$D$33*10^-6*(グラフ!$AV16-20))-(寸法→圧入力!$D$18*10^-6*(グラフ!BO$4-20))))*1000</f>
        <v>0.33833612809388602</v>
      </c>
      <c r="BP16" s="160">
        <f>(寸法→圧入力!$E$72+寸法→圧入力!$D$3*((寸法→圧入力!$D$33*10^-6*(グラフ!$AV16-20))-(寸法→圧入力!$D$18*10^-6*(グラフ!BP$4-20))))*1000</f>
        <v>-3.2316638719061124</v>
      </c>
      <c r="BQ16" s="160">
        <f>(寸法→圧入力!$E$72+寸法→圧入力!$D$3*((寸法→圧入力!$D$33*10^-6*(グラフ!$AV16-20))-(寸法→圧入力!$D$18*10^-6*(グラフ!BQ$4-20))))*1000</f>
        <v>-6.8016638719061131</v>
      </c>
    </row>
    <row r="17" spans="1:69" x14ac:dyDescent="0.7">
      <c r="A17" s="22">
        <f t="shared" si="1"/>
        <v>0.11</v>
      </c>
      <c r="B17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108.44480517680829</v>
      </c>
      <c r="C17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111.20333391213752</v>
      </c>
      <c r="D17" s="11">
        <f>(A17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113.79066389588354</v>
      </c>
      <c r="E17" s="11">
        <f>テーブル3[[#This Row],[半径方向応力min]]*寸法→圧入力!D$43*寸法→圧入力!D$5/1000</f>
        <v>12.612612282804491</v>
      </c>
      <c r="F17" s="11">
        <f>テーブル3[[#This Row],[半径方向応力min]]*寸法→圧入力!E$43*寸法→圧入力!E$5/1000</f>
        <v>16.104281626824154</v>
      </c>
      <c r="G17" s="11">
        <f>テーブル3[[#This Row],[半径方向応力min]]*寸法→圧入力!F$43*寸法→圧入力!F$5/1000</f>
        <v>19.735173371832499</v>
      </c>
      <c r="H17" s="11">
        <f>寸法→圧入力!$D$19</f>
        <v>345</v>
      </c>
      <c r="I17" s="11">
        <f>寸法→圧入力!$D$34</f>
        <v>150</v>
      </c>
      <c r="J17" s="11">
        <f>テーブル3[[#This Row],[半径方向応力nor]]*2*寸法→圧入力!E$13^2/(寸法→圧入力!E$13^2-寸法→圧入力!E$14^2)</f>
        <v>296.41061733460054</v>
      </c>
      <c r="K17" s="11">
        <f>テーブル3[[#This Row],[半径方向応力nor]]* (1+(寸法→圧入力!E$29/寸法→圧入力!E$28)^2)/((寸法→圧入力!E$29/寸法→圧入力!E$28)^2-1)</f>
        <v>289.23546074877362</v>
      </c>
      <c r="N17">
        <f t="shared" si="3"/>
        <v>5</v>
      </c>
      <c r="O17" s="22">
        <f>寸法→圧入力!F$13*(1+寸法→圧入力!D$18*10^-6*(テーブル4[[#This Row],[inner温度'[℃']]]-20)) - 寸法→圧入力!D$28*(1+寸法→圧入力!D$33*10^-6*(テーブル4[[#This Row],[inner温度'[℃']]]+O$3-20))</f>
        <v>4.7990537499998709E-2</v>
      </c>
      <c r="P17" s="22">
        <f>寸法→圧入力!F$13*(1+寸法→圧入力!D$18*10^-6*(テーブル4[[#This Row],[inner温度'[℃']]]-20)) - 寸法→圧入力!D$28*(1+寸法→圧入力!D$33*10^-6*(テーブル4[[#This Row],[inner温度'[℃']]]+P$3-20))</f>
        <v>4.1690537499999181E-2</v>
      </c>
      <c r="Q17" s="22">
        <f>寸法→圧入力!F$13*(1+寸法→圧入力!D$18*10^-6*(テーブル4[[#This Row],[inner温度'[℃']]]-20)) - 寸法→圧入力!D$28*(1+寸法→圧入力!D$33*10^-6*(テーブル4[[#This Row],[inner温度'[℃']]]+Q$3-20))</f>
        <v>3.5390537499999652E-2</v>
      </c>
      <c r="R17" s="22">
        <f>寸法→圧入力!F$13*(1+寸法→圧入力!D$18*10^-6*(テーブル4[[#This Row],[inner温度'[℃']]]-20)) - 寸法→圧入力!D$28*(1+寸法→圧入力!D$33*10^-6*(テーブル4[[#This Row],[inner温度'[℃']]]+R$3-20))</f>
        <v>2.9090537499996572E-2</v>
      </c>
      <c r="S17" s="22">
        <f>寸法→圧入力!F$13*(1+寸法→圧入力!D$18*10^-6*(テーブル4[[#This Row],[inner温度'[℃']]]-20)) - 寸法→圧入力!D$28*(1+寸法→圧入力!D$33*10^-6*(テーブル4[[#This Row],[inner温度'[℃']]]+S$3-20))</f>
        <v>2.2790537500000596E-2</v>
      </c>
      <c r="T17" s="22">
        <f>寸法→圧入力!F$13*(1+寸法→圧入力!D$18*10^-6*(テーブル4[[#This Row],[inner温度'[℃']]]-20)) - 寸法→圧入力!D$28*(1+寸法→圧入力!D$33*10^-6*(テーブル4[[#This Row],[inner温度'[℃']]]+T$3-20))</f>
        <v>1.6490537499997515E-2</v>
      </c>
      <c r="U17" s="22">
        <f>寸法→圧入力!F$13*(1+寸法→圧入力!D$18*10^-6*(テーブル4[[#This Row],[inner温度'[℃']]]-20)) - 寸法→圧入力!D$28*(1+寸法→圧入力!D$33*10^-6*(テーブル4[[#This Row],[inner温度'[℃']]]+U$3-20))</f>
        <v>1.0190537499997987E-2</v>
      </c>
      <c r="V17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49.644319298592258</v>
      </c>
      <c r="W17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43.127217639101239</v>
      </c>
      <c r="X17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36.610115979610214</v>
      </c>
      <c r="Y17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30.093014320115511</v>
      </c>
      <c r="Z17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23.575912660628163</v>
      </c>
      <c r="AA17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17.05881100113346</v>
      </c>
      <c r="AB17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10.541709341642438</v>
      </c>
      <c r="AC17" s="11">
        <f>テーブル4[[#This Row],[半径方向応力:Δ-30℃]]*2*寸法→圧入力!D$13^2/(寸法→圧入力!D$13^2-寸法→圧入力!F$14^2)</f>
        <v>132.93276307015338</v>
      </c>
      <c r="AD17" s="11">
        <f>テーブル4[[#This Row],[半径方向応力:Δ-20℃]]*2*寸法→圧入力!D$13^2/(寸法→圧入力!D$13^2-寸法→圧入力!F$14^2)</f>
        <v>115.4818977335873</v>
      </c>
      <c r="AE17" s="11">
        <f>テーブル4[[#This Row],[半径方向応力:Δ-10℃]]*2*寸法→圧入力!D$13^2/(寸法→圧入力!D$13^2-寸法→圧入力!F$14^2)</f>
        <v>98.031032397021178</v>
      </c>
      <c r="AF17" s="11">
        <f>テーブル4[[#This Row],[半径方向応力:Δ0℃]]*2*寸法→圧入力!D$13^2/(寸法→圧入力!D$13^2-寸法→圧入力!F$14^2)</f>
        <v>80.58016706044522</v>
      </c>
      <c r="AG17" s="11">
        <f>テーブル4[[#This Row],[半径方向応力:Δ+10℃]]*2*寸法→圧入力!D$13^2/(寸法→圧入力!D$13^2-寸法→圧入力!F$14^2)</f>
        <v>63.129301723888943</v>
      </c>
      <c r="AH17" s="11">
        <f>テーブル4[[#This Row],[半径方向応力:Δ+20℃]]*2*寸法→圧入力!D$13^2/(寸法→圧入力!D$13^2-寸法→圧入力!F$14^2)</f>
        <v>45.678436387312978</v>
      </c>
      <c r="AI17" s="11">
        <f>テーブル4[[#This Row],[半径方向応力:Δ+30℃]]*2*寸法→圧入力!D$13^2/(寸法→圧入力!D$13^2-寸法→圧入力!F$14^2)</f>
        <v>28.227571050746867</v>
      </c>
      <c r="AJ17" s="11">
        <f>寸法→圧入力!$D$19</f>
        <v>345</v>
      </c>
      <c r="AK17" s="11">
        <f>テーブル4[[#This Row],[半径方向応力:Δ-30℃]]* (1+(寸法→圧入力!D$29/寸法→圧入力!F$28)^2)/((寸法→圧入力!D$29/寸法→圧入力!F$28)^2-1)</f>
        <v>136.00646579820875</v>
      </c>
      <c r="AL17" s="11">
        <f>テーブル4[[#This Row],[半径方向応力:Δ-20℃]]* (1+(寸法→圧入力!D$29/寸法→圧入力!F$28)^2)/((寸法→圧入力!D$29/寸法→圧入力!F$28)^2-1)</f>
        <v>118.1520974338479</v>
      </c>
      <c r="AM17" s="11">
        <f>テーブル4[[#This Row],[半径方向応力:Δ-10℃]]* (1+(寸法→圧入力!D$29/寸法→圧入力!F$28)^2)/((寸法→圧入力!D$29/寸法→圧入力!F$28)^2-1)</f>
        <v>100.297729069487</v>
      </c>
      <c r="AN17" s="11">
        <f>テーブル4[[#This Row],[半径方向応力:Δ0℃]]* (1+(寸法→圧入力!D$29/寸法→圧入力!F$28)^2)/((寸法→圧入力!D$29/寸法→圧入力!F$28)^2-1)</f>
        <v>82.443360705116064</v>
      </c>
      <c r="AO17" s="11">
        <f>テーブル4[[#This Row],[半径方向応力:Δ+10℃]]* (1+(寸法→圧入力!D$29/寸法→圧入力!F$28)^2)/((寸法→圧入力!D$29/寸法→圧入力!F$28)^2-1)</f>
        <v>64.588992340765259</v>
      </c>
      <c r="AP17" s="11">
        <f>テーブル4[[#This Row],[半径方向応力:Δ+20℃]]* (1+(寸法→圧入力!D$29/寸法→圧入力!F$28)^2)/((寸法→圧入力!D$29/寸法→圧入力!F$28)^2-1)</f>
        <v>46.734623976394317</v>
      </c>
      <c r="AQ17" s="11">
        <f>テーブル4[[#This Row],[半径方向応力:Δ+30℃]]* (1+(寸法→圧入力!D$29/寸法→圧入力!F$28)^2)/((寸法→圧入力!D$29/寸法→圧入力!F$28)^2-1)</f>
        <v>28.880255612033455</v>
      </c>
      <c r="AR17" s="11">
        <f>寸法→圧入力!$D$34</f>
        <v>150</v>
      </c>
      <c r="AU17" s="152"/>
      <c r="AV17" s="151">
        <f t="shared" si="2"/>
        <v>70</v>
      </c>
      <c r="AW17" s="160">
        <f>(寸法→圧入力!$E$72+寸法→圧入力!$D$3*((寸法→圧入力!$D$33*10^-6*(グラフ!$AV17-20))-(寸法→圧入力!$D$18*10^-6*(グラフ!AW$4-20))))*1000</f>
        <v>70.898336128093888</v>
      </c>
      <c r="AX17" s="160">
        <f>(寸法→圧入力!$E$72+寸法→圧入力!$D$3*((寸法→圧入力!$D$33*10^-6*(グラフ!$AV17-20))-(寸法→圧入力!$D$18*10^-6*(グラフ!AX$4-20))))*1000</f>
        <v>67.328336128093881</v>
      </c>
      <c r="AY17" s="160">
        <f>(寸法→圧入力!$E$72+寸法→圧入力!$D$3*((寸法→圧入力!$D$33*10^-6*(グラフ!$AV17-20))-(寸法→圧入力!$D$18*10^-6*(グラフ!AY$4-20))))*1000</f>
        <v>63.75833612809388</v>
      </c>
      <c r="AZ17" s="160">
        <f>(寸法→圧入力!$E$72+寸法→圧入力!$D$3*((寸法→圧入力!$D$33*10^-6*(グラフ!$AV17-20))-(寸法→圧入力!$D$18*10^-6*(グラフ!AZ$4-20))))*1000</f>
        <v>60.188336128093894</v>
      </c>
      <c r="BA17" s="160">
        <f>(寸法→圧入力!$E$72+寸法→圧入力!$D$3*((寸法→圧入力!$D$33*10^-6*(グラフ!$AV17-20))-(寸法→圧入力!$D$18*10^-6*(グラフ!BA$4-20))))*1000</f>
        <v>56.618336128093887</v>
      </c>
      <c r="BB17" s="160">
        <f>(寸法→圧入力!$E$72+寸法→圧入力!$D$3*((寸法→圧入力!$D$33*10^-6*(グラフ!$AV17-20))-(寸法→圧入力!$D$18*10^-6*(グラフ!BB$4-20))))*1000</f>
        <v>53.048336128093887</v>
      </c>
      <c r="BC17" s="160">
        <f>(寸法→圧入力!$E$72+寸法→圧入力!$D$3*((寸法→圧入力!$D$33*10^-6*(グラフ!$AV17-20))-(寸法→圧入力!$D$18*10^-6*(グラフ!BC$4-20))))*1000</f>
        <v>49.478336128093886</v>
      </c>
      <c r="BD17" s="160">
        <f>(寸法→圧入力!$E$72+寸法→圧入力!$D$3*((寸法→圧入力!$D$33*10^-6*(グラフ!$AV17-20))-(寸法→圧入力!$D$18*10^-6*(グラフ!BD$4-20))))*1000</f>
        <v>45.908336128093893</v>
      </c>
      <c r="BE17" s="160">
        <f>(寸法→圧入力!$E$72+寸法→圧入力!$D$3*((寸法→圧入力!$D$33*10^-6*(グラフ!$AV17-20))-(寸法→圧入力!$D$18*10^-6*(グラフ!BE$4-20))))*1000</f>
        <v>42.338336128093886</v>
      </c>
      <c r="BF17" s="160">
        <f>(寸法→圧入力!$E$72+寸法→圧入力!$D$3*((寸法→圧入力!$D$33*10^-6*(グラフ!$AV17-20))-(寸法→圧入力!$D$18*10^-6*(グラフ!BF$4-20))))*1000</f>
        <v>38.768336128093893</v>
      </c>
      <c r="BG17" s="160">
        <f>(寸法→圧入力!$E$72+寸法→圧入力!$D$3*((寸法→圧入力!$D$33*10^-6*(グラフ!$AV17-20))-(寸法→圧入力!$D$18*10^-6*(グラフ!BG$4-20))))*1000</f>
        <v>35.198336128093892</v>
      </c>
      <c r="BH17" s="160">
        <f>(寸法→圧入力!$E$72+寸法→圧入力!$D$3*((寸法→圧入力!$D$33*10^-6*(グラフ!$AV17-20))-(寸法→圧入力!$D$18*10^-6*(グラフ!BH$4-20))))*1000</f>
        <v>31.628336128093888</v>
      </c>
      <c r="BI17" s="160">
        <f>(寸法→圧入力!$E$72+寸法→圧入力!$D$3*((寸法→圧入力!$D$33*10^-6*(グラフ!$AV17-20))-(寸法→圧入力!$D$18*10^-6*(グラフ!BI$4-20))))*1000</f>
        <v>28.058336128093892</v>
      </c>
      <c r="BJ17" s="160">
        <f>(寸法→圧入力!$E$72+寸法→圧入力!$D$3*((寸法→圧入力!$D$33*10^-6*(グラフ!$AV17-20))-(寸法→圧入力!$D$18*10^-6*(グラフ!BJ$4-20))))*1000</f>
        <v>24.488336128093888</v>
      </c>
      <c r="BK17" s="160">
        <f>(寸法→圧入力!$E$72+寸法→圧入力!$D$3*((寸法→圧入力!$D$33*10^-6*(グラフ!$AV17-20))-(寸法→圧入力!$D$18*10^-6*(グラフ!BK$4-20))))*1000</f>
        <v>20.918336128093888</v>
      </c>
      <c r="BL17" s="160">
        <f>(寸法→圧入力!$E$72+寸法→圧入力!$D$3*((寸法→圧入力!$D$33*10^-6*(グラフ!$AV17-20))-(寸法→圧入力!$D$18*10^-6*(グラフ!BL$4-20))))*1000</f>
        <v>17.348336128093887</v>
      </c>
      <c r="BM17" s="160">
        <f>(寸法→圧入力!$E$72+寸法→圧入力!$D$3*((寸法→圧入力!$D$33*10^-6*(グラフ!$AV17-20))-(寸法→圧入力!$D$18*10^-6*(グラフ!BM$4-20))))*1000</f>
        <v>13.778336128093892</v>
      </c>
      <c r="BN17" s="160">
        <f>(寸法→圧入力!$E$72+寸法→圧入力!$D$3*((寸法→圧入力!$D$33*10^-6*(グラフ!$AV17-20))-(寸法→圧入力!$D$18*10^-6*(グラフ!BN$4-20))))*1000</f>
        <v>10.208336128093892</v>
      </c>
      <c r="BO17" s="160">
        <f>(寸法→圧入力!$E$72+寸法→圧入力!$D$3*((寸法→圧入力!$D$33*10^-6*(グラフ!$AV17-20))-(寸法→圧入力!$D$18*10^-6*(グラフ!BO$4-20))))*1000</f>
        <v>6.6383361280938873</v>
      </c>
      <c r="BP17" s="160">
        <f>(寸法→圧入力!$E$72+寸法→圧入力!$D$3*((寸法→圧入力!$D$33*10^-6*(グラフ!$AV17-20))-(寸法→圧入力!$D$18*10^-6*(グラフ!BP$4-20))))*1000</f>
        <v>3.0683361280938874</v>
      </c>
      <c r="BQ17" s="160">
        <f>(寸法→圧入力!$E$72+寸法→圧入力!$D$3*((寸法→圧入力!$D$33*10^-6*(グラフ!$AV17-20))-(寸法→圧入力!$D$18*10^-6*(グラフ!BQ$4-20))))*1000</f>
        <v>-0.50166387190611095</v>
      </c>
    </row>
    <row r="18" spans="1:69" x14ac:dyDescent="0.7">
      <c r="A18" s="22">
        <f t="shared" si="1"/>
        <v>0.12</v>
      </c>
      <c r="B18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118.30342382924542</v>
      </c>
      <c r="C18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121.31272790415004</v>
      </c>
      <c r="D18" s="11">
        <f>(A18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124.13526970460023</v>
      </c>
      <c r="E18" s="11">
        <f>テーブル3[[#This Row],[半径方向応力min]]*寸法→圧入力!D$43*寸法→圧入力!D$5/1000</f>
        <v>13.759213399423082</v>
      </c>
      <c r="F18" s="11">
        <f>テーブル3[[#This Row],[半径方向応力min]]*寸法→圧入力!E$43*寸法→圧入力!E$5/1000</f>
        <v>17.568307229262718</v>
      </c>
      <c r="G18" s="11">
        <f>テーブル3[[#This Row],[半径方向応力min]]*寸法→圧入力!F$43*寸法→圧入力!F$5/1000</f>
        <v>21.529280041999094</v>
      </c>
      <c r="H18" s="11">
        <f>寸法→圧入力!$D$19</f>
        <v>345</v>
      </c>
      <c r="I18" s="11">
        <f>寸法→圧入力!$D$34</f>
        <v>150</v>
      </c>
      <c r="J18" s="11">
        <f>テーブル3[[#This Row],[半径方向応力nor]]*2*寸法→圧入力!E$13^2/(寸法→圧入力!E$13^2-寸法→圧入力!E$14^2)</f>
        <v>323.35703709229153</v>
      </c>
      <c r="K18" s="11">
        <f>テーブル3[[#This Row],[半径方向応力nor]]* (1+(寸法→圧入力!E$29/寸法→圧入力!E$28)^2)/((寸法→圧入力!E$29/寸法→圧入力!E$28)^2-1)</f>
        <v>315.52959354411678</v>
      </c>
      <c r="N18">
        <f t="shared" si="3"/>
        <v>10</v>
      </c>
      <c r="O18" s="22">
        <f>寸法→圧入力!F$13*(1+寸法→圧入力!D$18*10^-6*(テーブル4[[#This Row],[inner温度'[℃']]]-20)) - 寸法→圧入力!D$28*(1+寸法→圧入力!D$33*10^-6*(テーブル4[[#This Row],[inner温度'[℃']]]+O$3-20))</f>
        <v>4.6627024999995825E-2</v>
      </c>
      <c r="P18" s="22">
        <f>寸法→圧入力!F$13*(1+寸法→圧入力!D$18*10^-6*(テーブル4[[#This Row],[inner温度'[℃']]]-20)) - 寸法→圧入力!D$28*(1+寸法→圧入力!D$33*10^-6*(テーブル4[[#This Row],[inner温度'[℃']]]+P$3-20))</f>
        <v>4.032702499999985E-2</v>
      </c>
      <c r="Q18" s="22">
        <f>寸法→圧入力!F$13*(1+寸法→圧入力!D$18*10^-6*(テーブル4[[#This Row],[inner温度'[℃']]]-20)) - 寸法→圧入力!D$28*(1+寸法→圧入力!D$33*10^-6*(テーブル4[[#This Row],[inner温度'[℃']]]+Q$3-20))</f>
        <v>3.4027024999996769E-2</v>
      </c>
      <c r="R18" s="22">
        <f>寸法→圧入力!F$13*(1+寸法→圧入力!D$18*10^-6*(テーブル4[[#This Row],[inner温度'[℃']]]-20)) - 寸法→圧入力!D$28*(1+寸法→圧入力!D$33*10^-6*(テーブル4[[#This Row],[inner温度'[℃']]]+R$3-20))</f>
        <v>2.7727025000000793E-2</v>
      </c>
      <c r="S18" s="22">
        <f>寸法→圧入力!F$13*(1+寸法→圧入力!D$18*10^-6*(テーブル4[[#This Row],[inner温度'[℃']]]-20)) - 寸法→圧入力!D$28*(1+寸法→圧入力!D$33*10^-6*(テーブル4[[#This Row],[inner温度'[℃']]]+S$3-20))</f>
        <v>2.1427024999997712E-2</v>
      </c>
      <c r="T18" s="22">
        <f>寸法→圧入力!F$13*(1+寸法→圧入力!D$18*10^-6*(テーブル4[[#This Row],[inner温度'[℃']]]-20)) - 寸法→圧入力!D$28*(1+寸法→圧入力!D$33*10^-6*(テーブル4[[#This Row],[inner温度'[℃']]]+T$3-20))</f>
        <v>1.5127024999994632E-2</v>
      </c>
      <c r="U18" s="22">
        <f>寸法→圧入力!F$13*(1+寸法→圧入力!D$18*10^-6*(テーブル4[[#This Row],[inner温度'[℃']]]-20)) - 寸法→圧入力!D$28*(1+寸法→圧入力!D$33*10^-6*(テーブル4[[#This Row],[inner温度'[℃']]]+U$3-20))</f>
        <v>8.8270249999951034E-3</v>
      </c>
      <c r="V18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48.233819365813488</v>
      </c>
      <c r="W18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41.716717706326151</v>
      </c>
      <c r="X18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35.199616046831451</v>
      </c>
      <c r="Y18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28.682514387344099</v>
      </c>
      <c r="Z18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22.165412727849397</v>
      </c>
      <c r="AA18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15.648311068354698</v>
      </c>
      <c r="AB18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9.1312094088636755</v>
      </c>
      <c r="AC18" s="11">
        <f>テーブル4[[#This Row],[半径方向応力:Δ-30℃]]*2*寸法→圧入力!D$13^2/(寸法→圧入力!D$13^2-寸法→圧入力!F$14^2)</f>
        <v>129.15586259042692</v>
      </c>
      <c r="AD18" s="11">
        <f>テーブル4[[#This Row],[半径方向応力:Δ-20℃]]*2*寸法→圧入力!D$13^2/(寸法→圧入力!D$13^2-寸法→圧入力!F$14^2)</f>
        <v>111.70499725387069</v>
      </c>
      <c r="AE18" s="11">
        <f>テーブル4[[#This Row],[半径方向応力:Δ-10℃]]*2*寸法→圧入力!D$13^2/(寸法→圧入力!D$13^2-寸法→圧入力!F$14^2)</f>
        <v>94.254131917294728</v>
      </c>
      <c r="AF18" s="11">
        <f>テーブル4[[#This Row],[半径方向応力:Δ0℃]]*2*寸法→圧入力!D$13^2/(寸法→圧入力!D$13^2-寸法→圧入力!F$14^2)</f>
        <v>76.803266580738438</v>
      </c>
      <c r="AG18" s="11">
        <f>テーブル4[[#This Row],[半径方向応力:Δ+10℃]]*2*寸法→圧入力!D$13^2/(寸法→圧入力!D$13^2-寸法→圧入力!F$14^2)</f>
        <v>59.352401244162472</v>
      </c>
      <c r="AH18" s="11">
        <f>テーブル4[[#This Row],[半径方向応力:Δ+20℃]]*2*寸法→圧入力!D$13^2/(寸法→圧入力!D$13^2-寸法→圧入力!F$14^2)</f>
        <v>41.901535907586521</v>
      </c>
      <c r="AI18" s="11">
        <f>テーブル4[[#This Row],[半径方向応力:Δ+30℃]]*2*寸法→圧入力!D$13^2/(寸法→圧入力!D$13^2-寸法→圧入力!F$14^2)</f>
        <v>24.450670571020414</v>
      </c>
      <c r="AJ18" s="11">
        <f>寸法→圧入力!$D$19</f>
        <v>345</v>
      </c>
      <c r="AK18" s="11">
        <f>テーブル4[[#This Row],[半径方向応力:Δ-30℃]]* (1+(寸法→圧入力!D$29/寸法→圧入力!F$28)^2)/((寸法→圧入力!D$29/寸法→圧入力!F$28)^2-1)</f>
        <v>132.14223493400809</v>
      </c>
      <c r="AL18" s="11">
        <f>テーブル4[[#This Row],[半径方向応力:Δ-20℃]]* (1+(寸法→圧入力!D$29/寸法→圧入力!F$28)^2)/((寸法→圧入力!D$29/寸法→圧入力!F$28)^2-1)</f>
        <v>114.28786656965733</v>
      </c>
      <c r="AM18" s="11">
        <f>テーブル4[[#This Row],[半径方向応力:Δ-10℃]]* (1+(寸法→圧入力!D$29/寸法→圧入力!F$28)^2)/((寸法→圧入力!D$29/寸法→圧入力!F$28)^2-1)</f>
        <v>96.433498205286398</v>
      </c>
      <c r="AN18" s="11">
        <f>テーブル4[[#This Row],[半径方向応力:Δ0℃]]* (1+(寸法→圧入力!D$29/寸法→圧入力!F$28)^2)/((寸法→圧入力!D$29/寸法→圧入力!F$28)^2-1)</f>
        <v>78.579129840935579</v>
      </c>
      <c r="AO18" s="11">
        <f>テーブル4[[#This Row],[半径方向応力:Δ+10℃]]* (1+(寸法→圧入力!D$29/寸法→圧入力!F$28)^2)/((寸法→圧入力!D$29/寸法→圧入力!F$28)^2-1)</f>
        <v>60.724761476564645</v>
      </c>
      <c r="AP18" s="11">
        <f>テーブル4[[#This Row],[半径方向応力:Δ+20℃]]* (1+(寸法→圧入力!D$29/寸法→圧入力!F$28)^2)/((寸法→圧入力!D$29/寸法→圧入力!F$28)^2-1)</f>
        <v>42.870393112193703</v>
      </c>
      <c r="AQ18" s="11">
        <f>テーブル4[[#This Row],[半径方向応力:Δ+30℃]]* (1+(寸法→圧入力!D$29/寸法→圧入力!F$28)^2)/((寸法→圧入力!D$29/寸法→圧入力!F$28)^2-1)</f>
        <v>25.016024747832841</v>
      </c>
      <c r="AR18" s="11">
        <f>寸法→圧入力!$D$34</f>
        <v>150</v>
      </c>
      <c r="AU18" s="152"/>
      <c r="AV18" s="151">
        <f t="shared" si="2"/>
        <v>80</v>
      </c>
      <c r="AW18" s="160">
        <f>(寸法→圧入力!$E$72+寸法→圧入力!$D$3*((寸法→圧入力!$D$33*10^-6*(グラフ!$AV18-20))-(寸法→圧入力!$D$18*10^-6*(グラフ!AW$4-20))))*1000</f>
        <v>77.198336128093885</v>
      </c>
      <c r="AX18" s="160">
        <f>(寸法→圧入力!$E$72+寸法→圧入力!$D$3*((寸法→圧入力!$D$33*10^-6*(グラフ!$AV18-20))-(寸法→圧入力!$D$18*10^-6*(グラフ!AX$4-20))))*1000</f>
        <v>73.628336128093892</v>
      </c>
      <c r="AY18" s="160">
        <f>(寸法→圧入力!$E$72+寸法→圧入力!$D$3*((寸法→圧入力!$D$33*10^-6*(グラフ!$AV18-20))-(寸法→圧入力!$D$18*10^-6*(グラフ!AY$4-20))))*1000</f>
        <v>70.058336128093899</v>
      </c>
      <c r="AZ18" s="160">
        <f>(寸法→圧入力!$E$72+寸法→圧入力!$D$3*((寸法→圧入力!$D$33*10^-6*(グラフ!$AV18-20))-(寸法→圧入力!$D$18*10^-6*(グラフ!AZ$4-20))))*1000</f>
        <v>66.488336128093877</v>
      </c>
      <c r="BA18" s="160">
        <f>(寸法→圧入力!$E$72+寸法→圧入力!$D$3*((寸法→圧入力!$D$33*10^-6*(グラフ!$AV18-20))-(寸法→圧入力!$D$18*10^-6*(グラフ!BA$4-20))))*1000</f>
        <v>62.918336128093891</v>
      </c>
      <c r="BB18" s="160">
        <f>(寸法→圧入力!$E$72+寸法→圧入力!$D$3*((寸法→圧入力!$D$33*10^-6*(グラフ!$AV18-20))-(寸法→圧入力!$D$18*10^-6*(グラフ!BB$4-20))))*1000</f>
        <v>59.348336128093884</v>
      </c>
      <c r="BC18" s="160">
        <f>(寸法→圧入力!$E$72+寸法→圧入力!$D$3*((寸法→圧入力!$D$33*10^-6*(グラフ!$AV18-20))-(寸法→圧入力!$D$18*10^-6*(グラフ!BC$4-20))))*1000</f>
        <v>55.778336128093891</v>
      </c>
      <c r="BD18" s="160">
        <f>(寸法→圧入力!$E$72+寸法→圧入力!$D$3*((寸法→圧入力!$D$33*10^-6*(グラフ!$AV18-20))-(寸法→圧入力!$D$18*10^-6*(グラフ!BD$4-20))))*1000</f>
        <v>52.208336128093883</v>
      </c>
      <c r="BE18" s="160">
        <f>(寸法→圧入力!$E$72+寸法→圧入力!$D$3*((寸法→圧入力!$D$33*10^-6*(グラフ!$AV18-20))-(寸法→圧入力!$D$18*10^-6*(グラフ!BE$4-20))))*1000</f>
        <v>48.63833612809389</v>
      </c>
      <c r="BF18" s="160">
        <f>(寸法→圧入力!$E$72+寸法→圧入力!$D$3*((寸法→圧入力!$D$33*10^-6*(グラフ!$AV18-20))-(寸法→圧入力!$D$18*10^-6*(グラフ!BF$4-20))))*1000</f>
        <v>45.068336128093883</v>
      </c>
      <c r="BG18" s="160">
        <f>(寸法→圧入力!$E$72+寸法→圧入力!$D$3*((寸法→圧入力!$D$33*10^-6*(グラフ!$AV18-20))-(寸法→圧入力!$D$18*10^-6*(グラフ!BG$4-20))))*1000</f>
        <v>41.498336128093889</v>
      </c>
      <c r="BH18" s="160">
        <f>(寸法→圧入力!$E$72+寸法→圧入力!$D$3*((寸法→圧入力!$D$33*10^-6*(グラフ!$AV18-20))-(寸法→圧入力!$D$18*10^-6*(グラフ!BH$4-20))))*1000</f>
        <v>37.928336128093889</v>
      </c>
      <c r="BI18" s="160">
        <f>(寸法→圧入力!$E$72+寸法→圧入力!$D$3*((寸法→圧入力!$D$33*10^-6*(グラフ!$AV18-20))-(寸法→圧入力!$D$18*10^-6*(グラフ!BI$4-20))))*1000</f>
        <v>34.358336128093889</v>
      </c>
      <c r="BJ18" s="160">
        <f>(寸法→圧入力!$E$72+寸法→圧入力!$D$3*((寸法→圧入力!$D$33*10^-6*(グラフ!$AV18-20))-(寸法→圧入力!$D$18*10^-6*(グラフ!BJ$4-20))))*1000</f>
        <v>30.788336128093885</v>
      </c>
      <c r="BK18" s="160">
        <f>(寸法→圧入力!$E$72+寸法→圧入力!$D$3*((寸法→圧入力!$D$33*10^-6*(グラフ!$AV18-20))-(寸法→圧入力!$D$18*10^-6*(グラフ!BK$4-20))))*1000</f>
        <v>27.218336128093885</v>
      </c>
      <c r="BL18" s="160">
        <f>(寸法→圧入力!$E$72+寸法→圧入力!$D$3*((寸法→圧入力!$D$33*10^-6*(グラフ!$AV18-20))-(寸法→圧入力!$D$18*10^-6*(グラフ!BL$4-20))))*1000</f>
        <v>23.648336128093888</v>
      </c>
      <c r="BM18" s="160">
        <f>(寸法→圧入力!$E$72+寸法→圧入力!$D$3*((寸法→圧入力!$D$33*10^-6*(グラフ!$AV18-20))-(寸法→圧入力!$D$18*10^-6*(グラフ!BM$4-20))))*1000</f>
        <v>20.078336128093888</v>
      </c>
      <c r="BN18" s="160">
        <f>(寸法→圧入力!$E$72+寸法→圧入力!$D$3*((寸法→圧入力!$D$33*10^-6*(グラフ!$AV18-20))-(寸法→圧入力!$D$18*10^-6*(グラフ!BN$4-20))))*1000</f>
        <v>16.508336128093887</v>
      </c>
      <c r="BO18" s="160">
        <f>(寸法→圧入力!$E$72+寸法→圧入力!$D$3*((寸法→圧入力!$D$33*10^-6*(グラフ!$AV18-20))-(寸法→圧入力!$D$18*10^-6*(グラフ!BO$4-20))))*1000</f>
        <v>12.938336128093884</v>
      </c>
      <c r="BP18" s="160">
        <f>(寸法→圧入力!$E$72+寸法→圧入力!$D$3*((寸法→圧入力!$D$33*10^-6*(グラフ!$AV18-20))-(寸法→圧入力!$D$18*10^-6*(グラフ!BP$4-20))))*1000</f>
        <v>9.3683361280938833</v>
      </c>
      <c r="BQ18" s="160">
        <f>(寸法→圧入力!$E$72+寸法→圧入力!$D$3*((寸法→圧入力!$D$33*10^-6*(グラフ!$AV18-20))-(寸法→圧入力!$D$18*10^-6*(グラフ!BQ$4-20))))*1000</f>
        <v>5.7983361280938857</v>
      </c>
    </row>
    <row r="19" spans="1:69" x14ac:dyDescent="0.7">
      <c r="A19" s="22">
        <f t="shared" si="1"/>
        <v>0.13</v>
      </c>
      <c r="B19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128.16204248168253</v>
      </c>
      <c r="C19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131.42212189616254</v>
      </c>
      <c r="D19" s="11">
        <f>(A19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134.4798755133169</v>
      </c>
      <c r="E19" s="11">
        <f>テーブル3[[#This Row],[半径方向応力min]]*寸法→圧入力!D$43*寸法→圧入力!D$5/1000</f>
        <v>14.905814516041673</v>
      </c>
      <c r="F19" s="11">
        <f>テーブル3[[#This Row],[半径方向応力min]]*寸法→圧入力!E$43*寸法→圧入力!E$5/1000</f>
        <v>19.032332831701275</v>
      </c>
      <c r="G19" s="11">
        <f>テーブル3[[#This Row],[半径方向応力min]]*寸法→圧入力!F$43*寸法→圧入力!F$5/1000</f>
        <v>23.323386712165686</v>
      </c>
      <c r="H19" s="11">
        <f>寸法→圧入力!$D$19</f>
        <v>345</v>
      </c>
      <c r="I19" s="11">
        <f>寸法→圧入力!$D$34</f>
        <v>150</v>
      </c>
      <c r="J19" s="11">
        <f>テーブル3[[#This Row],[半径方向応力nor]]*2*寸法→圧入力!E$13^2/(寸法→圧入力!E$13^2-寸法→圧入力!E$14^2)</f>
        <v>350.30345684998247</v>
      </c>
      <c r="K19" s="11">
        <f>テーブル3[[#This Row],[半径方向応力nor]]* (1+(寸法→圧入力!E$29/寸法→圧入力!E$28)^2)/((寸法→圧入力!E$29/寸法→圧入力!E$28)^2-1)</f>
        <v>341.82372633945982</v>
      </c>
      <c r="N19">
        <f t="shared" si="3"/>
        <v>15</v>
      </c>
      <c r="O19" s="22">
        <f>寸法→圧入力!F$13*(1+寸法→圧入力!D$18*10^-6*(テーブル4[[#This Row],[inner温度'[℃']]]-20)) - 寸法→圧入力!D$28*(1+寸法→圧入力!D$33*10^-6*(テーブル4[[#This Row],[inner温度'[℃']]]+O$3-20))</f>
        <v>4.5263512500000047E-2</v>
      </c>
      <c r="P19" s="22">
        <f>寸法→圧入力!F$13*(1+寸法→圧入力!D$18*10^-6*(テーブル4[[#This Row],[inner温度'[℃']]]-20)) - 寸法→圧入力!D$28*(1+寸法→圧入力!D$33*10^-6*(テーブル4[[#This Row],[inner温度'[℃']]]+P$3-20))</f>
        <v>3.8963512500000519E-2</v>
      </c>
      <c r="Q19" s="22">
        <f>寸法→圧入力!F$13*(1+寸法→圧入力!D$18*10^-6*(テーブル4[[#This Row],[inner温度'[℃']]]-20)) - 寸法→圧入力!D$28*(1+寸法→圧入力!D$33*10^-6*(テーブル4[[#This Row],[inner温度'[℃']]]+Q$3-20))</f>
        <v>3.2663512499997438E-2</v>
      </c>
      <c r="R19" s="22">
        <f>寸法→圧入力!F$13*(1+寸法→圧入力!D$18*10^-6*(テーブル4[[#This Row],[inner温度'[℃']]]-20)) - 寸法→圧入力!D$28*(1+寸法→圧入力!D$33*10^-6*(テーブル4[[#This Row],[inner温度'[℃']]]+R$3-20))</f>
        <v>2.6363512500001463E-2</v>
      </c>
      <c r="S19" s="22">
        <f>寸法→圧入力!F$13*(1+寸法→圧入力!D$18*10^-6*(テーブル4[[#This Row],[inner温度'[℃']]]-20)) - 寸法→圧入力!D$28*(1+寸法→圧入力!D$33*10^-6*(テーブル4[[#This Row],[inner温度'[℃']]]+S$3-20))</f>
        <v>2.0063512499998382E-2</v>
      </c>
      <c r="T19" s="22">
        <f>寸法→圧入力!F$13*(1+寸法→圧入力!D$18*10^-6*(テーブル4[[#This Row],[inner温度'[℃']]]-20)) - 寸法→圧入力!D$28*(1+寸法→圧入力!D$33*10^-6*(テーブル4[[#This Row],[inner温度'[℃']]]+T$3-20))</f>
        <v>1.3763512499998853E-2</v>
      </c>
      <c r="U19" s="22">
        <f>寸法→圧入力!F$13*(1+寸法→圧入力!D$18*10^-6*(テーブル4[[#This Row],[inner温度'[℃']]]-20)) - 寸法→圧入力!D$28*(1+寸法→圧入力!D$33*10^-6*(テーブル4[[#This Row],[inner温度'[℃']]]+U$3-20))</f>
        <v>7.4635124999957725E-3</v>
      </c>
      <c r="V19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46.82331943304208</v>
      </c>
      <c r="W19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40.306217773551055</v>
      </c>
      <c r="X19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33.789116114056363</v>
      </c>
      <c r="Y19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27.27201445456901</v>
      </c>
      <c r="Z19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20.754912795074311</v>
      </c>
      <c r="AA19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14.237811135583284</v>
      </c>
      <c r="AB19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7.7207094760885857</v>
      </c>
      <c r="AC19" s="11">
        <f>テーブル4[[#This Row],[半径方向応力:Δ-30℃]]*2*寸法→圧入力!D$13^2/(寸法→圧入力!D$13^2-寸法→圧入力!F$14^2)</f>
        <v>125.37896211072015</v>
      </c>
      <c r="AD19" s="11">
        <f>テーブル4[[#This Row],[半径方向応力:Δ-20℃]]*2*寸法→圧入力!D$13^2/(寸法→圧入力!D$13^2-寸法→圧入力!F$14^2)</f>
        <v>107.92809677415404</v>
      </c>
      <c r="AE19" s="11">
        <f>テーブル4[[#This Row],[半径方向応力:Δ-10℃]]*2*寸法→圧入力!D$13^2/(寸法→圧入力!D$13^2-寸法→圧入力!F$14^2)</f>
        <v>90.477231437578098</v>
      </c>
      <c r="AF19" s="11">
        <f>テーブル4[[#This Row],[半径方向応力:Δ0℃]]*2*寸法→圧入力!D$13^2/(寸法→圧入力!D$13^2-寸法→圧入力!F$14^2)</f>
        <v>73.026366101021821</v>
      </c>
      <c r="AG19" s="11">
        <f>テーブル4[[#This Row],[半径方向応力:Δ+10℃]]*2*寸法→圧入力!D$13^2/(寸法→圧入力!D$13^2-寸法→圧入力!F$14^2)</f>
        <v>55.575500764445863</v>
      </c>
      <c r="AH19" s="11">
        <f>テーブル4[[#This Row],[半径方向応力:Δ+20℃]]*2*寸法→圧入力!D$13^2/(寸法→圧入力!D$13^2-寸法→圧入力!F$14^2)</f>
        <v>38.124635427879738</v>
      </c>
      <c r="AI19" s="11">
        <f>テーブル4[[#This Row],[半径方向応力:Δ+30℃]]*2*寸法→圧入力!D$13^2/(寸法→圧入力!D$13^2-寸法→圧入力!F$14^2)</f>
        <v>20.673770091303791</v>
      </c>
      <c r="AJ19" s="11">
        <f>寸法→圧入力!$D$19</f>
        <v>345</v>
      </c>
      <c r="AK19" s="11">
        <f>テーブル4[[#This Row],[半径方向応力:Δ-30℃]]* (1+(寸法→圧入力!D$29/寸法→圧入力!F$28)^2)/((寸法→圧入力!D$29/寸法→圧入力!F$28)^2-1)</f>
        <v>128.27800406982763</v>
      </c>
      <c r="AL19" s="11">
        <f>テーブル4[[#This Row],[半径方向応力:Δ-20℃]]* (1+(寸法→圧入力!D$29/寸法→圧入力!F$28)^2)/((寸法→圧入力!D$29/寸法→圧入力!F$28)^2-1)</f>
        <v>110.42363570546676</v>
      </c>
      <c r="AM19" s="11">
        <f>テーブル4[[#This Row],[半径方向応力:Δ-10℃]]* (1+(寸法→圧入力!D$29/寸法→圧入力!F$28)^2)/((寸法→圧入力!D$29/寸法→圧入力!F$28)^2-1)</f>
        <v>92.569267341095838</v>
      </c>
      <c r="AN19" s="11">
        <f>テーブル4[[#This Row],[半径方向応力:Δ0℃]]* (1+(寸法→圧入力!D$29/寸法→圧入力!F$28)^2)/((寸法→圧入力!D$29/寸法→圧入力!F$28)^2-1)</f>
        <v>74.714898976745033</v>
      </c>
      <c r="AO19" s="11">
        <f>テーブル4[[#This Row],[半径方向応力:Δ+10℃]]* (1+(寸法→圧入力!D$29/寸法→圧入力!F$28)^2)/((寸法→圧入力!D$29/寸法→圧入力!F$28)^2-1)</f>
        <v>56.860530612374099</v>
      </c>
      <c r="AP19" s="11">
        <f>テーブル4[[#This Row],[半径方向応力:Δ+20℃]]* (1+(寸法→圧入力!D$29/寸法→圧入力!F$28)^2)/((寸法→圧入力!D$29/寸法→圧入力!F$28)^2-1)</f>
        <v>39.006162248013219</v>
      </c>
      <c r="AQ19" s="11">
        <f>テーブル4[[#This Row],[半径方向応力:Δ+30℃]]* (1+(寸法→圧入力!D$29/寸法→圧入力!F$28)^2)/((寸法→圧入力!D$29/寸法→圧入力!F$28)^2-1)</f>
        <v>21.151793883642288</v>
      </c>
      <c r="AR19" s="11">
        <f>寸法→圧入力!$D$34</f>
        <v>150</v>
      </c>
      <c r="AU19" s="152"/>
      <c r="AV19" s="151">
        <f t="shared" si="2"/>
        <v>90</v>
      </c>
      <c r="AW19" s="160">
        <f>(寸法→圧入力!$E$72+寸法→圧入力!$D$3*((寸法→圧入力!$D$33*10^-6*(グラフ!$AV19-20))-(寸法→圧入力!$D$18*10^-6*(グラフ!AW$4-20))))*1000</f>
        <v>83.498336128093882</v>
      </c>
      <c r="AX19" s="160">
        <f>(寸法→圧入力!$E$72+寸法→圧入力!$D$3*((寸法→圧入力!$D$33*10^-6*(グラフ!$AV19-20))-(寸法→圧入力!$D$18*10^-6*(グラフ!AX$4-20))))*1000</f>
        <v>79.928336128093903</v>
      </c>
      <c r="AY19" s="160">
        <f>(寸法→圧入力!$E$72+寸法→圧入力!$D$3*((寸法→圧入力!$D$33*10^-6*(グラフ!$AV19-20))-(寸法→圧入力!$D$18*10^-6*(グラフ!AY$4-20))))*1000</f>
        <v>76.358336128093896</v>
      </c>
      <c r="AZ19" s="160">
        <f>(寸法→圧入力!$E$72+寸法→圧入力!$D$3*((寸法→圧入力!$D$33*10^-6*(グラフ!$AV19-20))-(寸法→圧入力!$D$18*10^-6*(グラフ!AZ$4-20))))*1000</f>
        <v>72.788336128093874</v>
      </c>
      <c r="BA19" s="160">
        <f>(寸法→圧入力!$E$72+寸法→圧入力!$D$3*((寸法→圧入力!$D$33*10^-6*(グラフ!$AV19-20))-(寸法→圧入力!$D$18*10^-6*(グラフ!BA$4-20))))*1000</f>
        <v>69.218336128093881</v>
      </c>
      <c r="BB19" s="160">
        <f>(寸法→圧入力!$E$72+寸法→圧入力!$D$3*((寸法→圧入力!$D$33*10^-6*(グラフ!$AV19-20))-(寸法→圧入力!$D$18*10^-6*(グラフ!BB$4-20))))*1000</f>
        <v>65.648336128093888</v>
      </c>
      <c r="BC19" s="160">
        <f>(寸法→圧入力!$E$72+寸法→圧入力!$D$3*((寸法→圧入力!$D$33*10^-6*(グラフ!$AV19-20))-(寸法→圧入力!$D$18*10^-6*(グラフ!BC$4-20))))*1000</f>
        <v>62.078336128093888</v>
      </c>
      <c r="BD19" s="160">
        <f>(寸法→圧入力!$E$72+寸法→圧入力!$D$3*((寸法→圧入力!$D$33*10^-6*(グラフ!$AV19-20))-(寸法→圧入力!$D$18*10^-6*(グラフ!BD$4-20))))*1000</f>
        <v>58.508336128093887</v>
      </c>
      <c r="BE19" s="160">
        <f>(寸法→圧入力!$E$72+寸法→圧入力!$D$3*((寸法→圧入力!$D$33*10^-6*(グラフ!$AV19-20))-(寸法→圧入力!$D$18*10^-6*(グラフ!BE$4-20))))*1000</f>
        <v>54.938336128093887</v>
      </c>
      <c r="BF19" s="160">
        <f>(寸法→圧入力!$E$72+寸法→圧入力!$D$3*((寸法→圧入力!$D$33*10^-6*(グラフ!$AV19-20))-(寸法→圧入力!$D$18*10^-6*(グラフ!BF$4-20))))*1000</f>
        <v>51.368336128093887</v>
      </c>
      <c r="BG19" s="160">
        <f>(寸法→圧入力!$E$72+寸法→圧入力!$D$3*((寸法→圧入力!$D$33*10^-6*(グラフ!$AV19-20))-(寸法→圧入力!$D$18*10^-6*(グラフ!BG$4-20))))*1000</f>
        <v>47.798336128093887</v>
      </c>
      <c r="BH19" s="160">
        <f>(寸法→圧入力!$E$72+寸法→圧入力!$D$3*((寸法→圧入力!$D$33*10^-6*(グラフ!$AV19-20))-(寸法→圧入力!$D$18*10^-6*(グラフ!BH$4-20))))*1000</f>
        <v>44.228336128093886</v>
      </c>
      <c r="BI19" s="160">
        <f>(寸法→圧入力!$E$72+寸法→圧入力!$D$3*((寸法→圧入力!$D$33*10^-6*(グラフ!$AV19-20))-(寸法→圧入力!$D$18*10^-6*(グラフ!BI$4-20))))*1000</f>
        <v>40.658336128093886</v>
      </c>
      <c r="BJ19" s="160">
        <f>(寸法→圧入力!$E$72+寸法→圧入力!$D$3*((寸法→圧入力!$D$33*10^-6*(グラフ!$AV19-20))-(寸法→圧入力!$D$18*10^-6*(グラフ!BJ$4-20))))*1000</f>
        <v>37.088336128093886</v>
      </c>
      <c r="BK19" s="160">
        <f>(寸法→圧入力!$E$72+寸法→圧入力!$D$3*((寸法→圧入力!$D$33*10^-6*(グラフ!$AV19-20))-(寸法→圧入力!$D$18*10^-6*(グラフ!BK$4-20))))*1000</f>
        <v>33.518336128093893</v>
      </c>
      <c r="BL19" s="160">
        <f>(寸法→圧入力!$E$72+寸法→圧入力!$D$3*((寸法→圧入力!$D$33*10^-6*(グラフ!$AV19-20))-(寸法→圧入力!$D$18*10^-6*(グラフ!BL$4-20))))*1000</f>
        <v>29.948336128093889</v>
      </c>
      <c r="BM19" s="160">
        <f>(寸法→圧入力!$E$72+寸法→圧入力!$D$3*((寸法→圧入力!$D$33*10^-6*(グラフ!$AV19-20))-(寸法→圧入力!$D$18*10^-6*(グラフ!BM$4-20))))*1000</f>
        <v>26.378336128093892</v>
      </c>
      <c r="BN19" s="160">
        <f>(寸法→圧入力!$E$72+寸法→圧入力!$D$3*((寸法→圧入力!$D$33*10^-6*(グラフ!$AV19-20))-(寸法→圧入力!$D$18*10^-6*(グラフ!BN$4-20))))*1000</f>
        <v>22.808336128093895</v>
      </c>
      <c r="BO19" s="160">
        <f>(寸法→圧入力!$E$72+寸法→圧入力!$D$3*((寸法→圧入力!$D$33*10^-6*(グラフ!$AV19-20))-(寸法→圧入力!$D$18*10^-6*(グラフ!BO$4-20))))*1000</f>
        <v>19.238336128093888</v>
      </c>
      <c r="BP19" s="160">
        <f>(寸法→圧入力!$E$72+寸法→圧入力!$D$3*((寸法→圧入力!$D$33*10^-6*(グラフ!$AV19-20))-(寸法→圧入力!$D$18*10^-6*(グラフ!BP$4-20))))*1000</f>
        <v>15.668336128093888</v>
      </c>
      <c r="BQ19" s="160">
        <f>(寸法→圧入力!$E$72+寸法→圧入力!$D$3*((寸法→圧入力!$D$33*10^-6*(グラフ!$AV19-20))-(寸法→圧入力!$D$18*10^-6*(グラフ!BQ$4-20))))*1000</f>
        <v>12.098336128093889</v>
      </c>
    </row>
    <row r="20" spans="1:69" x14ac:dyDescent="0.7">
      <c r="A20" s="22">
        <f t="shared" si="1"/>
        <v>0.14000000000000001</v>
      </c>
      <c r="B20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138.02066113411965</v>
      </c>
      <c r="C20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141.53151588817505</v>
      </c>
      <c r="D20" s="11">
        <f>(A20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144.82448132203362</v>
      </c>
      <c r="E20" s="11">
        <f>テーブル3[[#This Row],[半径方向応力min]]*寸法→圧入力!D$43*寸法→圧入力!D$5/1000</f>
        <v>16.052415632660264</v>
      </c>
      <c r="F20" s="11">
        <f>テーブル3[[#This Row],[半径方向応力min]]*寸法→圧入力!E$43*寸法→圧入力!E$5/1000</f>
        <v>20.496358434139836</v>
      </c>
      <c r="G20" s="11">
        <f>テーブル3[[#This Row],[半径方向応力min]]*寸法→圧入力!F$43*寸法→圧入力!F$5/1000</f>
        <v>25.11749338233227</v>
      </c>
      <c r="H20" s="11">
        <f>寸法→圧入力!$D$19</f>
        <v>345</v>
      </c>
      <c r="I20" s="11">
        <f>寸法→圧入力!$D$34</f>
        <v>150</v>
      </c>
      <c r="J20" s="11">
        <f>テーブル3[[#This Row],[半径方向応力nor]]*2*寸法→圧入力!E$13^2/(寸法→圧入力!E$13^2-寸法→圧入力!E$14^2)</f>
        <v>377.24987660767346</v>
      </c>
      <c r="K20" s="11">
        <f>テーブル3[[#This Row],[半径方向応力nor]]* (1+(寸法→圧入力!E$29/寸法→圧入力!E$28)^2)/((寸法→圧入力!E$29/寸法→圧入力!E$28)^2-1)</f>
        <v>368.11785913480293</v>
      </c>
      <c r="N20">
        <f t="shared" si="3"/>
        <v>20</v>
      </c>
      <c r="O20" s="22">
        <f>寸法→圧入力!F$13*(1+寸法→圧入力!D$18*10^-6*(テーブル4[[#This Row],[inner温度'[℃']]]-20)) - 寸法→圧入力!D$28*(1+寸法→圧入力!D$33*10^-6*(テーブル4[[#This Row],[inner温度'[℃']]]+O$3-20))</f>
        <v>4.3900000000000716E-2</v>
      </c>
      <c r="P20" s="22">
        <f>寸法→圧入力!F$13*(1+寸法→圧入力!D$18*10^-6*(テーブル4[[#This Row],[inner温度'[℃']]]-20)) - 寸法→圧入力!D$28*(1+寸法→圧入力!D$33*10^-6*(テーブル4[[#This Row],[inner温度'[℃']]]+P$3-20))</f>
        <v>3.7599999999997635E-2</v>
      </c>
      <c r="Q20" s="22">
        <f>寸法→圧入力!F$13*(1+寸法→圧入力!D$18*10^-6*(テーブル4[[#This Row],[inner温度'[℃']]]-20)) - 寸法→圧入力!D$28*(1+寸法→圧入力!D$33*10^-6*(テーブル4[[#This Row],[inner温度'[℃']]]+Q$3-20))</f>
        <v>3.130000000000166E-2</v>
      </c>
      <c r="R20" s="22">
        <f>寸法→圧入力!F$13*(1+寸法→圧入力!D$18*10^-6*(テーブル4[[#This Row],[inner温度'[℃']]]-20)) - 寸法→圧入力!D$28*(1+寸法→圧入力!D$33*10^-6*(テーブル4[[#This Row],[inner温度'[℃']]]+R$3-20))</f>
        <v>2.4999999999998579E-2</v>
      </c>
      <c r="S20" s="22">
        <f>寸法→圧入力!F$13*(1+寸法→圧入力!D$18*10^-6*(テーブル4[[#This Row],[inner温度'[℃']]]-20)) - 寸法→圧入力!D$28*(1+寸法→圧入力!D$33*10^-6*(テーブル4[[#This Row],[inner温度'[℃']]]+S$3-20))</f>
        <v>1.8699999999995498E-2</v>
      </c>
      <c r="T20" s="22">
        <f>寸法→圧入力!F$13*(1+寸法→圧入力!D$18*10^-6*(テーブル4[[#This Row],[inner温度'[℃']]]-20)) - 寸法→圧入力!D$28*(1+寸法→圧入力!D$33*10^-6*(テーブル4[[#This Row],[inner温度'[℃']]]+T$3-20))</f>
        <v>1.239999999999597E-2</v>
      </c>
      <c r="U20" s="22">
        <f>寸法→圧入力!F$13*(1+寸法→圧入力!D$18*10^-6*(テーブル4[[#This Row],[inner温度'[℃']]]-20)) - 寸法→圧入力!D$28*(1+寸法→圧入力!D$33*10^-6*(テーブル4[[#This Row],[inner温度'[℃']]]+U$3-20))</f>
        <v>6.0999999999999943E-3</v>
      </c>
      <c r="V20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45.412819500266991</v>
      </c>
      <c r="W20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38.895717840772292</v>
      </c>
      <c r="X20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32.378616181284947</v>
      </c>
      <c r="Y20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25.861514521790244</v>
      </c>
      <c r="Z20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19.344412862295542</v>
      </c>
      <c r="AA20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12.827311202804522</v>
      </c>
      <c r="AB20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6.3102095433171721</v>
      </c>
      <c r="AC20" s="11">
        <f>テーブル4[[#This Row],[半径方向応力:Δ-30℃]]*2*寸法→圧入力!D$13^2/(寸法→圧入力!D$13^2-寸法→圧入力!F$14^2)</f>
        <v>121.60206163100355</v>
      </c>
      <c r="AD20" s="11">
        <f>テーブル4[[#This Row],[半径方向応力:Δ-20℃]]*2*寸法→圧入力!D$13^2/(寸法→圧入力!D$13^2-寸法→圧入力!F$14^2)</f>
        <v>104.15119629442759</v>
      </c>
      <c r="AE20" s="11">
        <f>テーブル4[[#This Row],[半径方向応力:Δ-10℃]]*2*寸法→圧入力!D$13^2/(寸法→圧入力!D$13^2-寸法→圧入力!F$14^2)</f>
        <v>86.700330957871316</v>
      </c>
      <c r="AF20" s="11">
        <f>テーブル4[[#This Row],[半径方向応力:Δ0℃]]*2*寸法→圧入力!D$13^2/(寸法→圧入力!D$13^2-寸法→圧入力!F$14^2)</f>
        <v>69.249465621295357</v>
      </c>
      <c r="AG20" s="11">
        <f>テーブル4[[#This Row],[半径方向応力:Δ+10℃]]*2*寸法→圧入力!D$13^2/(寸法→圧入力!D$13^2-寸法→圧入力!F$14^2)</f>
        <v>51.798600284719392</v>
      </c>
      <c r="AH20" s="11">
        <f>テーブル4[[#This Row],[半径方向応力:Δ+20℃]]*2*寸法→圧入力!D$13^2/(寸法→圧入力!D$13^2-寸法→圧入力!F$14^2)</f>
        <v>34.347734948153288</v>
      </c>
      <c r="AI20" s="11">
        <f>テーブル4[[#This Row],[半径方向応力:Δ+30℃]]*2*寸法→圧入力!D$13^2/(寸法→圧入力!D$13^2-寸法→圧入力!F$14^2)</f>
        <v>16.896869611597012</v>
      </c>
      <c r="AJ20" s="11">
        <f>寸法→圧入力!$D$19</f>
        <v>345</v>
      </c>
      <c r="AK20" s="11">
        <f>テーブル4[[#This Row],[半径方向応力:Δ-30℃]]* (1+(寸法→圧入力!D$29/寸法→圧入力!F$28)^2)/((寸法→圧入力!D$29/寸法→圧入力!F$28)^2-1)</f>
        <v>124.41377320563709</v>
      </c>
      <c r="AL20" s="11">
        <f>テーブル4[[#This Row],[半径方向応力:Δ-20℃]]* (1+(寸法→圧入力!D$29/寸法→圧入力!F$28)^2)/((寸法→圧入力!D$29/寸法→圧入力!F$28)^2-1)</f>
        <v>106.55940484126614</v>
      </c>
      <c r="AM20" s="11">
        <f>テーブル4[[#This Row],[半径方向応力:Δ-10℃]]* (1+(寸法→圧入力!D$29/寸法→圧入力!F$28)^2)/((寸法→圧入力!D$29/寸法→圧入力!F$28)^2-1)</f>
        <v>88.705036476915353</v>
      </c>
      <c r="AN20" s="11">
        <f>テーブル4[[#This Row],[半径方向応力:Δ0℃]]* (1+(寸法→圧入力!D$29/寸法→圧入力!F$28)^2)/((寸法→圧入力!D$29/寸法→圧入力!F$28)^2-1)</f>
        <v>70.850668112544412</v>
      </c>
      <c r="AO20" s="11">
        <f>テーブル4[[#This Row],[半径方向応力:Δ+10℃]]* (1+(寸法→圧入力!D$29/寸法→圧入力!F$28)^2)/((寸法→圧入力!D$29/寸法→圧入力!F$28)^2-1)</f>
        <v>52.996299748173463</v>
      </c>
      <c r="AP20" s="11">
        <f>テーブル4[[#This Row],[半径方向応力:Δ+20℃]]* (1+(寸法→圧入力!D$29/寸法→圧入力!F$28)^2)/((寸法→圧入力!D$29/寸法→圧入力!F$28)^2-1)</f>
        <v>35.141931383812604</v>
      </c>
      <c r="AQ20" s="11">
        <f>テーブル4[[#This Row],[半径方向応力:Δ+30℃]]* (1+(寸法→圧入力!D$29/寸法→圧入力!F$28)^2)/((寸法→圧入力!D$29/寸法→圧入力!F$28)^2-1)</f>
        <v>17.2875630194618</v>
      </c>
      <c r="AR20" s="11">
        <f>寸法→圧入力!$D$34</f>
        <v>150</v>
      </c>
      <c r="AU20" s="152"/>
      <c r="AV20" s="151">
        <f t="shared" si="2"/>
        <v>100</v>
      </c>
      <c r="AW20" s="160">
        <f>(寸法→圧入力!$E$72+寸法→圧入力!$D$3*((寸法→圧入力!$D$33*10^-6*(グラフ!$AV20-20))-(寸法→圧入力!$D$18*10^-6*(グラフ!AW$4-20))))*1000</f>
        <v>89.798336128093879</v>
      </c>
      <c r="AX20" s="160">
        <f>(寸法→圧入力!$E$72+寸法→圧入力!$D$3*((寸法→圧入力!$D$33*10^-6*(グラフ!$AV20-20))-(寸法→圧入力!$D$18*10^-6*(グラフ!AX$4-20))))*1000</f>
        <v>86.228336128093886</v>
      </c>
      <c r="AY20" s="160">
        <f>(寸法→圧入力!$E$72+寸法→圧入力!$D$3*((寸法→圧入力!$D$33*10^-6*(グラフ!$AV20-20))-(寸法→圧入力!$D$18*10^-6*(グラフ!AY$4-20))))*1000</f>
        <v>82.658336128093879</v>
      </c>
      <c r="AZ20" s="160">
        <f>(寸法→圧入力!$E$72+寸法→圧入力!$D$3*((寸法→圧入力!$D$33*10^-6*(グラフ!$AV20-20))-(寸法→圧入力!$D$18*10^-6*(グラフ!AZ$4-20))))*1000</f>
        <v>79.088336128093886</v>
      </c>
      <c r="BA20" s="160">
        <f>(寸法→圧入力!$E$72+寸法→圧入力!$D$3*((寸法→圧入力!$D$33*10^-6*(グラフ!$AV20-20))-(寸法→圧入力!$D$18*10^-6*(グラフ!BA$4-20))))*1000</f>
        <v>75.518336128093893</v>
      </c>
      <c r="BB20" s="160">
        <f>(寸法→圧入力!$E$72+寸法→圧入力!$D$3*((寸法→圧入力!$D$33*10^-6*(グラフ!$AV20-20))-(寸法→圧入力!$D$18*10^-6*(グラフ!BB$4-20))))*1000</f>
        <v>71.948336128093885</v>
      </c>
      <c r="BC20" s="160">
        <f>(寸法→圧入力!$E$72+寸法→圧入力!$D$3*((寸法→圧入力!$D$33*10^-6*(グラフ!$AV20-20))-(寸法→圧入力!$D$18*10^-6*(グラフ!BC$4-20))))*1000</f>
        <v>68.378336128093878</v>
      </c>
      <c r="BD20" s="160">
        <f>(寸法→圧入力!$E$72+寸法→圧入力!$D$3*((寸法→圧入力!$D$33*10^-6*(グラフ!$AV20-20))-(寸法→圧入力!$D$18*10^-6*(グラフ!BD$4-20))))*1000</f>
        <v>64.808336128093885</v>
      </c>
      <c r="BE20" s="160">
        <f>(寸法→圧入力!$E$72+寸法→圧入力!$D$3*((寸法→圧入力!$D$33*10^-6*(グラフ!$AV20-20))-(寸法→圧入力!$D$18*10^-6*(グラフ!BE$4-20))))*1000</f>
        <v>61.238336128093884</v>
      </c>
      <c r="BF20" s="160">
        <f>(寸法→圧入力!$E$72+寸法→圧入力!$D$3*((寸法→圧入力!$D$33*10^-6*(グラフ!$AV20-20))-(寸法→圧入力!$D$18*10^-6*(グラフ!BF$4-20))))*1000</f>
        <v>57.668336128093891</v>
      </c>
      <c r="BG20" s="160">
        <f>(寸法→圧入力!$E$72+寸法→圧入力!$D$3*((寸法→圧入力!$D$33*10^-6*(グラフ!$AV20-20))-(寸法→圧入力!$D$18*10^-6*(グラフ!BG$4-20))))*1000</f>
        <v>54.098336128093884</v>
      </c>
      <c r="BH20" s="160">
        <f>(寸法→圧入力!$E$72+寸法→圧入力!$D$3*((寸法→圧入力!$D$33*10^-6*(グラフ!$AV20-20))-(寸法→圧入力!$D$18*10^-6*(グラフ!BH$4-20))))*1000</f>
        <v>50.528336128093883</v>
      </c>
      <c r="BI20" s="160">
        <f>(寸法→圧入力!$E$72+寸法→圧入力!$D$3*((寸法→圧入力!$D$33*10^-6*(グラフ!$AV20-20))-(寸法→圧入力!$D$18*10^-6*(グラフ!BI$4-20))))*1000</f>
        <v>46.95833612809389</v>
      </c>
      <c r="BJ20" s="160">
        <f>(寸法→圧入力!$E$72+寸法→圧入力!$D$3*((寸法→圧入力!$D$33*10^-6*(グラフ!$AV20-20))-(寸法→圧入力!$D$18*10^-6*(グラフ!BJ$4-20))))*1000</f>
        <v>43.388336128093883</v>
      </c>
      <c r="BK20" s="160">
        <f>(寸法→圧入力!$E$72+寸法→圧入力!$D$3*((寸法→圧入力!$D$33*10^-6*(グラフ!$AV20-20))-(寸法→圧入力!$D$18*10^-6*(グラフ!BK$4-20))))*1000</f>
        <v>39.818336128093883</v>
      </c>
      <c r="BL20" s="160">
        <f>(寸法→圧入力!$E$72+寸法→圧入力!$D$3*((寸法→圧入力!$D$33*10^-6*(グラフ!$AV20-20))-(寸法→圧入力!$D$18*10^-6*(グラフ!BL$4-20))))*1000</f>
        <v>36.248336128093889</v>
      </c>
      <c r="BM20" s="160">
        <f>(寸法→圧入力!$E$72+寸法→圧入力!$D$3*((寸法→圧入力!$D$33*10^-6*(グラフ!$AV20-20))-(寸法→圧入力!$D$18*10^-6*(グラフ!BM$4-20))))*1000</f>
        <v>32.678336128093882</v>
      </c>
      <c r="BN20" s="160">
        <f>(寸法→圧入力!$E$72+寸法→圧入力!$D$3*((寸法→圧入力!$D$33*10^-6*(グラフ!$AV20-20))-(寸法→圧入力!$D$18*10^-6*(グラフ!BN$4-20))))*1000</f>
        <v>29.108336128093889</v>
      </c>
      <c r="BO20" s="160">
        <f>(寸法→圧入力!$E$72+寸法→圧入力!$D$3*((寸法→圧入力!$D$33*10^-6*(グラフ!$AV20-20))-(寸法→圧入力!$D$18*10^-6*(グラフ!BO$4-20))))*1000</f>
        <v>25.538336128093885</v>
      </c>
      <c r="BP20" s="160">
        <f>(寸法→圧入力!$E$72+寸法→圧入力!$D$3*((寸法→圧入力!$D$33*10^-6*(グラフ!$AV20-20))-(寸法→圧入力!$D$18*10^-6*(グラフ!BP$4-20))))*1000</f>
        <v>21.968336128093888</v>
      </c>
      <c r="BQ20" s="160">
        <f>(寸法→圧入力!$E$72+寸法→圧入力!$D$3*((寸法→圧入力!$D$33*10^-6*(グラフ!$AV20-20))-(寸法→圧入力!$D$18*10^-6*(グラフ!BQ$4-20))))*1000</f>
        <v>18.398336128093888</v>
      </c>
    </row>
    <row r="21" spans="1:69" x14ac:dyDescent="0.7">
      <c r="A21" s="22">
        <f t="shared" si="1"/>
        <v>0.15</v>
      </c>
      <c r="B21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147.87927978655676</v>
      </c>
      <c r="C21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151.64090988018754</v>
      </c>
      <c r="D21" s="11">
        <f>(A21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155.16908713075028</v>
      </c>
      <c r="E21" s="11">
        <f>テーブル3[[#This Row],[半径方向応力min]]*寸法→圧入力!D$43*寸法→圧入力!D$5/1000</f>
        <v>17.199016749278854</v>
      </c>
      <c r="F21" s="11">
        <f>テーブル3[[#This Row],[半径方向応力min]]*寸法→圧入力!E$43*寸法→圧入力!E$5/1000</f>
        <v>21.960384036578397</v>
      </c>
      <c r="G21" s="11">
        <f>テーブル3[[#This Row],[半径方向応力min]]*寸法→圧入力!F$43*寸法→圧入力!F$5/1000</f>
        <v>26.911600052498862</v>
      </c>
      <c r="H21" s="11">
        <f>寸法→圧入力!$D$19</f>
        <v>345</v>
      </c>
      <c r="I21" s="11">
        <f>寸法→圧入力!$D$34</f>
        <v>150</v>
      </c>
      <c r="J21" s="11">
        <f>テーブル3[[#This Row],[半径方向応力nor]]*2*寸法→圧入力!E$13^2/(寸法→圧入力!E$13^2-寸法→圧入力!E$14^2)</f>
        <v>404.19629636536439</v>
      </c>
      <c r="K21" s="11">
        <f>テーブル3[[#This Row],[半径方向応力nor]]* (1+(寸法→圧入力!E$29/寸法→圧入力!E$28)^2)/((寸法→圧入力!E$29/寸法→圧入力!E$28)^2-1)</f>
        <v>394.41199193014592</v>
      </c>
      <c r="N21">
        <f t="shared" si="3"/>
        <v>25</v>
      </c>
      <c r="O21" s="22">
        <f>寸法→圧入力!F$13*(1+寸法→圧入力!D$18*10^-6*(テーブル4[[#This Row],[inner温度'[℃']]]-20)) - 寸法→圧入力!D$28*(1+寸法→圧入力!D$33*10^-6*(テーブル4[[#This Row],[inner温度'[℃']]]+O$3-20))</f>
        <v>4.2536487500001385E-2</v>
      </c>
      <c r="P21" s="22">
        <f>寸法→圧入力!F$13*(1+寸法→圧入力!D$18*10^-6*(テーブル4[[#This Row],[inner温度'[℃']]]-20)) - 寸法→圧入力!D$28*(1+寸法→圧入力!D$33*10^-6*(テーブル4[[#This Row],[inner温度'[℃']]]+P$3-20))</f>
        <v>3.6236487499998304E-2</v>
      </c>
      <c r="Q21" s="22">
        <f>寸法→圧入力!F$13*(1+寸法→圧入力!D$18*10^-6*(テーブル4[[#This Row],[inner温度'[℃']]]-20)) - 寸法→圧入力!D$28*(1+寸法→圧入力!D$33*10^-6*(テーブル4[[#This Row],[inner温度'[℃']]]+Q$3-20))</f>
        <v>2.9936487500002329E-2</v>
      </c>
      <c r="R21" s="22">
        <f>寸法→圧入力!F$13*(1+寸法→圧入力!D$18*10^-6*(テーブル4[[#This Row],[inner温度'[℃']]]-20)) - 寸法→圧入力!D$28*(1+寸法→圧入力!D$33*10^-6*(テーブル4[[#This Row],[inner温度'[℃']]]+R$3-20))</f>
        <v>2.3636487499999248E-2</v>
      </c>
      <c r="S21" s="22">
        <f>寸法→圧入力!F$13*(1+寸法→圧入力!D$18*10^-6*(テーブル4[[#This Row],[inner温度'[℃']]]-20)) - 寸法→圧入力!D$28*(1+寸法→圧入力!D$33*10^-6*(テーブル4[[#This Row],[inner温度'[℃']]]+S$3-20))</f>
        <v>1.733648749999972E-2</v>
      </c>
      <c r="T21" s="22">
        <f>寸法→圧入力!F$13*(1+寸法→圧入力!D$18*10^-6*(テーブル4[[#This Row],[inner温度'[℃']]]-20)) - 寸法→圧入力!D$28*(1+寸法→圧入力!D$33*10^-6*(テーブル4[[#This Row],[inner温度'[℃']]]+T$3-20))</f>
        <v>1.1036487499996639E-2</v>
      </c>
      <c r="U21" s="22">
        <f>寸法→圧入力!F$13*(1+寸法→圧入力!D$18*10^-6*(テーブル4[[#This Row],[inner温度'[℃']]]-20)) - 寸法→圧入力!D$28*(1+寸法→圧入力!D$33*10^-6*(テーブル4[[#This Row],[inner温度'[℃']]]+U$3-20))</f>
        <v>4.7364875000042161E-3</v>
      </c>
      <c r="V21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44.002319567491902</v>
      </c>
      <c r="W21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37.485217907997203</v>
      </c>
      <c r="X21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30.968116248509855</v>
      </c>
      <c r="Y21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24.451014589015156</v>
      </c>
      <c r="Z21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17.933912929524134</v>
      </c>
      <c r="AA21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11.416811270029431</v>
      </c>
      <c r="AB21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4.8997096105457594</v>
      </c>
      <c r="AC21" s="11">
        <f>テーブル4[[#This Row],[半径方向応力:Δ-30℃]]*2*寸法→圧入力!D$13^2/(寸法→圧入力!D$13^2-寸法→圧入力!F$14^2)</f>
        <v>117.82516115128692</v>
      </c>
      <c r="AD21" s="11">
        <f>テーブル4[[#This Row],[半径方向応力:Δ-20℃]]*2*寸法→圧入力!D$13^2/(寸法→圧入力!D$13^2-寸法→圧入力!F$14^2)</f>
        <v>100.37429581471096</v>
      </c>
      <c r="AE21" s="11">
        <f>テーブル4[[#This Row],[半径方向応力:Δ-10℃]]*2*寸法→圧入力!D$13^2/(寸法→圧入力!D$13^2-寸法→圧入力!F$14^2)</f>
        <v>82.923430478154685</v>
      </c>
      <c r="AF21" s="11">
        <f>テーブル4[[#This Row],[半径方向応力:Δ0℃]]*2*寸法→圧入力!D$13^2/(寸法→圧入力!D$13^2-寸法→圧入力!F$14^2)</f>
        <v>65.472565141578727</v>
      </c>
      <c r="AG21" s="11">
        <f>テーブル4[[#This Row],[半径方向応力:Δ+10℃]]*2*寸法→圧入力!D$13^2/(寸法→圧入力!D$13^2-寸法→圧入力!F$14^2)</f>
        <v>48.021699805012624</v>
      </c>
      <c r="AH21" s="11">
        <f>テーブル4[[#This Row],[半径方向応力:Δ+20℃]]*2*寸法→圧入力!D$13^2/(寸法→圧入力!D$13^2-寸法→圧入力!F$14^2)</f>
        <v>30.570834468436662</v>
      </c>
      <c r="AI21" s="11">
        <f>テーブル4[[#This Row],[半径方向応力:Δ+30℃]]*2*寸法→圧入力!D$13^2/(寸法→圧入力!D$13^2-寸法→圧入力!F$14^2)</f>
        <v>13.119969131890233</v>
      </c>
      <c r="AJ21" s="11">
        <f>寸法→圧入力!$D$19</f>
        <v>345</v>
      </c>
      <c r="AK21" s="11">
        <f>テーブル4[[#This Row],[半径方向応力:Δ-30℃]]* (1+(寸法→圧入力!D$29/寸法→圧入力!F$28)^2)/((寸法→圧入力!D$29/寸法→圧入力!F$28)^2-1)</f>
        <v>120.54954234144654</v>
      </c>
      <c r="AL21" s="11">
        <f>テーブル4[[#This Row],[半径方向応力:Δ-20℃]]* (1+(寸法→圧入力!D$29/寸法→圧入力!F$28)^2)/((寸法→圧入力!D$29/寸法→圧入力!F$28)^2-1)</f>
        <v>102.6951739770756</v>
      </c>
      <c r="AM21" s="11">
        <f>テーブル4[[#This Row],[半径方向応力:Δ-10℃]]* (1+(寸法→圧入力!D$29/寸法→圧入力!F$28)^2)/((寸法→圧入力!D$29/寸法→圧入力!F$28)^2-1)</f>
        <v>84.840805612724793</v>
      </c>
      <c r="AN21" s="11">
        <f>テーブル4[[#This Row],[半径方向応力:Δ0℃]]* (1+(寸法→圧入力!D$29/寸法→圧入力!F$28)^2)/((寸法→圧入力!D$29/寸法→圧入力!F$28)^2-1)</f>
        <v>66.986437248353852</v>
      </c>
      <c r="AO21" s="11">
        <f>テーブル4[[#This Row],[半径方向応力:Δ+10℃]]* (1+(寸法→圧入力!D$29/寸法→圧入力!F$28)^2)/((寸法→圧入力!D$29/寸法→圧入力!F$28)^2-1)</f>
        <v>49.132068883993</v>
      </c>
      <c r="AP21" s="11">
        <f>テーブル4[[#This Row],[半径方向応力:Δ+20℃]]* (1+(寸法→圧入力!D$29/寸法→圧入力!F$28)^2)/((寸法→圧入力!D$29/寸法→圧入力!F$28)^2-1)</f>
        <v>31.277700519622044</v>
      </c>
      <c r="AQ21" s="11">
        <f>テーブル4[[#This Row],[半径方向応力:Δ+30℃]]* (1+(寸法→圧入力!D$29/寸法→圧入力!F$28)^2)/((寸法→圧入力!D$29/寸法→圧入力!F$28)^2-1)</f>
        <v>13.423332155281322</v>
      </c>
      <c r="AR21" s="11">
        <f>寸法→圧入力!$D$34</f>
        <v>150</v>
      </c>
      <c r="AU21" s="152"/>
      <c r="AV21" s="151">
        <f t="shared" si="2"/>
        <v>110</v>
      </c>
      <c r="AW21" s="160">
        <f>(寸法→圧入力!$E$72+寸法→圧入力!$D$3*((寸法→圧入力!$D$33*10^-6*(グラフ!$AV21-20))-(寸法→圧入力!$D$18*10^-6*(グラフ!AW$4-20))))*1000</f>
        <v>96.098336128093877</v>
      </c>
      <c r="AX21" s="160">
        <f>(寸法→圧入力!$E$72+寸法→圧入力!$D$3*((寸法→圧入力!$D$33*10^-6*(グラフ!$AV21-20))-(寸法→圧入力!$D$18*10^-6*(グラフ!AX$4-20))))*1000</f>
        <v>92.528336128093883</v>
      </c>
      <c r="AY21" s="160">
        <f>(寸法→圧入力!$E$72+寸法→圧入力!$D$3*((寸法→圧入力!$D$33*10^-6*(グラフ!$AV21-20))-(寸法→圧入力!$D$18*10^-6*(グラフ!AY$4-20))))*1000</f>
        <v>88.958336128093876</v>
      </c>
      <c r="AZ21" s="160">
        <f>(寸法→圧入力!$E$72+寸法→圧入力!$D$3*((寸法→圧入力!$D$33*10^-6*(グラフ!$AV21-20))-(寸法→圧入力!$D$18*10^-6*(グラフ!AZ$4-20))))*1000</f>
        <v>85.388336128093897</v>
      </c>
      <c r="BA21" s="160">
        <f>(寸法→圧入力!$E$72+寸法→圧入力!$D$3*((寸法→圧入力!$D$33*10^-6*(グラフ!$AV21-20))-(寸法→圧入力!$D$18*10^-6*(グラフ!BA$4-20))))*1000</f>
        <v>81.81833612809389</v>
      </c>
      <c r="BB21" s="160">
        <f>(寸法→圧入力!$E$72+寸法→圧入力!$D$3*((寸法→圧入力!$D$33*10^-6*(グラフ!$AV21-20))-(寸法→圧入力!$D$18*10^-6*(グラフ!BB$4-20))))*1000</f>
        <v>78.248336128093896</v>
      </c>
      <c r="BC21" s="160">
        <f>(寸法→圧入力!$E$72+寸法→圧入力!$D$3*((寸法→圧入力!$D$33*10^-6*(グラフ!$AV21-20))-(寸法→圧入力!$D$18*10^-6*(グラフ!BC$4-20))))*1000</f>
        <v>74.678336128093875</v>
      </c>
      <c r="BD21" s="160">
        <f>(寸法→圧入力!$E$72+寸法→圧入力!$D$3*((寸法→圧入力!$D$33*10^-6*(グラフ!$AV21-20))-(寸法→圧入力!$D$18*10^-6*(グラフ!BD$4-20))))*1000</f>
        <v>71.108336128093896</v>
      </c>
      <c r="BE21" s="160">
        <f>(寸法→圧入力!$E$72+寸法→圧入力!$D$3*((寸法→圧入力!$D$33*10^-6*(グラフ!$AV21-20))-(寸法→圧入力!$D$18*10^-6*(グラフ!BE$4-20))))*1000</f>
        <v>67.538336128093889</v>
      </c>
      <c r="BF21" s="160">
        <f>(寸法→圧入力!$E$72+寸法→圧入力!$D$3*((寸法→圧入力!$D$33*10^-6*(グラフ!$AV21-20))-(寸法→圧入力!$D$18*10^-6*(グラフ!BF$4-20))))*1000</f>
        <v>63.968336128093881</v>
      </c>
      <c r="BG21" s="160">
        <f>(寸法→圧入力!$E$72+寸法→圧入力!$D$3*((寸法→圧入力!$D$33*10^-6*(グラフ!$AV21-20))-(寸法→圧入力!$D$18*10^-6*(グラフ!BG$4-20))))*1000</f>
        <v>60.398336128093895</v>
      </c>
      <c r="BH21" s="160">
        <f>(寸法→圧入力!$E$72+寸法→圧入力!$D$3*((寸法→圧入力!$D$33*10^-6*(グラフ!$AV21-20))-(寸法→圧入力!$D$18*10^-6*(グラフ!BH$4-20))))*1000</f>
        <v>56.828336128093888</v>
      </c>
      <c r="BI21" s="160">
        <f>(寸法→圧入力!$E$72+寸法→圧入力!$D$3*((寸法→圧入力!$D$33*10^-6*(グラフ!$AV21-20))-(寸法→圧入力!$D$18*10^-6*(グラフ!BI$4-20))))*1000</f>
        <v>53.258336128093895</v>
      </c>
      <c r="BJ21" s="160">
        <f>(寸法→圧入力!$E$72+寸法→圧入力!$D$3*((寸法→圧入力!$D$33*10^-6*(グラフ!$AV21-20))-(寸法→圧入力!$D$18*10^-6*(グラフ!BJ$4-20))))*1000</f>
        <v>49.688336128093887</v>
      </c>
      <c r="BK21" s="160">
        <f>(寸法→圧入力!$E$72+寸法→圧入力!$D$3*((寸法→圧入力!$D$33*10^-6*(グラフ!$AV21-20))-(寸法→圧入力!$D$18*10^-6*(グラフ!BK$4-20))))*1000</f>
        <v>46.118336128093894</v>
      </c>
      <c r="BL21" s="160">
        <f>(寸法→圧入力!$E$72+寸法→圧入力!$D$3*((寸法→圧入力!$D$33*10^-6*(グラフ!$AV21-20))-(寸法→圧入力!$D$18*10^-6*(グラフ!BL$4-20))))*1000</f>
        <v>42.548336128093887</v>
      </c>
      <c r="BM21" s="160">
        <f>(寸法→圧入力!$E$72+寸法→圧入力!$D$3*((寸法→圧入力!$D$33*10^-6*(グラフ!$AV21-20))-(寸法→圧入力!$D$18*10^-6*(グラフ!BM$4-20))))*1000</f>
        <v>38.978336128093893</v>
      </c>
      <c r="BN21" s="160">
        <f>(寸法→圧入力!$E$72+寸法→圧入力!$D$3*((寸法→圧入力!$D$33*10^-6*(グラフ!$AV21-20))-(寸法→圧入力!$D$18*10^-6*(グラフ!BN$4-20))))*1000</f>
        <v>35.408336128093893</v>
      </c>
      <c r="BO21" s="160">
        <f>(寸法→圧入力!$E$72+寸法→圧入力!$D$3*((寸法→圧入力!$D$33*10^-6*(グラフ!$AV21-20))-(寸法→圧入力!$D$18*10^-6*(グラフ!BO$4-20))))*1000</f>
        <v>31.838336128093893</v>
      </c>
      <c r="BP21" s="160">
        <f>(寸法→圧入力!$E$72+寸法→圧入力!$D$3*((寸法→圧入力!$D$33*10^-6*(グラフ!$AV21-20))-(寸法→圧入力!$D$18*10^-6*(グラフ!BP$4-20))))*1000</f>
        <v>28.268336128093889</v>
      </c>
      <c r="BQ21" s="160">
        <f>(寸法→圧入力!$E$72+寸法→圧入力!$D$3*((寸法→圧入力!$D$33*10^-6*(グラフ!$AV21-20))-(寸法→圧入力!$D$18*10^-6*(グラフ!BQ$4-20))))*1000</f>
        <v>24.698336128093892</v>
      </c>
    </row>
    <row r="22" spans="1:69" x14ac:dyDescent="0.7">
      <c r="A22" s="22">
        <f t="shared" si="1"/>
        <v>0.16</v>
      </c>
      <c r="B22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157.73789843899388</v>
      </c>
      <c r="C22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161.75030387220002</v>
      </c>
      <c r="D22" s="11">
        <f>(A22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165.51369293946698</v>
      </c>
      <c r="E22" s="11">
        <f>テーブル3[[#This Row],[半径方向応力min]]*寸法→圧入力!D$43*寸法→圧入力!D$5/1000</f>
        <v>18.345617865897445</v>
      </c>
      <c r="F22" s="11">
        <f>テーブル3[[#This Row],[半径方向応力min]]*寸法→圧入力!E$43*寸法→圧入力!E$5/1000</f>
        <v>23.424409639016954</v>
      </c>
      <c r="G22" s="11">
        <f>テーブル3[[#This Row],[半径方向応力min]]*寸法→圧入力!F$43*寸法→圧入力!F$5/1000</f>
        <v>28.705706722665454</v>
      </c>
      <c r="H22" s="11">
        <f>寸法→圧入力!$D$19</f>
        <v>345</v>
      </c>
      <c r="I22" s="11">
        <f>寸法→圧入力!$D$34</f>
        <v>150</v>
      </c>
      <c r="J22" s="11">
        <f>テーブル3[[#This Row],[半径方向応力nor]]*2*寸法→圧入力!E$13^2/(寸法→圧入力!E$13^2-寸法→圧入力!E$14^2)</f>
        <v>431.14271612305521</v>
      </c>
      <c r="K22" s="11">
        <f>テーブル3[[#This Row],[半径方向応力nor]]* (1+(寸法→圧入力!E$29/寸法→圧入力!E$28)^2)/((寸法→圧入力!E$29/寸法→圧入力!E$28)^2-1)</f>
        <v>420.70612472548896</v>
      </c>
      <c r="N22">
        <f t="shared" si="3"/>
        <v>30</v>
      </c>
      <c r="O22" s="22">
        <f>寸法→圧入力!F$13*(1+寸法→圧入力!D$18*10^-6*(テーブル4[[#This Row],[inner温度'[℃']]]-20)) - 寸法→圧入力!D$28*(1+寸法→圧入力!D$33*10^-6*(テーブル4[[#This Row],[inner温度'[℃']]]+O$3-20))</f>
        <v>4.1172974999998502E-2</v>
      </c>
      <c r="P22" s="22">
        <f>寸法→圧入力!F$13*(1+寸法→圧入力!D$18*10^-6*(テーブル4[[#This Row],[inner温度'[℃']]]-20)) - 寸法→圧入力!D$28*(1+寸法→圧入力!D$33*10^-6*(テーブル4[[#This Row],[inner温度'[℃']]]+P$3-20))</f>
        <v>3.4872975000002526E-2</v>
      </c>
      <c r="Q22" s="22">
        <f>寸法→圧入力!F$13*(1+寸法→圧入力!D$18*10^-6*(テーブル4[[#This Row],[inner温度'[℃']]]-20)) - 寸法→圧入力!D$28*(1+寸法→圧入力!D$33*10^-6*(テーブル4[[#This Row],[inner温度'[℃']]]+Q$3-20))</f>
        <v>2.8572974999999445E-2</v>
      </c>
      <c r="R22" s="22">
        <f>寸法→圧入力!F$13*(1+寸法→圧入力!D$18*10^-6*(テーブル4[[#This Row],[inner温度'[℃']]]-20)) - 寸法→圧入力!D$28*(1+寸法→圧入力!D$33*10^-6*(テーブル4[[#This Row],[inner温度'[℃']]]+R$3-20))</f>
        <v>2.2272974999996364E-2</v>
      </c>
      <c r="S22" s="22">
        <f>寸法→圧入力!F$13*(1+寸法→圧入力!D$18*10^-6*(テーブル4[[#This Row],[inner温度'[℃']]]-20)) - 寸法→圧入力!D$28*(1+寸法→圧入力!D$33*10^-6*(テーブル4[[#This Row],[inner温度'[℃']]]+S$3-20))</f>
        <v>1.5972974999996836E-2</v>
      </c>
      <c r="T22" s="22">
        <f>寸法→圧入力!F$13*(1+寸法→圧入力!D$18*10^-6*(テーブル4[[#This Row],[inner温度'[℃']]]-20)) - 寸法→圧入力!D$28*(1+寸法→圧入力!D$33*10^-6*(テーブル4[[#This Row],[inner温度'[℃']]]+T$3-20))</f>
        <v>9.6729750000008607E-3</v>
      </c>
      <c r="U22" s="22">
        <f>寸法→圧入力!F$13*(1+寸法→圧入力!D$18*10^-6*(テーブル4[[#This Row],[inner温度'[℃']]]-20)) - 寸法→圧入力!D$28*(1+寸法→圧入力!D$33*10^-6*(テーブル4[[#This Row],[inner温度'[℃']]]+U$3-20))</f>
        <v>3.3729750000013325E-3</v>
      </c>
      <c r="V22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42.59181963471314</v>
      </c>
      <c r="W22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36.074717975225788</v>
      </c>
      <c r="X22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29.557616315731092</v>
      </c>
      <c r="Y22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23.040514656236393</v>
      </c>
      <c r="Z22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16.523412996745368</v>
      </c>
      <c r="AA22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10.006311337258019</v>
      </c>
      <c r="AB22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3.4892096777669948</v>
      </c>
      <c r="AC22" s="11">
        <f>テーブル4[[#This Row],[半径方向応力:Δ-30℃]]*2*寸法→圧入力!D$13^2/(寸法→圧入力!D$13^2-寸法→圧入力!F$14^2)</f>
        <v>114.04826067156047</v>
      </c>
      <c r="AD22" s="11">
        <f>テーブル4[[#This Row],[半径方向応力:Δ-20℃]]*2*寸法→圧入力!D$13^2/(寸法→圧入力!D$13^2-寸法→圧入力!F$14^2)</f>
        <v>96.59739533500418</v>
      </c>
      <c r="AE22" s="11">
        <f>テーブル4[[#This Row],[半径方向応力:Δ-10℃]]*2*寸法→圧入力!D$13^2/(寸法→圧入力!D$13^2-寸法→圧入力!F$14^2)</f>
        <v>79.146529998428235</v>
      </c>
      <c r="AF22" s="11">
        <f>テーブル4[[#This Row],[半径方向応力:Δ0℃]]*2*寸法→圧入力!D$13^2/(寸法→圧入力!D$13^2-寸法→圧入力!F$14^2)</f>
        <v>61.69566466185227</v>
      </c>
      <c r="AG22" s="11">
        <f>テーブル4[[#This Row],[半径方向応力:Δ+10℃]]*2*寸法→圧入力!D$13^2/(寸法→圧入力!D$13^2-寸法→圧入力!F$14^2)</f>
        <v>44.244799325286159</v>
      </c>
      <c r="AH22" s="11">
        <f>テーブル4[[#This Row],[半径方向応力:Δ+20℃]]*2*寸法→圧入力!D$13^2/(寸法→圧入力!D$13^2-寸法→圧入力!F$14^2)</f>
        <v>26.793933988729886</v>
      </c>
      <c r="AI22" s="11">
        <f>テーブル4[[#This Row],[半径方向応力:Δ+30℃]]*2*寸法→圧入力!D$13^2/(寸法→圧入力!D$13^2-寸法→圧入力!F$14^2)</f>
        <v>9.3430686521637707</v>
      </c>
      <c r="AJ22" s="11">
        <f>寸法→圧入力!$D$19</f>
        <v>345</v>
      </c>
      <c r="AK22" s="11">
        <f>テーブル4[[#This Row],[半径方向応力:Δ-30℃]]* (1+(寸法→圧入力!D$29/寸法→圧入力!F$28)^2)/((寸法→圧入力!D$29/寸法→圧入力!F$28)^2-1)</f>
        <v>116.6853114772459</v>
      </c>
      <c r="AL22" s="11">
        <f>テーブル4[[#This Row],[半径方向応力:Δ-20℃]]* (1+(寸法→圧入力!D$29/寸法→圧入力!F$28)^2)/((寸法→圧入力!D$29/寸法→圧入力!F$28)^2-1)</f>
        <v>98.830943112895099</v>
      </c>
      <c r="AM22" s="11">
        <f>テーブル4[[#This Row],[半径方向応力:Δ-10℃]]* (1+(寸法→圧入力!D$29/寸法→圧入力!F$28)^2)/((寸法→圧入力!D$29/寸法→圧入力!F$28)^2-1)</f>
        <v>80.976574748524172</v>
      </c>
      <c r="AN22" s="11">
        <f>テーブル4[[#This Row],[半径方向応力:Δ0℃]]* (1+(寸法→圧入力!D$29/寸法→圧入力!F$28)^2)/((寸法→圧入力!D$29/寸法→圧入力!F$28)^2-1)</f>
        <v>63.122206384153252</v>
      </c>
      <c r="AO22" s="11">
        <f>テーブル4[[#This Row],[半径方向応力:Δ+10℃]]* (1+(寸法→圧入力!D$29/寸法→圧入力!F$28)^2)/((寸法→圧入力!D$29/寸法→圧入力!F$28)^2-1)</f>
        <v>45.267838019792372</v>
      </c>
      <c r="AP22" s="11">
        <f>テーブル4[[#This Row],[半径方向応力:Δ+20℃]]* (1+(寸法→圧入力!D$29/寸法→圧入力!F$28)^2)/((寸法→圧入力!D$29/寸法→圧入力!F$28)^2-1)</f>
        <v>27.41346965544157</v>
      </c>
      <c r="AQ22" s="11">
        <f>テーブル4[[#This Row],[半径方向応力:Δ+30℃]]* (1+(寸法→圧入力!D$29/寸法→圧入力!F$28)^2)/((寸法→圧入力!D$29/寸法→圧入力!F$28)^2-1)</f>
        <v>9.5591012910806992</v>
      </c>
      <c r="AR22" s="11">
        <f>寸法→圧入力!$D$34</f>
        <v>150</v>
      </c>
      <c r="AU22" s="152"/>
      <c r="AV22" s="151">
        <f t="shared" si="2"/>
        <v>120</v>
      </c>
      <c r="AW22" s="160">
        <f>(寸法→圧入力!$E$72+寸法→圧入力!$D$3*((寸法→圧入力!$D$33*10^-6*(グラフ!$AV22-20))-(寸法→圧入力!$D$18*10^-6*(グラフ!AW$4-20))))*1000</f>
        <v>102.39833612809389</v>
      </c>
      <c r="AX22" s="160">
        <f>(寸法→圧入力!$E$72+寸法→圧入力!$D$3*((寸法→圧入力!$D$33*10^-6*(グラフ!$AV22-20))-(寸法→圧入力!$D$18*10^-6*(グラフ!AX$4-20))))*1000</f>
        <v>98.828336128093881</v>
      </c>
      <c r="AY22" s="160">
        <f>(寸法→圧入力!$E$72+寸法→圧入力!$D$3*((寸法→圧入力!$D$33*10^-6*(グラフ!$AV22-20))-(寸法→圧入力!$D$18*10^-6*(グラフ!AY$4-20))))*1000</f>
        <v>95.258336128093887</v>
      </c>
      <c r="AZ22" s="160">
        <f>(寸法→圧入力!$E$72+寸法→圧入力!$D$3*((寸法→圧入力!$D$33*10^-6*(グラフ!$AV22-20))-(寸法→圧入力!$D$18*10^-6*(グラフ!AZ$4-20))))*1000</f>
        <v>91.68833612809388</v>
      </c>
      <c r="BA22" s="160">
        <f>(寸法→圧入力!$E$72+寸法→圧入力!$D$3*((寸法→圧入力!$D$33*10^-6*(グラフ!$AV22-20))-(寸法→圧入力!$D$18*10^-6*(グラフ!BA$4-20))))*1000</f>
        <v>88.118336128093887</v>
      </c>
      <c r="BB22" s="160">
        <f>(寸法→圧入力!$E$72+寸法→圧入力!$D$3*((寸法→圧入力!$D$33*10^-6*(グラフ!$AV22-20))-(寸法→圧入力!$D$18*10^-6*(グラフ!BB$4-20))))*1000</f>
        <v>84.548336128093879</v>
      </c>
      <c r="BC22" s="160">
        <f>(寸法→圧入力!$E$72+寸法→圧入力!$D$3*((寸法→圧入力!$D$33*10^-6*(グラフ!$AV22-20))-(寸法→圧入力!$D$18*10^-6*(グラフ!BC$4-20))))*1000</f>
        <v>80.9783361280939</v>
      </c>
      <c r="BD22" s="160">
        <f>(寸法→圧入力!$E$72+寸法→圧入力!$D$3*((寸法→圧入力!$D$33*10^-6*(グラフ!$AV22-20))-(寸法→圧入力!$D$18*10^-6*(グラフ!BD$4-20))))*1000</f>
        <v>77.408336128093893</v>
      </c>
      <c r="BE22" s="160">
        <f>(寸法→圧入力!$E$72+寸法→圧入力!$D$3*((寸法→圧入力!$D$33*10^-6*(グラフ!$AV22-20))-(寸法→圧入力!$D$18*10^-6*(グラフ!BE$4-20))))*1000</f>
        <v>73.838336128093871</v>
      </c>
      <c r="BF22" s="160">
        <f>(寸法→圧入力!$E$72+寸法→圧入力!$D$3*((寸法→圧入力!$D$33*10^-6*(グラフ!$AV22-20))-(寸法→圧入力!$D$18*10^-6*(グラフ!BF$4-20))))*1000</f>
        <v>70.268336128093878</v>
      </c>
      <c r="BG22" s="160">
        <f>(寸法→圧入力!$E$72+寸法→圧入力!$D$3*((寸法→圧入力!$D$33*10^-6*(グラフ!$AV22-20))-(寸法→圧入力!$D$18*10^-6*(グラフ!BG$4-20))))*1000</f>
        <v>66.698336128093885</v>
      </c>
      <c r="BH22" s="160">
        <f>(寸法→圧入力!$E$72+寸法→圧入力!$D$3*((寸法→圧入力!$D$33*10^-6*(グラフ!$AV22-20))-(寸法→圧入力!$D$18*10^-6*(グラフ!BH$4-20))))*1000</f>
        <v>63.128336128093892</v>
      </c>
      <c r="BI22" s="160">
        <f>(寸法→圧入力!$E$72+寸法→圧入力!$D$3*((寸法→圧入力!$D$33*10^-6*(グラフ!$AV22-20))-(寸法→圧入力!$D$18*10^-6*(グラフ!BI$4-20))))*1000</f>
        <v>59.558336128093885</v>
      </c>
      <c r="BJ22" s="160">
        <f>(寸法→圧入力!$E$72+寸法→圧入力!$D$3*((寸法→圧入力!$D$33*10^-6*(グラフ!$AV22-20))-(寸法→圧入力!$D$18*10^-6*(グラフ!BJ$4-20))))*1000</f>
        <v>55.988336128093891</v>
      </c>
      <c r="BK22" s="160">
        <f>(寸法→圧入力!$E$72+寸法→圧入力!$D$3*((寸法→圧入力!$D$33*10^-6*(グラフ!$AV22-20))-(寸法→圧入力!$D$18*10^-6*(グラフ!BK$4-20))))*1000</f>
        <v>52.418336128093884</v>
      </c>
      <c r="BL22" s="160">
        <f>(寸法→圧入力!$E$72+寸法→圧入力!$D$3*((寸法→圧入力!$D$33*10^-6*(グラフ!$AV22-20))-(寸法→圧入力!$D$18*10^-6*(グラフ!BL$4-20))))*1000</f>
        <v>48.848336128093891</v>
      </c>
      <c r="BM22" s="160">
        <f>(寸法→圧入力!$E$72+寸法→圧入力!$D$3*((寸法→圧入力!$D$33*10^-6*(グラフ!$AV22-20))-(寸法→圧入力!$D$18*10^-6*(グラフ!BM$4-20))))*1000</f>
        <v>45.278336128093883</v>
      </c>
      <c r="BN22" s="160">
        <f>(寸法→圧入力!$E$72+寸法→圧入力!$D$3*((寸法→圧入力!$D$33*10^-6*(グラフ!$AV22-20))-(寸法→圧入力!$D$18*10^-6*(グラフ!BN$4-20))))*1000</f>
        <v>41.708336128093897</v>
      </c>
      <c r="BO22" s="160">
        <f>(寸法→圧入力!$E$72+寸法→圧入力!$D$3*((寸法→圧入力!$D$33*10^-6*(グラフ!$AV22-20))-(寸法→圧入力!$D$18*10^-6*(グラフ!BO$4-20))))*1000</f>
        <v>38.138336128093883</v>
      </c>
      <c r="BP22" s="160">
        <f>(寸法→圧入力!$E$72+寸法→圧入力!$D$3*((寸法→圧入力!$D$33*10^-6*(グラフ!$AV22-20))-(寸法→圧入力!$D$18*10^-6*(グラフ!BP$4-20))))*1000</f>
        <v>34.56833612809389</v>
      </c>
      <c r="BQ22" s="160">
        <f>(寸法→圧入力!$E$72+寸法→圧入力!$D$3*((寸法→圧入力!$D$33*10^-6*(グラフ!$AV22-20))-(寸法→圧入力!$D$18*10^-6*(グラフ!BQ$4-20))))*1000</f>
        <v>30.998336128093886</v>
      </c>
    </row>
    <row r="23" spans="1:69" x14ac:dyDescent="0.7">
      <c r="A23" s="22">
        <f t="shared" si="1"/>
        <v>0.17</v>
      </c>
      <c r="B23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167.596517091431</v>
      </c>
      <c r="C23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171.85969786421256</v>
      </c>
      <c r="D23" s="11">
        <f>(A23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175.85829874818367</v>
      </c>
      <c r="E23" s="11">
        <f>テーブル3[[#This Row],[半径方向応力min]]*寸法→圧入力!D$43*寸法→圧入力!D$5/1000</f>
        <v>19.492218982516032</v>
      </c>
      <c r="F23" s="11">
        <f>テーブル3[[#This Row],[半径方向応力min]]*寸法→圧入力!E$43*寸法→圧入力!E$5/1000</f>
        <v>24.888435241455515</v>
      </c>
      <c r="G23" s="11">
        <f>テーブル3[[#This Row],[半径方向応力min]]*寸法→圧入力!F$43*寸法→圧入力!F$5/1000</f>
        <v>30.499813392832042</v>
      </c>
      <c r="H23" s="11">
        <f>寸法→圧入力!$D$19</f>
        <v>345</v>
      </c>
      <c r="I23" s="11">
        <f>寸法→圧入力!$D$34</f>
        <v>150</v>
      </c>
      <c r="J23" s="11">
        <f>テーブル3[[#This Row],[半径方向応力nor]]*2*寸法→圧入力!E$13^2/(寸法→圧入力!E$13^2-寸法→圧入力!E$14^2)</f>
        <v>458.08913588074637</v>
      </c>
      <c r="K23" s="11">
        <f>テーブル3[[#This Row],[半径方向応力nor]]* (1+(寸法→圧入力!E$29/寸法→圧入力!E$28)^2)/((寸法→圧入力!E$29/寸法→圧入力!E$28)^2-1)</f>
        <v>447.00025752083206</v>
      </c>
      <c r="N23">
        <f>N22+5</f>
        <v>35</v>
      </c>
      <c r="O23" s="22">
        <f>寸法→圧入力!F$13*(1+寸法→圧入力!D$18*10^-6*(テーブル4[[#This Row],[inner温度'[℃']]]-20)) - 寸法→圧入力!D$28*(1+寸法→圧入力!D$33*10^-6*(テーブル4[[#This Row],[inner温度'[℃']]]+O$3-20))</f>
        <v>3.9809462499999171E-2</v>
      </c>
      <c r="P23" s="22">
        <f>寸法→圧入力!F$13*(1+寸法→圧入力!D$18*10^-6*(テーブル4[[#This Row],[inner温度'[℃']]]-20)) - 寸法→圧入力!D$28*(1+寸法→圧入力!D$33*10^-6*(テーブル4[[#This Row],[inner温度'[℃']]]+P$3-20))</f>
        <v>3.3509462500003195E-2</v>
      </c>
      <c r="Q23" s="22">
        <f>寸法→圧入力!F$13*(1+寸法→圧入力!D$18*10^-6*(テーブル4[[#This Row],[inner温度'[℃']]]-20)) - 寸法→圧入力!D$28*(1+寸法→圧入力!D$33*10^-6*(テーブル4[[#This Row],[inner温度'[℃']]]+Q$3-20))</f>
        <v>2.7209462500000114E-2</v>
      </c>
      <c r="R23" s="22">
        <f>寸法→圧入力!F$13*(1+寸法→圧入力!D$18*10^-6*(テーブル4[[#This Row],[inner温度'[℃']]]-20)) - 寸法→圧入力!D$28*(1+寸法→圧入力!D$33*10^-6*(テーブル4[[#This Row],[inner温度'[℃']]]+R$3-20))</f>
        <v>2.0909462500000586E-2</v>
      </c>
      <c r="S23" s="22">
        <f>寸法→圧入力!F$13*(1+寸法→圧入力!D$18*10^-6*(テーブル4[[#This Row],[inner温度'[℃']]]-20)) - 寸法→圧入力!D$28*(1+寸法→圧入力!D$33*10^-6*(テーブル4[[#This Row],[inner温度'[℃']]]+S$3-20))</f>
        <v>1.4609462499997505E-2</v>
      </c>
      <c r="T23" s="22">
        <f>寸法→圧入力!F$13*(1+寸法→圧入力!D$18*10^-6*(テーブル4[[#This Row],[inner温度'[℃']]]-20)) - 寸法→圧入力!D$28*(1+寸法→圧入力!D$33*10^-6*(テーブル4[[#This Row],[inner温度'[℃']]]+T$3-20))</f>
        <v>8.3094625000050826E-3</v>
      </c>
      <c r="U23" s="22">
        <f>寸法→圧入力!F$13*(1+寸法→圧入力!D$18*10^-6*(テーブル4[[#This Row],[inner温度'[℃']]]-20)) - 寸法→圧入力!D$28*(1+寸法→圧入力!D$33*10^-6*(テーブル4[[#This Row],[inner温度'[℃']]]+U$3-20))</f>
        <v>2.0094625000020017E-3</v>
      </c>
      <c r="V23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41.181319701938051</v>
      </c>
      <c r="W23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34.664218042450699</v>
      </c>
      <c r="X23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28.147116382956003</v>
      </c>
      <c r="Y23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21.630014723464978</v>
      </c>
      <c r="Z23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15.112913063970279</v>
      </c>
      <c r="AA23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8.5958114044866054</v>
      </c>
      <c r="AB23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2.0787097449919059</v>
      </c>
      <c r="AC23" s="11">
        <f>テーブル4[[#This Row],[半径方向応力:Δ-30℃]]*2*寸法→圧入力!D$13^2/(寸法→圧入力!D$13^2-寸法→圧入力!F$14^2)</f>
        <v>110.27136019184384</v>
      </c>
      <c r="AD23" s="11">
        <f>テーブル4[[#This Row],[半径方向応力:Δ-20℃]]*2*寸法→圧入力!D$13^2/(寸法→圧入力!D$13^2-寸法→圧入力!F$14^2)</f>
        <v>92.820494855287563</v>
      </c>
      <c r="AE23" s="11">
        <f>テーブル4[[#This Row],[半径方向応力:Δ-10℃]]*2*寸法→圧入力!D$13^2/(寸法→圧入力!D$13^2-寸法→圧入力!F$14^2)</f>
        <v>75.369629518711605</v>
      </c>
      <c r="AF23" s="11">
        <f>テーブル4[[#This Row],[半径方向応力:Δ0℃]]*2*寸法→圧入力!D$13^2/(寸法→圧入力!D$13^2-寸法→圧入力!F$14^2)</f>
        <v>57.918764182145495</v>
      </c>
      <c r="AG23" s="11">
        <f>テーブル4[[#This Row],[半径方向応力:Δ+10℃]]*2*寸法→圧入力!D$13^2/(寸法→圧入力!D$13^2-寸法→圧入力!F$14^2)</f>
        <v>40.467898845569543</v>
      </c>
      <c r="AH23" s="11">
        <f>テーブル4[[#This Row],[半径方向応力:Δ+20℃]]*2*寸法→圧入力!D$13^2/(寸法→圧入力!D$13^2-寸法→圧入力!F$14^2)</f>
        <v>23.017033509023108</v>
      </c>
      <c r="AI23" s="11">
        <f>テーブル4[[#This Row],[半径方向応力:Δ+30℃]]*2*寸法→圧入力!D$13^2/(寸法→圧入力!D$13^2-寸法→圧入力!F$14^2)</f>
        <v>5.5661681724471501</v>
      </c>
      <c r="AJ23" s="11">
        <f>寸法→圧入力!$D$19</f>
        <v>345</v>
      </c>
      <c r="AK23" s="11">
        <f>テーブル4[[#This Row],[半径方向応力:Δ-30℃]]* (1+(寸法→圧入力!D$29/寸法→圧入力!F$28)^2)/((寸法→圧入力!D$29/寸法→圧入力!F$28)^2-1)</f>
        <v>112.82108061305536</v>
      </c>
      <c r="AL23" s="11">
        <f>テーブル4[[#This Row],[半径方向応力:Δ-20℃]]* (1+(寸法→圧入力!D$29/寸法→圧入力!F$28)^2)/((寸法→圧入力!D$29/寸法→圧入力!F$28)^2-1)</f>
        <v>94.966712248704553</v>
      </c>
      <c r="AM23" s="11">
        <f>テーブル4[[#This Row],[半径方向応力:Δ-10℃]]* (1+(寸法→圧入力!D$29/寸法→圧入力!F$28)^2)/((寸法→圧入力!D$29/寸法→圧入力!F$28)^2-1)</f>
        <v>77.112343884333626</v>
      </c>
      <c r="AN23" s="11">
        <f>テーブル4[[#This Row],[半径方向応力:Δ0℃]]* (1+(寸法→圧入力!D$29/寸法→圧入力!F$28)^2)/((寸法→圧入力!D$29/寸法→圧入力!F$28)^2-1)</f>
        <v>59.257975519972753</v>
      </c>
      <c r="AO23" s="11">
        <f>テーブル4[[#This Row],[半径方向応力:Δ+10℃]]* (1+(寸法→圧入力!D$29/寸法→圧入力!F$28)^2)/((寸法→圧入力!D$29/寸法→圧入力!F$28)^2-1)</f>
        <v>41.403607155601819</v>
      </c>
      <c r="AP23" s="11">
        <f>テーブル4[[#This Row],[半径方向応力:Δ+20℃]]* (1+(寸法→圧入力!D$29/寸法→圧入力!F$28)^2)/((寸法→圧入力!D$29/寸法→圧入力!F$28)^2-1)</f>
        <v>23.549238791261086</v>
      </c>
      <c r="AQ23" s="11">
        <f>テーブル4[[#This Row],[半径方向応力:Δ+30℃]]* (1+(寸法→圧入力!D$29/寸法→圧入力!F$28)^2)/((寸法→圧入力!D$29/寸法→圧入力!F$28)^2-1)</f>
        <v>5.6948704268901471</v>
      </c>
      <c r="AR23" s="11">
        <f>寸法→圧入力!$D$34</f>
        <v>150</v>
      </c>
      <c r="AU23" s="152"/>
      <c r="AV23" s="151">
        <f t="shared" si="2"/>
        <v>130</v>
      </c>
      <c r="AW23" s="160">
        <f>(寸法→圧入力!$E$72+寸法→圧入力!$D$3*((寸法→圧入力!$D$33*10^-6*(グラフ!$AV23-20))-(寸法→圧入力!$D$18*10^-6*(グラフ!AW$4-20))))*1000</f>
        <v>108.69833612809389</v>
      </c>
      <c r="AX23" s="160">
        <f>(寸法→圧入力!$E$72+寸法→圧入力!$D$3*((寸法→圧入力!$D$33*10^-6*(グラフ!$AV23-20))-(寸法→圧入力!$D$18*10^-6*(グラフ!AX$4-20))))*1000</f>
        <v>105.12833612809389</v>
      </c>
      <c r="AY23" s="160">
        <f>(寸法→圧入力!$E$72+寸法→圧入力!$D$3*((寸法→圧入力!$D$33*10^-6*(グラフ!$AV23-20))-(寸法→圧入力!$D$18*10^-6*(グラフ!AY$4-20))))*1000</f>
        <v>101.5583361280939</v>
      </c>
      <c r="AZ23" s="160">
        <f>(寸法→圧入力!$E$72+寸法→圧入力!$D$3*((寸法→圧入力!$D$33*10^-6*(グラフ!$AV23-20))-(寸法→圧入力!$D$18*10^-6*(グラフ!AZ$4-20))))*1000</f>
        <v>97.988336128093891</v>
      </c>
      <c r="BA23" s="160">
        <f>(寸法→圧入力!$E$72+寸法→圧入力!$D$3*((寸法→圧入力!$D$33*10^-6*(グラフ!$AV23-20))-(寸法→圧入力!$D$18*10^-6*(グラフ!BA$4-20))))*1000</f>
        <v>94.418336128093884</v>
      </c>
      <c r="BB23" s="160">
        <f>(寸法→圧入力!$E$72+寸法→圧入力!$D$3*((寸法→圧入力!$D$33*10^-6*(グラフ!$AV23-20))-(寸法→圧入力!$D$18*10^-6*(グラフ!BB$4-20))))*1000</f>
        <v>90.848336128093891</v>
      </c>
      <c r="BC23" s="160">
        <f>(寸法→圧入力!$E$72+寸法→圧入力!$D$3*((寸法→圧入力!$D$33*10^-6*(グラフ!$AV23-20))-(寸法→圧入力!$D$18*10^-6*(グラフ!BC$4-20))))*1000</f>
        <v>87.278336128093898</v>
      </c>
      <c r="BD23" s="160">
        <f>(寸法→圧入力!$E$72+寸法→圧入力!$D$3*((寸法→圧入力!$D$33*10^-6*(グラフ!$AV23-20))-(寸法→圧入力!$D$18*10^-6*(グラフ!BD$4-20))))*1000</f>
        <v>83.70833612809389</v>
      </c>
      <c r="BE23" s="160">
        <f>(寸法→圧入力!$E$72+寸法→圧入力!$D$3*((寸法→圧入力!$D$33*10^-6*(グラフ!$AV23-20))-(寸法→圧入力!$D$18*10^-6*(グラフ!BE$4-20))))*1000</f>
        <v>80.138336128093883</v>
      </c>
      <c r="BF23" s="160">
        <f>(寸法→圧入力!$E$72+寸法→圧入力!$D$3*((寸法→圧入力!$D$33*10^-6*(グラフ!$AV23-20))-(寸法→圧入力!$D$18*10^-6*(グラフ!BF$4-20))))*1000</f>
        <v>76.56833612809389</v>
      </c>
      <c r="BG23" s="160">
        <f>(寸法→圧入力!$E$72+寸法→圧入力!$D$3*((寸法→圧入力!$D$33*10^-6*(グラフ!$AV23-20))-(寸法→圧入力!$D$18*10^-6*(グラフ!BG$4-20))))*1000</f>
        <v>72.998336128093896</v>
      </c>
      <c r="BH23" s="160">
        <f>(寸法→圧入力!$E$72+寸法→圧入力!$D$3*((寸法→圧入力!$D$33*10^-6*(グラフ!$AV23-20))-(寸法→圧入力!$D$18*10^-6*(グラフ!BH$4-20))))*1000</f>
        <v>69.428336128093903</v>
      </c>
      <c r="BI23" s="160">
        <f>(寸法→圧入力!$E$72+寸法→圧入力!$D$3*((寸法→圧入力!$D$33*10^-6*(グラフ!$AV23-20))-(寸法→圧入力!$D$18*10^-6*(グラフ!BI$4-20))))*1000</f>
        <v>65.858336128093882</v>
      </c>
      <c r="BJ23" s="160">
        <f>(寸法→圧入力!$E$72+寸法→圧入力!$D$3*((寸法→圧入力!$D$33*10^-6*(グラフ!$AV23-20))-(寸法→圧入力!$D$18*10^-6*(グラフ!BJ$4-20))))*1000</f>
        <v>62.288336128093889</v>
      </c>
      <c r="BK23" s="160">
        <f>(寸法→圧入力!$E$72+寸法→圧入力!$D$3*((寸法→圧入力!$D$33*10^-6*(グラフ!$AV23-20))-(寸法→圧入力!$D$18*10^-6*(グラフ!BK$4-20))))*1000</f>
        <v>58.718336128093895</v>
      </c>
      <c r="BL23" s="160">
        <f>(寸法→圧入力!$E$72+寸法→圧入力!$D$3*((寸法→圧入力!$D$33*10^-6*(グラフ!$AV23-20))-(寸法→圧入力!$D$18*10^-6*(グラフ!BL$4-20))))*1000</f>
        <v>55.148336128093888</v>
      </c>
      <c r="BM23" s="160">
        <f>(寸法→圧入力!$E$72+寸法→圧入力!$D$3*((寸法→圧入力!$D$33*10^-6*(グラフ!$AV23-20))-(寸法→圧入力!$D$18*10^-6*(グラフ!BM$4-20))))*1000</f>
        <v>51.578336128093895</v>
      </c>
      <c r="BN23" s="160">
        <f>(寸法→圧入力!$E$72+寸法→圧入力!$D$3*((寸法→圧入力!$D$33*10^-6*(グラフ!$AV23-20))-(寸法→圧入力!$D$18*10^-6*(グラフ!BN$4-20))))*1000</f>
        <v>48.008336128093895</v>
      </c>
      <c r="BO23" s="160">
        <f>(寸法→圧入力!$E$72+寸法→圧入力!$D$3*((寸法→圧入力!$D$33*10^-6*(グラフ!$AV23-20))-(寸法→圧入力!$D$18*10^-6*(グラフ!BO$4-20))))*1000</f>
        <v>44.438336128093894</v>
      </c>
      <c r="BP23" s="160">
        <f>(寸法→圧入力!$E$72+寸法→圧入力!$D$3*((寸法→圧入力!$D$33*10^-6*(グラフ!$AV23-20))-(寸法→圧入力!$D$18*10^-6*(グラフ!BP$4-20))))*1000</f>
        <v>40.868336128093887</v>
      </c>
      <c r="BQ23" s="160">
        <f>(寸法→圧入力!$E$72+寸法→圧入力!$D$3*((寸法→圧入力!$D$33*10^-6*(グラフ!$AV23-20))-(寸法→圧入力!$D$18*10^-6*(グラフ!BQ$4-20))))*1000</f>
        <v>37.298336128093894</v>
      </c>
    </row>
    <row r="24" spans="1:69" x14ac:dyDescent="0.7">
      <c r="A24" s="22">
        <f t="shared" si="1"/>
        <v>0.18</v>
      </c>
      <c r="B24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177.45513574386811</v>
      </c>
      <c r="C24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181.96909185622505</v>
      </c>
      <c r="D24" s="11">
        <f>(A24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186.20290455690034</v>
      </c>
      <c r="E24" s="11">
        <f>テーブル3[[#This Row],[半径方向応力min]]*寸法→圧入力!D$43*寸法→圧入力!D$5/1000</f>
        <v>20.638820099134623</v>
      </c>
      <c r="F24" s="11">
        <f>テーブル3[[#This Row],[半径方向応力min]]*寸法→圧入力!E$43*寸法→圧入力!E$5/1000</f>
        <v>26.352460843894075</v>
      </c>
      <c r="G24" s="11">
        <f>テーブル3[[#This Row],[半径方向応力min]]*寸法→圧入力!F$43*寸法→圧入力!F$5/1000</f>
        <v>32.29392006299863</v>
      </c>
      <c r="H24" s="11">
        <f>寸法→圧入力!$D$19</f>
        <v>345</v>
      </c>
      <c r="I24" s="11">
        <f>寸法→圧入力!$D$34</f>
        <v>150</v>
      </c>
      <c r="J24" s="11">
        <f>テーブル3[[#This Row],[半径方向応力nor]]*2*寸法→圧入力!E$13^2/(寸法→圧入力!E$13^2-寸法→圧入力!E$14^2)</f>
        <v>485.03555563843719</v>
      </c>
      <c r="K24" s="11">
        <f>テーブル3[[#This Row],[半径方向応力nor]]* (1+(寸法→圧入力!E$29/寸法→圧入力!E$28)^2)/((寸法→圧入力!E$29/寸法→圧入力!E$28)^2-1)</f>
        <v>473.29439031617511</v>
      </c>
      <c r="N24">
        <f t="shared" si="3"/>
        <v>40</v>
      </c>
      <c r="O24" s="22">
        <f>寸法→圧入力!F$13*(1+寸法→圧入力!D$18*10^-6*(テーブル4[[#This Row],[inner温度'[℃']]]-20)) - 寸法→圧入力!D$28*(1+寸法→圧入力!D$33*10^-6*(テーブル4[[#This Row],[inner温度'[℃']]]+O$3-20))</f>
        <v>3.844594999999984E-2</v>
      </c>
      <c r="P24" s="22">
        <f>寸法→圧入力!F$13*(1+寸法→圧入力!D$18*10^-6*(テーブル4[[#This Row],[inner温度'[℃']]]-20)) - 寸法→圧入力!D$28*(1+寸法→圧入力!D$33*10^-6*(テーブル4[[#This Row],[inner温度'[℃']]]+P$3-20))</f>
        <v>3.2145949999996759E-2</v>
      </c>
      <c r="Q24" s="22">
        <f>寸法→圧入力!F$13*(1+寸法→圧入力!D$18*10^-6*(テーブル4[[#This Row],[inner温度'[℃']]]-20)) - 寸法→圧入力!D$28*(1+寸法→圧入力!D$33*10^-6*(テーブル4[[#This Row],[inner温度'[℃']]]+Q$3-20))</f>
        <v>2.5845949999993678E-2</v>
      </c>
      <c r="R24" s="22">
        <f>寸法→圧入力!F$13*(1+寸法→圧入力!D$18*10^-6*(テーブル4[[#This Row],[inner温度'[℃']]]-20)) - 寸法→圧入力!D$28*(1+寸法→圧入力!D$33*10^-6*(テーブル4[[#This Row],[inner温度'[℃']]]+R$3-20))</f>
        <v>1.954594999999415E-2</v>
      </c>
      <c r="S24" s="22">
        <f>寸法→圧入力!F$13*(1+寸法→圧入力!D$18*10^-6*(テーブル4[[#This Row],[inner温度'[℃']]]-20)) - 寸法→圧入力!D$28*(1+寸法→圧入力!D$33*10^-6*(テーブル4[[#This Row],[inner温度'[℃']]]+S$3-20))</f>
        <v>1.3245949999998174E-2</v>
      </c>
      <c r="T24" s="22">
        <f>寸法→圧入力!F$13*(1+寸法→圧入力!D$18*10^-6*(テーブル4[[#This Row],[inner温度'[℃']]]-20)) - 寸法→圧入力!D$28*(1+寸法→圧入力!D$33*10^-6*(テーブル4[[#This Row],[inner温度'[℃']]]+T$3-20))</f>
        <v>6.9459499999986463E-3</v>
      </c>
      <c r="U24" s="22">
        <f>寸法→圧入力!F$13*(1+寸法→圧入力!D$18*10^-6*(テーブル4[[#This Row],[inner温度'[℃']]]-20)) - 寸法→圧入力!D$28*(1+寸法→圧入力!D$33*10^-6*(テーブル4[[#This Row],[inner温度'[℃']]]+U$3-20))</f>
        <v>6.4594999999556535E-4</v>
      </c>
      <c r="V24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39.770819769162962</v>
      </c>
      <c r="W24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33.253718109668263</v>
      </c>
      <c r="X24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26.73661645017356</v>
      </c>
      <c r="Y24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20.219514790682538</v>
      </c>
      <c r="Z24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13.70241313119519</v>
      </c>
      <c r="AA24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7.185311471704166</v>
      </c>
      <c r="AB24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0.66820981220946685</v>
      </c>
      <c r="AC24" s="11">
        <f>テーブル4[[#This Row],[半径方向応力:Δ-30℃]]*2*寸法→圧入力!D$13^2/(寸法→圧入力!D$13^2-寸法→圧入力!F$14^2)</f>
        <v>106.49445971212722</v>
      </c>
      <c r="AD24" s="11">
        <f>テーブル4[[#This Row],[半径方向応力:Δ-20℃]]*2*寸法→圧入力!D$13^2/(寸法→圧入力!D$13^2-寸法→圧入力!F$14^2)</f>
        <v>89.043594375551265</v>
      </c>
      <c r="AE24" s="11">
        <f>テーブル4[[#This Row],[半径方向応力:Δ-10℃]]*2*寸法→圧入力!D$13^2/(寸法→圧入力!D$13^2-寸法→圧入力!F$14^2)</f>
        <v>71.592729038975307</v>
      </c>
      <c r="AF24" s="11">
        <f>テーブル4[[#This Row],[半径方向応力:Δ0℃]]*2*寸法→圧入力!D$13^2/(寸法→圧入力!D$13^2-寸法→圧入力!F$14^2)</f>
        <v>54.141863702409196</v>
      </c>
      <c r="AG24" s="11">
        <f>テーブル4[[#This Row],[半径方向応力:Δ+10℃]]*2*寸法→圧入力!D$13^2/(寸法→圧入力!D$13^2-寸法→圧入力!F$14^2)</f>
        <v>36.690998365852913</v>
      </c>
      <c r="AH24" s="11">
        <f>テーブル4[[#This Row],[半径方向応力:Δ+20℃]]*2*寸法→圧入力!D$13^2/(寸法→圧入力!D$13^2-寸法→圧入力!F$14^2)</f>
        <v>19.240133029286802</v>
      </c>
      <c r="AI24" s="11">
        <f>テーブル4[[#This Row],[半径方向応力:Δ+30℃]]*2*寸法→圧入力!D$13^2/(寸法→圧入力!D$13^2-寸法→圧入力!F$14^2)</f>
        <v>1.7892676927108471</v>
      </c>
      <c r="AJ24" s="11">
        <f>寸法→圧入力!$D$19</f>
        <v>345</v>
      </c>
      <c r="AK24" s="11">
        <f>テーブル4[[#This Row],[半径方向応力:Δ-30℃]]* (1+(寸法→圧入力!D$29/寸法→圧入力!F$28)^2)/((寸法→圧入力!D$29/寸法→圧入力!F$28)^2-1)</f>
        <v>108.95684974886481</v>
      </c>
      <c r="AL24" s="11">
        <f>テーブル4[[#This Row],[半径方向応力:Δ-20℃]]* (1+(寸法→圧入力!D$29/寸法→圧入力!F$28)^2)/((寸法→圧入力!D$29/寸法→圧入力!F$28)^2-1)</f>
        <v>91.102481384493871</v>
      </c>
      <c r="AM24" s="11">
        <f>テーブル4[[#This Row],[半径方向応力:Δ-10℃]]* (1+(寸法→圧入力!D$29/寸法→圧入力!F$28)^2)/((寸法→圧入力!D$29/寸法→圧入力!F$28)^2-1)</f>
        <v>73.248113020122929</v>
      </c>
      <c r="AN24" s="11">
        <f>テーブル4[[#This Row],[半径方向応力:Δ0℃]]* (1+(寸法→圧入力!D$29/寸法→圧入力!F$28)^2)/((寸法→圧入力!D$29/寸法→圧入力!F$28)^2-1)</f>
        <v>55.39374465576207</v>
      </c>
      <c r="AO24" s="11">
        <f>テーブル4[[#This Row],[半径方向応力:Δ+10℃]]* (1+(寸法→圧入力!D$29/寸法→圧入力!F$28)^2)/((寸法→圧入力!D$29/寸法→圧入力!F$28)^2-1)</f>
        <v>37.539376291411266</v>
      </c>
      <c r="AP24" s="11">
        <f>テーブル4[[#This Row],[半径方向応力:Δ+20℃]]* (1+(寸法→圧入力!D$29/寸法→圧入力!F$28)^2)/((寸法→圧入力!D$29/寸法→圧入力!F$28)^2-1)</f>
        <v>19.685007927050396</v>
      </c>
      <c r="AQ24" s="11">
        <f>テーブル4[[#This Row],[半径方向応力:Δ+30℃]]* (1+(寸法→圧入力!D$29/寸法→圧入力!F$28)^2)/((寸法→圧入力!D$29/寸法→圧入力!F$28)^2-1)</f>
        <v>1.8306395626794587</v>
      </c>
      <c r="AR24" s="11">
        <f>寸法→圧入力!$D$34</f>
        <v>150</v>
      </c>
      <c r="AU24" s="152"/>
      <c r="AV24" s="151">
        <f t="shared" si="2"/>
        <v>140</v>
      </c>
      <c r="AW24" s="160">
        <f>(寸法→圧入力!$E$72+寸法→圧入力!$D$3*((寸法→圧入力!$D$33*10^-6*(グラフ!$AV24-20))-(寸法→圧入力!$D$18*10^-6*(グラフ!AW$4-20))))*1000</f>
        <v>114.99833612809388</v>
      </c>
      <c r="AX24" s="160">
        <f>(寸法→圧入力!$E$72+寸法→圧入力!$D$3*((寸法→圧入力!$D$33*10^-6*(グラフ!$AV24-20))-(寸法→圧入力!$D$18*10^-6*(グラフ!AX$4-20))))*1000</f>
        <v>111.42833612809389</v>
      </c>
      <c r="AY24" s="160">
        <f>(寸法→圧入力!$E$72+寸法→圧入力!$D$3*((寸法→圧入力!$D$33*10^-6*(グラフ!$AV24-20))-(寸法→圧入力!$D$18*10^-6*(グラフ!AY$4-20))))*1000</f>
        <v>107.85833612809388</v>
      </c>
      <c r="AZ24" s="160">
        <f>(寸法→圧入力!$E$72+寸法→圧入力!$D$3*((寸法→圧入力!$D$33*10^-6*(グラフ!$AV24-20))-(寸法→圧入力!$D$18*10^-6*(グラフ!AZ$4-20))))*1000</f>
        <v>104.28833612809387</v>
      </c>
      <c r="BA24" s="160">
        <f>(寸法→圧入力!$E$72+寸法→圧入力!$D$3*((寸法→圧入力!$D$33*10^-6*(グラフ!$AV24-20))-(寸法→圧入力!$D$18*10^-6*(グラフ!BA$4-20))))*1000</f>
        <v>100.71833612809388</v>
      </c>
      <c r="BB24" s="160">
        <f>(寸法→圧入力!$E$72+寸法→圧入力!$D$3*((寸法→圧入力!$D$33*10^-6*(グラフ!$AV24-20))-(寸法→圧入力!$D$18*10^-6*(グラフ!BB$4-20))))*1000</f>
        <v>97.148336128093888</v>
      </c>
      <c r="BC24" s="160">
        <f>(寸法→圧入力!$E$72+寸法→圧入力!$D$3*((寸法→圧入力!$D$33*10^-6*(グラフ!$AV24-20))-(寸法→圧入力!$D$18*10^-6*(グラフ!BC$4-20))))*1000</f>
        <v>93.578336128093881</v>
      </c>
      <c r="BD24" s="160">
        <f>(寸法→圧入力!$E$72+寸法→圧入力!$D$3*((寸法→圧入力!$D$33*10^-6*(グラフ!$AV24-20))-(寸法→圧入力!$D$18*10^-6*(グラフ!BD$4-20))))*1000</f>
        <v>90.008336128093873</v>
      </c>
      <c r="BE24" s="160">
        <f>(寸法→圧入力!$E$72+寸法→圧入力!$D$3*((寸法→圧入力!$D$33*10^-6*(グラフ!$AV24-20))-(寸法→圧入力!$D$18*10^-6*(グラフ!BE$4-20))))*1000</f>
        <v>86.43833612809388</v>
      </c>
      <c r="BF24" s="160">
        <f>(寸法→圧入力!$E$72+寸法→圧入力!$D$3*((寸法→圧入力!$D$33*10^-6*(グラフ!$AV24-20))-(寸法→圧入力!$D$18*10^-6*(グラフ!BF$4-20))))*1000</f>
        <v>82.868336128093887</v>
      </c>
      <c r="BG24" s="160">
        <f>(寸法→圧入力!$E$72+寸法→圧入力!$D$3*((寸法→圧入力!$D$33*10^-6*(グラフ!$AV24-20))-(寸法→圧入力!$D$18*10^-6*(グラフ!BG$4-20))))*1000</f>
        <v>79.298336128093879</v>
      </c>
      <c r="BH24" s="160">
        <f>(寸法→圧入力!$E$72+寸法→圧入力!$D$3*((寸法→圧入力!$D$33*10^-6*(グラフ!$AV24-20))-(寸法→圧入力!$D$18*10^-6*(グラフ!BH$4-20))))*1000</f>
        <v>75.728336128093872</v>
      </c>
      <c r="BI24" s="160">
        <f>(寸法→圧入力!$E$72+寸法→圧入力!$D$3*((寸法→圧入力!$D$33*10^-6*(グラフ!$AV24-20))-(寸法→圧入力!$D$18*10^-6*(グラフ!BI$4-20))))*1000</f>
        <v>72.158336128093893</v>
      </c>
      <c r="BJ24" s="160">
        <f>(寸法→圧入力!$E$72+寸法→圧入力!$D$3*((寸法→圧入力!$D$33*10^-6*(グラフ!$AV24-20))-(寸法→圧入力!$D$18*10^-6*(グラフ!BJ$4-20))))*1000</f>
        <v>68.588336128093886</v>
      </c>
      <c r="BK24" s="160">
        <f>(寸法→圧入力!$E$72+寸法→圧入力!$D$3*((寸法→圧入力!$D$33*10^-6*(グラフ!$AV24-20))-(寸法→圧入力!$D$18*10^-6*(グラフ!BK$4-20))))*1000</f>
        <v>65.018336128093878</v>
      </c>
      <c r="BL24" s="160">
        <f>(寸法→圧入力!$E$72+寸法→圧入力!$D$3*((寸法→圧入力!$D$33*10^-6*(グラフ!$AV24-20))-(寸法→圧入力!$D$18*10^-6*(グラフ!BL$4-20))))*1000</f>
        <v>61.448336128093885</v>
      </c>
      <c r="BM24" s="160">
        <f>(寸法→圧入力!$E$72+寸法→圧入力!$D$3*((寸法→圧入力!$D$33*10^-6*(グラフ!$AV24-20))-(寸法→圧入力!$D$18*10^-6*(グラフ!BM$4-20))))*1000</f>
        <v>57.878336128093885</v>
      </c>
      <c r="BN24" s="160">
        <f>(寸法→圧入力!$E$72+寸法→圧入力!$D$3*((寸法→圧入力!$D$33*10^-6*(グラフ!$AV24-20))-(寸法→圧入力!$D$18*10^-6*(グラフ!BN$4-20))))*1000</f>
        <v>54.308336128093885</v>
      </c>
      <c r="BO24" s="160">
        <f>(寸法→圧入力!$E$72+寸法→圧入力!$D$3*((寸法→圧入力!$D$33*10^-6*(グラフ!$AV24-20))-(寸法→圧入力!$D$18*10^-6*(グラフ!BO$4-20))))*1000</f>
        <v>50.738336128093877</v>
      </c>
      <c r="BP24" s="160">
        <f>(寸法→圧入力!$E$72+寸法→圧入力!$D$3*((寸法→圧入力!$D$33*10^-6*(グラフ!$AV24-20))-(寸法→圧入力!$D$18*10^-6*(グラフ!BP$4-20))))*1000</f>
        <v>47.168336128093884</v>
      </c>
      <c r="BQ24" s="160">
        <f>(寸法→圧入力!$E$72+寸法→圧入力!$D$3*((寸法→圧入力!$D$33*10^-6*(グラフ!$AV24-20))-(寸法→圧入力!$D$18*10^-6*(グラフ!BQ$4-20))))*1000</f>
        <v>43.598336128093884</v>
      </c>
    </row>
    <row r="25" spans="1:69" x14ac:dyDescent="0.7">
      <c r="A25" s="22">
        <f t="shared" si="1"/>
        <v>0.19</v>
      </c>
      <c r="B25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187.31375439630523</v>
      </c>
      <c r="C25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192.07848584823753</v>
      </c>
      <c r="D25" s="11">
        <f>(A25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196.54751036561703</v>
      </c>
      <c r="E25" s="11">
        <f>テーブル3[[#This Row],[半径方向応力min]]*寸法→圧入力!D$43*寸法→圧入力!D$5/1000</f>
        <v>21.785421215753214</v>
      </c>
      <c r="F25" s="11">
        <f>テーブル3[[#This Row],[半径方向応力min]]*寸法→圧入力!E$43*寸法→圧入力!E$5/1000</f>
        <v>27.816486446332632</v>
      </c>
      <c r="G25" s="11">
        <f>テーブル3[[#This Row],[半径方向応力min]]*寸法→圧入力!F$43*寸法→圧入力!F$5/1000</f>
        <v>34.088026733165229</v>
      </c>
      <c r="H25" s="11">
        <f>寸法→圧入力!$D$19</f>
        <v>345</v>
      </c>
      <c r="I25" s="11">
        <f>寸法→圧入力!$D$34</f>
        <v>150</v>
      </c>
      <c r="J25" s="11">
        <f>テーブル3[[#This Row],[半径方向応力nor]]*2*寸法→圧入力!E$13^2/(寸法→圧入力!E$13^2-寸法→圧入力!E$14^2)</f>
        <v>511.98197539612818</v>
      </c>
      <c r="K25" s="11">
        <f>テーブル3[[#This Row],[半径方向応力nor]]* (1+(寸法→圧入力!E$29/寸法→圧入力!E$28)^2)/((寸法→圧入力!E$29/寸法→圧入力!E$28)^2-1)</f>
        <v>499.58852311151816</v>
      </c>
      <c r="N25">
        <f t="shared" si="3"/>
        <v>45</v>
      </c>
      <c r="O25" s="22">
        <f>寸法→圧入力!F$13*(1+寸法→圧入力!D$18*10^-6*(テーブル4[[#This Row],[inner温度'[℃']]]-20)) - 寸法→圧入力!D$28*(1+寸法→圧入力!D$33*10^-6*(テーブル4[[#This Row],[inner温度'[℃']]]+O$3-20))</f>
        <v>3.7082437500000509E-2</v>
      </c>
      <c r="P25" s="22">
        <f>寸法→圧入力!F$13*(1+寸法→圧入力!D$18*10^-6*(テーブル4[[#This Row],[inner温度'[℃']]]-20)) - 寸法→圧入力!D$28*(1+寸法→圧入力!D$33*10^-6*(テーブル4[[#This Row],[inner温度'[℃']]]+P$3-20))</f>
        <v>3.0782437499997428E-2</v>
      </c>
      <c r="Q25" s="22">
        <f>寸法→圧入力!F$13*(1+寸法→圧入力!D$18*10^-6*(テーブル4[[#This Row],[inner温度'[℃']]]-20)) - 寸法→圧入力!D$28*(1+寸法→圧入力!D$33*10^-6*(テーブル4[[#This Row],[inner温度'[℃']]]+Q$3-20))</f>
        <v>2.44824374999979E-2</v>
      </c>
      <c r="R25" s="22">
        <f>寸法→圧入力!F$13*(1+寸法→圧入力!D$18*10^-6*(テーブル4[[#This Row],[inner温度'[℃']]]-20)) - 寸法→圧入力!D$28*(1+寸法→圧入力!D$33*10^-6*(テーブル4[[#This Row],[inner温度'[℃']]]+R$3-20))</f>
        <v>1.8182437499994819E-2</v>
      </c>
      <c r="S25" s="22">
        <f>寸法→圧入力!F$13*(1+寸法→圧入力!D$18*10^-6*(テーブル4[[#This Row],[inner温度'[℃']]]-20)) - 寸法→圧入力!D$28*(1+寸法→圧入力!D$33*10^-6*(テーブル4[[#This Row],[inner温度'[℃']]]+S$3-20))</f>
        <v>1.1882437500002396E-2</v>
      </c>
      <c r="T25" s="22">
        <f>寸法→圧入力!F$13*(1+寸法→圧入力!D$18*10^-6*(テーブル4[[#This Row],[inner温度'[℃']]]-20)) - 寸法→圧入力!D$28*(1+寸法→圧入力!D$33*10^-6*(テーブル4[[#This Row],[inner温度'[℃']]]+T$3-20))</f>
        <v>5.5824374999993154E-3</v>
      </c>
      <c r="U25" s="22">
        <f>寸法→圧入力!F$13*(1+寸法→圧入力!D$18*10^-6*(テーブル4[[#This Row],[inner温度'[℃']]]-20)) - 寸法→圧入力!D$28*(1+寸法→圧入力!D$33*10^-6*(テーブル4[[#This Row],[inner温度'[℃']]]+U$3-20))</f>
        <v>-7.1756250000021282E-4</v>
      </c>
      <c r="V25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38.360319836387873</v>
      </c>
      <c r="W25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31.843218176893174</v>
      </c>
      <c r="X25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25.326116517402149</v>
      </c>
      <c r="Y25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18.809014857907449</v>
      </c>
      <c r="Z25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12.291913198423776</v>
      </c>
      <c r="AA25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5.7748115389290771</v>
      </c>
      <c r="AB25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-0.74229012056194676</v>
      </c>
      <c r="AC25" s="11">
        <f>テーブル4[[#This Row],[半径方向応力:Δ-30℃]]*2*寸法→圧入力!D$13^2/(寸法→圧入力!D$13^2-寸法→圧入力!F$14^2)</f>
        <v>102.71755923241059</v>
      </c>
      <c r="AD25" s="11">
        <f>テーブル4[[#This Row],[半径方向応力:Δ-20℃]]*2*寸法→圧入力!D$13^2/(寸法→圧入力!D$13^2-寸法→圧入力!F$14^2)</f>
        <v>85.266693895834649</v>
      </c>
      <c r="AE25" s="11">
        <f>テーブル4[[#This Row],[半径方向応力:Δ-10℃]]*2*寸法→圧入力!D$13^2/(寸法→圧入力!D$13^2-寸法→圧入力!F$14^2)</f>
        <v>67.815828559268525</v>
      </c>
      <c r="AF25" s="11">
        <f>テーブル4[[#This Row],[半径方向応力:Δ0℃]]*2*寸法→圧入力!D$13^2/(寸法→圧入力!D$13^2-寸法→圧入力!F$14^2)</f>
        <v>50.364963222692573</v>
      </c>
      <c r="AG25" s="11">
        <f>テーブル4[[#This Row],[半径方向応力:Δ+10℃]]*2*寸法→圧入力!D$13^2/(寸法→圧入力!D$13^2-寸法→圧入力!F$14^2)</f>
        <v>32.914097886146138</v>
      </c>
      <c r="AH25" s="11">
        <f>テーブル4[[#This Row],[半径方向応力:Δ+20℃]]*2*寸法→圧入力!D$13^2/(寸法→圧入力!D$13^2-寸法→圧入力!F$14^2)</f>
        <v>15.463232549570183</v>
      </c>
      <c r="AI25" s="11">
        <f>テーブル4[[#This Row],[半径方向応力:Δ+30℃]]*2*寸法→圧入力!D$13^2/(寸法→圧入力!D$13^2-寸法→圧入力!F$14^2)</f>
        <v>-1.9876327869959323</v>
      </c>
      <c r="AJ25" s="11">
        <f>寸法→圧入力!$D$19</f>
        <v>345</v>
      </c>
      <c r="AK25" s="11">
        <f>テーブル4[[#This Row],[半径方向応力:Δ-30℃]]* (1+(寸法→圧入力!D$29/寸法→圧入力!F$28)^2)/((寸法→圧入力!D$29/寸法→圧入力!F$28)^2-1)</f>
        <v>105.09261888467427</v>
      </c>
      <c r="AL25" s="11">
        <f>テーブル4[[#This Row],[半径方向応力:Δ-20℃]]* (1+(寸法→圧入力!D$29/寸法→圧入力!F$28)^2)/((寸法→圧入力!D$29/寸法→圧入力!F$28)^2-1)</f>
        <v>87.238250520303325</v>
      </c>
      <c r="AM25" s="11">
        <f>テーブル4[[#This Row],[半径方向応力:Δ-10℃]]* (1+(寸法→圧入力!D$29/寸法→圧入力!F$28)^2)/((寸法→圧入力!D$29/寸法→圧入力!F$28)^2-1)</f>
        <v>69.383882155942445</v>
      </c>
      <c r="AN25" s="11">
        <f>テーブル4[[#This Row],[半径方向応力:Δ0℃]]* (1+(寸法→圧入力!D$29/寸法→圧入力!F$28)^2)/((寸法→圧入力!D$29/寸法→圧入力!F$28)^2-1)</f>
        <v>51.529513791571517</v>
      </c>
      <c r="AO25" s="11">
        <f>テーブル4[[#This Row],[半径方向応力:Δ+10℃]]* (1+(寸法→圧入力!D$29/寸法→圧入力!F$28)^2)/((寸法→圧入力!D$29/寸法→圧入力!F$28)^2-1)</f>
        <v>33.675145427230788</v>
      </c>
      <c r="AP25" s="11">
        <f>テーブル4[[#This Row],[半径方向応力:Δ+20℃]]* (1+(寸法→圧入力!D$29/寸法→圧入力!F$28)^2)/((寸法→圧入力!D$29/寸法→圧入力!F$28)^2-1)</f>
        <v>15.820777062859845</v>
      </c>
      <c r="AQ25" s="11">
        <f>テーブル4[[#This Row],[半径方向応力:Δ+30℃]]* (1+(寸法→圧入力!D$29/寸法→圧入力!F$28)^2)/((寸法→圧入力!D$29/寸法→圧入力!F$28)^2-1)</f>
        <v>-2.0335913015010245</v>
      </c>
      <c r="AR25" s="11">
        <f>寸法→圧入力!$D$34</f>
        <v>150</v>
      </c>
      <c r="AU25" s="153"/>
      <c r="AV25" s="151">
        <f t="shared" si="2"/>
        <v>150</v>
      </c>
      <c r="AW25" s="160">
        <f>(寸法→圧入力!$E$72+寸法→圧入力!$D$3*((寸法→圧入力!$D$33*10^-6*(グラフ!$AV25-20))-(寸法→圧入力!$D$18*10^-6*(グラフ!AW$4-20))))*1000</f>
        <v>121.29833612809389</v>
      </c>
      <c r="AX25" s="160">
        <f>(寸法→圧入力!$E$72+寸法→圧入力!$D$3*((寸法→圧入力!$D$33*10^-6*(グラフ!$AV25-20))-(寸法→圧入力!$D$18*10^-6*(グラフ!AX$4-20))))*1000</f>
        <v>117.72833612809389</v>
      </c>
      <c r="AY25" s="160">
        <f>(寸法→圧入力!$E$72+寸法→圧入力!$D$3*((寸法→圧入力!$D$33*10^-6*(グラフ!$AV25-20))-(寸法→圧入力!$D$18*10^-6*(グラフ!AY$4-20))))*1000</f>
        <v>114.15833612809388</v>
      </c>
      <c r="AZ25" s="160">
        <f>(寸法→圧入力!$E$72+寸法→圧入力!$D$3*((寸法→圧入力!$D$33*10^-6*(グラフ!$AV25-20))-(寸法→圧入力!$D$18*10^-6*(グラフ!AZ$4-20))))*1000</f>
        <v>110.58833612809387</v>
      </c>
      <c r="BA25" s="160">
        <f>(寸法→圧入力!$E$72+寸法→圧入力!$D$3*((寸法→圧入力!$D$33*10^-6*(グラフ!$AV25-20))-(寸法→圧入力!$D$18*10^-6*(グラフ!BA$4-20))))*1000</f>
        <v>107.01833612809389</v>
      </c>
      <c r="BB25" s="160">
        <f>(寸法→圧入力!$E$72+寸法→圧入力!$D$3*((寸法→圧入力!$D$33*10^-6*(グラフ!$AV25-20))-(寸法→圧入力!$D$18*10^-6*(グラフ!BB$4-20))))*1000</f>
        <v>103.44833612809389</v>
      </c>
      <c r="BC25" s="160">
        <f>(寸法→圧入力!$E$72+寸法→圧入力!$D$3*((寸法→圧入力!$D$33*10^-6*(グラフ!$AV25-20))-(寸法→圧入力!$D$18*10^-6*(グラフ!BC$4-20))))*1000</f>
        <v>99.878336128093892</v>
      </c>
      <c r="BD25" s="160">
        <f>(寸法→圧入力!$E$72+寸法→圧入力!$D$3*((寸法→圧入力!$D$33*10^-6*(グラフ!$AV25-20))-(寸法→圧入力!$D$18*10^-6*(グラフ!BD$4-20))))*1000</f>
        <v>96.308336128093885</v>
      </c>
      <c r="BE25" s="160">
        <f>(寸法→圧入力!$E$72+寸法→圧入力!$D$3*((寸法→圧入力!$D$33*10^-6*(グラフ!$AV25-20))-(寸法→圧入力!$D$18*10^-6*(グラフ!BE$4-20))))*1000</f>
        <v>92.738336128093877</v>
      </c>
      <c r="BF25" s="160">
        <f>(寸法→圧入力!$E$72+寸法→圧入力!$D$3*((寸法→圧入力!$D$33*10^-6*(グラフ!$AV25-20))-(寸法→圧入力!$D$18*10^-6*(グラフ!BF$4-20))))*1000</f>
        <v>89.168336128093884</v>
      </c>
      <c r="BG25" s="160">
        <f>(寸法→圧入力!$E$72+寸法→圧入力!$D$3*((寸法→圧入力!$D$33*10^-6*(グラフ!$AV25-20))-(寸法→圧入力!$D$18*10^-6*(グラフ!BG$4-20))))*1000</f>
        <v>85.598336128093877</v>
      </c>
      <c r="BH25" s="160">
        <f>(寸法→圧入力!$E$72+寸法→圧入力!$D$3*((寸法→圧入力!$D$33*10^-6*(グラフ!$AV25-20))-(寸法→圧入力!$D$18*10^-6*(グラフ!BH$4-20))))*1000</f>
        <v>82.028336128093883</v>
      </c>
      <c r="BI25" s="160">
        <f>(寸法→圧入力!$E$72+寸法→圧入力!$D$3*((寸法→圧入力!$D$33*10^-6*(グラフ!$AV25-20))-(寸法→圧入力!$D$18*10^-6*(グラフ!BI$4-20))))*1000</f>
        <v>78.45833612809389</v>
      </c>
      <c r="BJ25" s="160">
        <f>(寸法→圧入力!$E$72+寸法→圧入力!$D$3*((寸法→圧入力!$D$33*10^-6*(グラフ!$AV25-20))-(寸法→圧入力!$D$18*10^-6*(グラフ!BJ$4-20))))*1000</f>
        <v>74.888336128093869</v>
      </c>
      <c r="BK25" s="160">
        <f>(寸法→圧入力!$E$72+寸法→圧入力!$D$3*((寸法→圧入力!$D$33*10^-6*(グラフ!$AV25-20))-(寸法→圧入力!$D$18*10^-6*(グラフ!BK$4-20))))*1000</f>
        <v>71.318336128093875</v>
      </c>
      <c r="BL25" s="160">
        <f>(寸法→圧入力!$E$72+寸法→圧入力!$D$3*((寸法→圧入力!$D$33*10^-6*(グラフ!$AV25-20))-(寸法→圧入力!$D$18*10^-6*(グラフ!BL$4-20))))*1000</f>
        <v>67.748336128093882</v>
      </c>
      <c r="BM25" s="160">
        <f>(寸法→圧入力!$E$72+寸法→圧入力!$D$3*((寸法→圧入力!$D$33*10^-6*(グラフ!$AV25-20))-(寸法→圧入力!$D$18*10^-6*(グラフ!BM$4-20))))*1000</f>
        <v>64.178336128093889</v>
      </c>
      <c r="BN25" s="160">
        <f>(寸法→圧入力!$E$72+寸法→圧入力!$D$3*((寸法→圧入力!$D$33*10^-6*(グラフ!$AV25-20))-(寸法→圧入力!$D$18*10^-6*(グラフ!BN$4-20))))*1000</f>
        <v>60.608336128093889</v>
      </c>
      <c r="BO25" s="160">
        <f>(寸法→圧入力!$E$72+寸法→圧入力!$D$3*((寸法→圧入力!$D$33*10^-6*(グラフ!$AV25-20))-(寸法→圧入力!$D$18*10^-6*(グラフ!BO$4-20))))*1000</f>
        <v>57.038336128093881</v>
      </c>
      <c r="BP25" s="160">
        <f>(寸法→圧入力!$E$72+寸法→圧入力!$D$3*((寸法→圧入力!$D$33*10^-6*(グラフ!$AV25-20))-(寸法→圧入力!$D$18*10^-6*(グラフ!BP$4-20))))*1000</f>
        <v>53.468336128093881</v>
      </c>
      <c r="BQ25" s="160">
        <f>(寸法→圧入力!$E$72+寸法→圧入力!$D$3*((寸法→圧入力!$D$33*10^-6*(グラフ!$AV25-20))-(寸法→圧入力!$D$18*10^-6*(グラフ!BQ$4-20))))*1000</f>
        <v>49.898336128093881</v>
      </c>
    </row>
    <row r="26" spans="1:69" x14ac:dyDescent="0.7">
      <c r="A26" s="22">
        <f t="shared" si="1"/>
        <v>0.2</v>
      </c>
      <c r="B26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197.17237304874237</v>
      </c>
      <c r="C26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202.18787984025008</v>
      </c>
      <c r="D26" s="11">
        <f>(A26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206.89211617433372</v>
      </c>
      <c r="E26" s="11">
        <f>テーブル3[[#This Row],[半径方向応力min]]*寸法→圧入力!D$43*寸法→圧入力!D$5/1000</f>
        <v>22.932022332371805</v>
      </c>
      <c r="F26" s="11">
        <f>テーブル3[[#This Row],[半径方向応力min]]*寸法→圧入力!E$43*寸法→圧入力!E$5/1000</f>
        <v>29.280512048771197</v>
      </c>
      <c r="G26" s="11">
        <f>テーブル3[[#This Row],[半径方向応力min]]*寸法→圧入力!F$43*寸法→圧入力!F$5/1000</f>
        <v>35.882133403331821</v>
      </c>
      <c r="H26" s="11">
        <f>寸法→圧入力!$D$19</f>
        <v>345</v>
      </c>
      <c r="I26" s="11">
        <f>寸法→圧入力!$D$34</f>
        <v>150</v>
      </c>
      <c r="J26" s="11">
        <f>テーブル3[[#This Row],[半径方向応力nor]]*2*寸法→圧入力!E$13^2/(寸法→圧入力!E$13^2-寸法→圧入力!E$14^2)</f>
        <v>538.92839515381922</v>
      </c>
      <c r="K26" s="11">
        <f>テーブル3[[#This Row],[半径方向応力nor]]* (1+(寸法→圧入力!E$29/寸法→圧入力!E$28)^2)/((寸法→圧入力!E$29/寸法→圧入力!E$28)^2-1)</f>
        <v>525.88265590686126</v>
      </c>
      <c r="N26">
        <f t="shared" si="3"/>
        <v>50</v>
      </c>
      <c r="O26" s="22">
        <f>寸法→圧入力!F$13*(1+寸法→圧入力!D$18*10^-6*(テーブル4[[#This Row],[inner温度'[℃']]]-20)) - 寸法→圧入力!D$28*(1+寸法→圧入力!D$33*10^-6*(テーブル4[[#This Row],[inner温度'[℃']]]+O$3-20))</f>
        <v>3.5718924999997625E-2</v>
      </c>
      <c r="P26" s="22">
        <f>寸法→圧入力!F$13*(1+寸法→圧入力!D$18*10^-6*(テーブル4[[#This Row],[inner温度'[℃']]]-20)) - 寸法→圧入力!D$28*(1+寸法→圧入力!D$33*10^-6*(テーブル4[[#This Row],[inner温度'[℃']]]+P$3-20))</f>
        <v>2.9418924999994545E-2</v>
      </c>
      <c r="Q26" s="22">
        <f>寸法→圧入力!F$13*(1+寸法→圧入力!D$18*10^-6*(テーブル4[[#This Row],[inner温度'[℃']]]-20)) - 寸法→圧入力!D$28*(1+寸法→圧入力!D$33*10^-6*(テーブル4[[#This Row],[inner温度'[℃']]]+Q$3-20))</f>
        <v>2.3118924999995016E-2</v>
      </c>
      <c r="R26" s="22">
        <f>寸法→圧入力!F$13*(1+寸法→圧入力!D$18*10^-6*(テーブル4[[#This Row],[inner温度'[℃']]]-20)) - 寸法→圧入力!D$28*(1+寸法→圧入力!D$33*10^-6*(テーブル4[[#This Row],[inner温度'[℃']]]+R$3-20))</f>
        <v>1.6818924999999041E-2</v>
      </c>
      <c r="S26" s="22">
        <f>寸法→圧入力!F$13*(1+寸法→圧入力!D$18*10^-6*(テーブル4[[#This Row],[inner温度'[℃']]]-20)) - 寸法→圧入力!D$28*(1+寸法→圧入力!D$33*10^-6*(テーブル4[[#This Row],[inner温度'[℃']]]+S$3-20))</f>
        <v>1.0518924999999513E-2</v>
      </c>
      <c r="T26" s="22">
        <f>寸法→圧入力!F$13*(1+寸法→圧入力!D$18*10^-6*(テーブル4[[#This Row],[inner温度'[℃']]]-20)) - 寸法→圧入力!D$28*(1+寸法→圧入力!D$33*10^-6*(テーブル4[[#This Row],[inner温度'[℃']]]+T$3-20))</f>
        <v>4.2189249999964318E-3</v>
      </c>
      <c r="U26" s="22">
        <f>寸法→圧入力!F$13*(1+寸法→圧入力!D$18*10^-6*(テーブル4[[#This Row],[inner温度'[℃']]]-20)) - 寸法→圧入力!D$28*(1+寸法→圧入力!D$33*10^-6*(テーブル4[[#This Row],[inner温度'[℃']]]+U$3-20))</f>
        <v>-2.0810750000030964E-3</v>
      </c>
      <c r="V26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36.949819903609111</v>
      </c>
      <c r="W26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30.432718244114412</v>
      </c>
      <c r="X26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23.915616584623386</v>
      </c>
      <c r="Y26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17.398514925136034</v>
      </c>
      <c r="Z26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10.881413265645014</v>
      </c>
      <c r="AA26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4.3643116061503138</v>
      </c>
      <c r="AB26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-2.1527900533407109</v>
      </c>
      <c r="AC26" s="11">
        <f>テーブル4[[#This Row],[半径方向応力:Δ-30℃]]*2*寸法→圧入力!D$13^2/(寸法→圧入力!D$13^2-寸法→圧入力!F$14^2)</f>
        <v>98.940658752684143</v>
      </c>
      <c r="AD26" s="11">
        <f>テーブル4[[#This Row],[半径方向応力:Δ-20℃]]*2*寸法→圧入力!D$13^2/(寸法→圧入力!D$13^2-寸法→圧入力!F$14^2)</f>
        <v>81.489793416108185</v>
      </c>
      <c r="AE26" s="11">
        <f>テーブル4[[#This Row],[半径方向応力:Δ-10℃]]*2*寸法→圧入力!D$13^2/(寸法→圧入力!D$13^2-寸法→圧入力!F$14^2)</f>
        <v>64.038928079542075</v>
      </c>
      <c r="AF26" s="11">
        <f>テーブル4[[#This Row],[半径方向応力:Δ0℃]]*2*寸法→圧入力!D$13^2/(寸法→圧入力!D$13^2-寸法→圧入力!F$14^2)</f>
        <v>46.588062742985791</v>
      </c>
      <c r="AG26" s="11">
        <f>テーブル4[[#This Row],[半径方向応力:Δ+10℃]]*2*寸法→圧入力!D$13^2/(寸法→圧入力!D$13^2-寸法→圧入力!F$14^2)</f>
        <v>29.137197406419681</v>
      </c>
      <c r="AH26" s="11">
        <f>テーブル4[[#This Row],[半径方向応力:Δ+20℃]]*2*寸法→圧入力!D$13^2/(寸法→圧入力!D$13^2-寸法→圧入力!F$14^2)</f>
        <v>11.686332069843722</v>
      </c>
      <c r="AI26" s="11">
        <f>テーブル4[[#This Row],[半径方向応力:Δ+30℃]]*2*寸法→圧入力!D$13^2/(寸法→圧入力!D$13^2-寸法→圧入力!F$14^2)</f>
        <v>-5.7645332667223945</v>
      </c>
      <c r="AJ26" s="11">
        <f>寸法→圧入力!$D$19</f>
        <v>345</v>
      </c>
      <c r="AK26" s="11">
        <f>テーブル4[[#This Row],[半径方向応力:Δ-30℃]]* (1+(寸法→圧入力!D$29/寸法→圧入力!F$28)^2)/((寸法→圧入力!D$29/寸法→圧入力!F$28)^2-1)</f>
        <v>101.22838802047364</v>
      </c>
      <c r="AL26" s="11">
        <f>テーブル4[[#This Row],[半径方向応力:Δ-20℃]]* (1+(寸法→圧入力!D$29/寸法→圧入力!F$28)^2)/((寸法→圧入力!D$29/寸法→圧入力!F$28)^2-1)</f>
        <v>83.374019656102703</v>
      </c>
      <c r="AM26" s="11">
        <f>テーブル4[[#This Row],[半径方向応力:Δ-10℃]]* (1+(寸法→圧入力!D$29/寸法→圧入力!F$28)^2)/((寸法→圧入力!D$29/寸法→圧入力!F$28)^2-1)</f>
        <v>65.519651291741837</v>
      </c>
      <c r="AN26" s="11">
        <f>テーブル4[[#This Row],[半径方向応力:Δ0℃]]* (1+(寸法→圧入力!D$29/寸法→圧入力!F$28)^2)/((寸法→圧入力!D$29/寸法→圧入力!F$28)^2-1)</f>
        <v>47.665282927391026</v>
      </c>
      <c r="AO26" s="11">
        <f>テーブル4[[#This Row],[半径方向応力:Δ+10℃]]* (1+(寸法→圧入力!D$29/寸法→圧入力!F$28)^2)/((寸法→圧入力!D$29/寸法→圧入力!F$28)^2-1)</f>
        <v>29.810914563030163</v>
      </c>
      <c r="AP26" s="11">
        <f>テーブル4[[#This Row],[半径方向応力:Δ+20℃]]* (1+(寸法→圧入力!D$29/寸法→圧入力!F$28)^2)/((寸法→圧入力!D$29/寸法→圧入力!F$28)^2-1)</f>
        <v>11.956546198659225</v>
      </c>
      <c r="AQ26" s="11">
        <f>テーブル4[[#This Row],[半径方向応力:Δ+30℃]]* (1+(寸法→圧入力!D$29/寸法→圧入力!F$28)^2)/((寸法→圧入力!D$29/寸法→圧入力!F$28)^2-1)</f>
        <v>-5.897822165701645</v>
      </c>
      <c r="AR26" s="11">
        <f>寸法→圧入力!$D$34</f>
        <v>150</v>
      </c>
    </row>
    <row r="27" spans="1:69" x14ac:dyDescent="0.7">
      <c r="A27" s="22">
        <f t="shared" si="1"/>
        <v>0.21</v>
      </c>
      <c r="B27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207.03099170117946</v>
      </c>
      <c r="C27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212.29727383226256</v>
      </c>
      <c r="D27" s="11">
        <f>(A27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217.23672198305042</v>
      </c>
      <c r="E27" s="11">
        <f>テーブル3[[#This Row],[半径方向応力min]]*寸法→圧入力!D$43*寸法→圧入力!D$5/1000</f>
        <v>24.078623448990395</v>
      </c>
      <c r="F27" s="11">
        <f>テーブル3[[#This Row],[半径方向応力min]]*寸法→圧入力!E$43*寸法→圧入力!E$5/1000</f>
        <v>30.74453765120975</v>
      </c>
      <c r="G27" s="11">
        <f>テーブル3[[#This Row],[半径方向応力min]]*寸法→圧入力!F$43*寸法→圧入力!F$5/1000</f>
        <v>37.676240073498406</v>
      </c>
      <c r="H27" s="11">
        <f>寸法→圧入力!$D$19</f>
        <v>345</v>
      </c>
      <c r="I27" s="11">
        <f>寸法→圧入力!$D$34</f>
        <v>150</v>
      </c>
      <c r="J27" s="11">
        <f>テーブル3[[#This Row],[半径方向応力nor]]*2*寸法→圧入力!E$13^2/(寸法→圧入力!E$13^2-寸法→圧入力!E$14^2)</f>
        <v>565.87481491151016</v>
      </c>
      <c r="K27" s="11">
        <f>テーブル3[[#This Row],[半径方向応力nor]]* (1+(寸法→圧入力!E$29/寸法→圧入力!E$28)^2)/((寸法→圧入力!E$29/寸法→圧入力!E$28)^2-1)</f>
        <v>552.17678870220436</v>
      </c>
      <c r="N27">
        <f t="shared" si="3"/>
        <v>55</v>
      </c>
      <c r="O27" s="22">
        <f>寸法→圧入力!F$13*(1+寸法→圧入力!D$18*10^-6*(テーブル4[[#This Row],[inner温度'[℃']]]-20)) - 寸法→圧入力!D$28*(1+寸法→圧入力!D$33*10^-6*(テーブル4[[#This Row],[inner温度'[℃']]]+O$3-20))</f>
        <v>3.4355412499998295E-2</v>
      </c>
      <c r="P27" s="22">
        <f>寸法→圧入力!F$13*(1+寸法→圧入力!D$18*10^-6*(テーブル4[[#This Row],[inner温度'[℃']]]-20)) - 寸法→圧入力!D$28*(1+寸法→圧入力!D$33*10^-6*(テーブル4[[#This Row],[inner温度'[℃']]]+P$3-20))</f>
        <v>2.8055412499998766E-2</v>
      </c>
      <c r="Q27" s="22">
        <f>寸法→圧入力!F$13*(1+寸法→圧入力!D$18*10^-6*(テーブル4[[#This Row],[inner温度'[℃']]]-20)) - 寸法→圧入力!D$28*(1+寸法→圧入力!D$33*10^-6*(テーブル4[[#This Row],[inner温度'[℃']]]+Q$3-20))</f>
        <v>2.1755412499995685E-2</v>
      </c>
      <c r="R27" s="22">
        <f>寸法→圧入力!F$13*(1+寸法→圧入力!D$18*10^-6*(テーブル4[[#This Row],[inner温度'[℃']]]-20)) - 寸法→圧入力!D$28*(1+寸法→圧入力!D$33*10^-6*(テーブル4[[#This Row],[inner温度'[℃']]]+R$3-20))</f>
        <v>1.5455412500003263E-2</v>
      </c>
      <c r="S27" s="22">
        <f>寸法→圧入力!F$13*(1+寸法→圧入力!D$18*10^-6*(テーブル4[[#This Row],[inner温度'[℃']]]-20)) - 寸法→圧入力!D$28*(1+寸法→圧入力!D$33*10^-6*(テーブル4[[#This Row],[inner温度'[℃']]]+S$3-20))</f>
        <v>9.1554125000001818E-3</v>
      </c>
      <c r="T27" s="22">
        <f>寸法→圧入力!F$13*(1+寸法→圧入力!D$18*10^-6*(テーブル4[[#This Row],[inner温度'[℃']]]-20)) - 寸法→圧入力!D$28*(1+寸法→圧入力!D$33*10^-6*(テーブル4[[#This Row],[inner温度'[℃']]]+T$3-20))</f>
        <v>2.8554125000006536E-3</v>
      </c>
      <c r="U27" s="22">
        <f>寸法→圧入力!F$13*(1+寸法→圧入力!D$18*10^-6*(テーブル4[[#This Row],[inner温度'[℃']]]-20)) - 寸法→圧入力!D$28*(1+寸法→圧入力!D$33*10^-6*(テーブル4[[#This Row],[inner温度'[℃']]]+U$3-20))</f>
        <v>-3.4445875000024273E-3</v>
      </c>
      <c r="V27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35.539319970834022</v>
      </c>
      <c r="W27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29.022218311342996</v>
      </c>
      <c r="X27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22.505116651848297</v>
      </c>
      <c r="Y27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15.988014992364624</v>
      </c>
      <c r="Z27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9.4709133328699231</v>
      </c>
      <c r="AA27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2.9538116733788993</v>
      </c>
      <c r="AB27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-3.5632899861157998</v>
      </c>
      <c r="AC27" s="11">
        <f>テーブル4[[#This Row],[半径方向応力:Δ-30℃]]*2*寸法→圧入力!D$13^2/(寸法→圧入力!D$13^2-寸法→圧入力!F$14^2)</f>
        <v>95.163758272967513</v>
      </c>
      <c r="AD27" s="11">
        <f>テーブル4[[#This Row],[半径方向応力:Δ-20℃]]*2*寸法→圧入力!D$13^2/(寸法→圧入力!D$13^2-寸法→圧入力!F$14^2)</f>
        <v>77.712892936401403</v>
      </c>
      <c r="AE27" s="11">
        <f>テーブル4[[#This Row],[半径方向応力:Δ-10℃]]*2*寸法→圧入力!D$13^2/(寸法→圧入力!D$13^2-寸法→圧入力!F$14^2)</f>
        <v>60.262027599825451</v>
      </c>
      <c r="AF27" s="11">
        <f>テーブル4[[#This Row],[半径方向応力:Δ0℃]]*2*寸法→圧入力!D$13^2/(寸法→圧入力!D$13^2-寸法→圧入力!F$14^2)</f>
        <v>42.811162263279016</v>
      </c>
      <c r="AG27" s="11">
        <f>テーブル4[[#This Row],[半径方向応力:Δ+10℃]]*2*寸法→圧入力!D$13^2/(寸法→圧入力!D$13^2-寸法→圧入力!F$14^2)</f>
        <v>25.360296926703054</v>
      </c>
      <c r="AH27" s="11">
        <f>テーブル4[[#This Row],[半径方向応力:Δ+20℃]]*2*寸法→圧入力!D$13^2/(寸法→圧入力!D$13^2-寸法→圧入力!F$14^2)</f>
        <v>7.9094315901369407</v>
      </c>
      <c r="AI27" s="11">
        <f>テーブル4[[#This Row],[半径方向応力:Δ+30℃]]*2*寸法→圧入力!D$13^2/(寸法→圧入力!D$13^2-寸法→圧入力!F$14^2)</f>
        <v>-9.5414337464390151</v>
      </c>
      <c r="AJ27" s="11">
        <f>寸法→圧入力!$D$19</f>
        <v>345</v>
      </c>
      <c r="AK27" s="11">
        <f>テーブル4[[#This Row],[半径方向応力:Δ-30℃]]* (1+(寸法→圧入力!D$29/寸法→圧入力!F$28)^2)/((寸法→圧入力!D$29/寸法→圧入力!F$28)^2-1)</f>
        <v>97.364157156283099</v>
      </c>
      <c r="AL27" s="11">
        <f>テーブル4[[#This Row],[半径方向応力:Δ-20℃]]* (1+(寸法→圧入力!D$29/寸法→圧入力!F$28)^2)/((寸法→圧入力!D$29/寸法→圧入力!F$28)^2-1)</f>
        <v>79.509788791922219</v>
      </c>
      <c r="AM27" s="11">
        <f>テーブル4[[#This Row],[半径方向応力:Δ-10℃]]* (1+(寸法→圧入力!D$29/寸法→圧入力!F$28)^2)/((寸法→圧入力!D$29/寸法→圧入力!F$28)^2-1)</f>
        <v>61.655420427551277</v>
      </c>
      <c r="AN27" s="11">
        <f>テーブル4[[#This Row],[半径方向応力:Δ0℃]]* (1+(寸法→圧入力!D$29/寸法→圧入力!F$28)^2)/((寸法→圧入力!D$29/寸法→圧入力!F$28)^2-1)</f>
        <v>43.801052063210548</v>
      </c>
      <c r="AO27" s="11">
        <f>テーブル4[[#This Row],[半径方向応力:Δ+10℃]]* (1+(寸法→圧入力!D$29/寸法→圧入力!F$28)^2)/((寸法→圧入力!D$29/寸法→圧入力!F$28)^2-1)</f>
        <v>25.94668369883961</v>
      </c>
      <c r="AP27" s="11">
        <f>テーブル4[[#This Row],[半径方向応力:Δ+20℃]]* (1+(寸法→圧入力!D$29/寸法→圧入力!F$28)^2)/((寸法→圧入力!D$29/寸法→圧入力!F$28)^2-1)</f>
        <v>8.0923153344787409</v>
      </c>
      <c r="AQ27" s="11">
        <f>テーブル4[[#This Row],[半径方向応力:Δ+30℃]]* (1+(寸法→圧入力!D$29/寸法→圧入力!F$28)^2)/((寸法→圧入力!D$29/寸法→圧入力!F$28)^2-1)</f>
        <v>-9.762053029892197</v>
      </c>
      <c r="AR27" s="11">
        <f>寸法→圧入力!$D$34</f>
        <v>150</v>
      </c>
    </row>
    <row r="28" spans="1:69" x14ac:dyDescent="0.7">
      <c r="A28" s="22">
        <f t="shared" si="1"/>
        <v>0.22</v>
      </c>
      <c r="B28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216.88961035361658</v>
      </c>
      <c r="C28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222.40666782427505</v>
      </c>
      <c r="D28" s="11">
        <f>(A28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227.58132779176708</v>
      </c>
      <c r="E28" s="11">
        <f>テーブル3[[#This Row],[半径方向応力min]]*寸法→圧入力!D$43*寸法→圧入力!D$5/1000</f>
        <v>25.225224565608983</v>
      </c>
      <c r="F28" s="11">
        <f>テーブル3[[#This Row],[半径方向応力min]]*寸法→圧入力!E$43*寸法→圧入力!E$5/1000</f>
        <v>32.208563253648308</v>
      </c>
      <c r="G28" s="11">
        <f>テーブル3[[#This Row],[半径方向応力min]]*寸法→圧入力!F$43*寸法→圧入力!F$5/1000</f>
        <v>39.470346743664997</v>
      </c>
      <c r="H28" s="11">
        <f>寸法→圧入力!$D$19</f>
        <v>345</v>
      </c>
      <c r="I28" s="11">
        <f>寸法→圧入力!$D$34</f>
        <v>150</v>
      </c>
      <c r="J28" s="11">
        <f>テーブル3[[#This Row],[半径方向応力nor]]*2*寸法→圧入力!E$13^2/(寸法→圧入力!E$13^2-寸法→圧入力!E$14^2)</f>
        <v>592.82123466920109</v>
      </c>
      <c r="K28" s="11">
        <f>テーブル3[[#This Row],[半径方向応力nor]]* (1+(寸法→圧入力!E$29/寸法→圧入力!E$28)^2)/((寸法→圧入力!E$29/寸法→圧入力!E$28)^2-1)</f>
        <v>578.47092149754724</v>
      </c>
      <c r="N28">
        <f t="shared" si="3"/>
        <v>60</v>
      </c>
      <c r="O28" s="22">
        <f>寸法→圧入力!F$13*(1+寸法→圧入力!D$18*10^-6*(テーブル4[[#This Row],[inner温度'[℃']]]-20)) - 寸法→圧入力!D$28*(1+寸法→圧入力!D$33*10^-6*(テーブル4[[#This Row],[inner温度'[℃']]]+O$3-20))</f>
        <v>3.2991899999991858E-2</v>
      </c>
      <c r="P28" s="22">
        <f>寸法→圧入力!F$13*(1+寸法→圧入力!D$18*10^-6*(テーブル4[[#This Row],[inner温度'[℃']]]-20)) - 寸法→圧入力!D$28*(1+寸法→圧入力!D$33*10^-6*(テーブル4[[#This Row],[inner温度'[℃']]]+P$3-20))</f>
        <v>2.669189999999233E-2</v>
      </c>
      <c r="Q28" s="22">
        <f>寸法→圧入力!F$13*(1+寸法→圧入力!D$18*10^-6*(テーブル4[[#This Row],[inner温度'[℃']]]-20)) - 寸法→圧入力!D$28*(1+寸法→圧入力!D$33*10^-6*(テーブル4[[#This Row],[inner温度'[℃']]]+Q$3-20))</f>
        <v>2.0391899999996355E-2</v>
      </c>
      <c r="R28" s="22">
        <f>寸法→圧入力!F$13*(1+寸法→圧入力!D$18*10^-6*(テーブル4[[#This Row],[inner温度'[℃']]]-20)) - 寸法→圧入力!D$28*(1+寸法→圧入力!D$33*10^-6*(テーブル4[[#This Row],[inner温度'[℃']]]+R$3-20))</f>
        <v>1.4091899999996826E-2</v>
      </c>
      <c r="S28" s="22">
        <f>寸法→圧入力!F$13*(1+寸法→圧入力!D$18*10^-6*(テーブル4[[#This Row],[inner温度'[℃']]]-20)) - 寸法→圧入力!D$28*(1+寸法→圧入力!D$33*10^-6*(テーブル4[[#This Row],[inner温度'[℃']]]+S$3-20))</f>
        <v>7.7918999999937455E-3</v>
      </c>
      <c r="T28" s="22">
        <f>寸法→圧入力!F$13*(1+寸法→圧入力!D$18*10^-6*(テーブル4[[#This Row],[inner温度'[℃']]]-20)) - 寸法→圧入力!D$28*(1+寸法→圧入力!D$33*10^-6*(テーブル4[[#This Row],[inner温度'[℃']]]+T$3-20))</f>
        <v>1.4918999999942173E-3</v>
      </c>
      <c r="U28" s="22">
        <f>寸法→圧入力!F$13*(1+寸法→圧入力!D$18*10^-6*(テーブル4[[#This Row],[inner温度'[℃']]]-20)) - 寸法→圧入力!D$28*(1+寸法→圧入力!D$33*10^-6*(テーブル4[[#This Row],[inner温度'[℃']]]+U$3-20))</f>
        <v>-4.8081000000088636E-3</v>
      </c>
      <c r="V28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34.128820038051579</v>
      </c>
      <c r="W28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27.611718378560557</v>
      </c>
      <c r="X28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21.094616719073208</v>
      </c>
      <c r="Y28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14.577515059582183</v>
      </c>
      <c r="Z28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8.0604134000874836</v>
      </c>
      <c r="AA28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1.5433117405964603</v>
      </c>
      <c r="AB28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-4.9737899188982384</v>
      </c>
      <c r="AC28" s="11">
        <f>テーブル4[[#This Row],[半径方向応力:Δ-30℃]]*2*寸法→圧入力!D$13^2/(寸法→圧入力!D$13^2-寸法→圧入力!F$14^2)</f>
        <v>91.386857793231201</v>
      </c>
      <c r="AD28" s="11">
        <f>テーブル4[[#This Row],[半径方向応力:Δ-20℃]]*2*寸法→圧入力!D$13^2/(寸法→圧入力!D$13^2-寸法→圧入力!F$14^2)</f>
        <v>73.935992456665105</v>
      </c>
      <c r="AE28" s="11">
        <f>テーブル4[[#This Row],[半径方向応力:Δ-10℃]]*2*寸法→圧入力!D$13^2/(寸法→圧入力!D$13^2-寸法→圧入力!F$14^2)</f>
        <v>56.485127120108821</v>
      </c>
      <c r="AF28" s="11">
        <f>テーブル4[[#This Row],[半径方向応力:Δ0℃]]*2*寸法→圧入力!D$13^2/(寸法→圧入力!D$13^2-寸法→圧入力!F$14^2)</f>
        <v>39.034261783542711</v>
      </c>
      <c r="AG28" s="11">
        <f>テーブル4[[#This Row],[半径方向応力:Δ+10℃]]*2*寸法→圧入力!D$13^2/(寸法→圧入力!D$13^2-寸法→圧入力!F$14^2)</f>
        <v>21.583396446966749</v>
      </c>
      <c r="AH28" s="11">
        <f>テーブル4[[#This Row],[半径方向応力:Δ+20℃]]*2*寸法→圧入力!D$13^2/(寸法→圧入力!D$13^2-寸法→圧入力!F$14^2)</f>
        <v>4.1325311104006381</v>
      </c>
      <c r="AI28" s="11">
        <f>テーブル4[[#This Row],[半径方向応力:Δ+30℃]]*2*寸法→圧入力!D$13^2/(寸法→圧入力!D$13^2-寸法→圧入力!F$14^2)</f>
        <v>-13.318334226175315</v>
      </c>
      <c r="AJ28" s="11">
        <f>寸法→圧入力!$D$19</f>
        <v>345</v>
      </c>
      <c r="AK28" s="11">
        <f>テーブル4[[#This Row],[半径方向応力:Δ-30℃]]* (1+(寸法→圧入力!D$29/寸法→圧入力!F$28)^2)/((寸法→圧入力!D$29/寸法→圧入力!F$28)^2-1)</f>
        <v>93.499926292072388</v>
      </c>
      <c r="AL28" s="11">
        <f>テーブル4[[#This Row],[半径方向応力:Δ-20℃]]* (1+(寸法→圧入力!D$29/寸法→圧入力!F$28)^2)/((寸法→圧入力!D$29/寸法→圧入力!F$28)^2-1)</f>
        <v>75.645557927711522</v>
      </c>
      <c r="AM28" s="11">
        <f>テーブル4[[#This Row],[半径方向応力:Δ-10℃]]* (1+(寸法→圧入力!D$29/寸法→圧入力!F$28)^2)/((寸法→圧入力!D$29/寸法→圧入力!F$28)^2-1)</f>
        <v>57.791189563360732</v>
      </c>
      <c r="AN28" s="11">
        <f>テーブル4[[#This Row],[半径方向応力:Δ0℃]]* (1+(寸法→圧入力!D$29/寸法→圧入力!F$28)^2)/((寸法→圧入力!D$29/寸法→圧入力!F$28)^2-1)</f>
        <v>39.936821198999858</v>
      </c>
      <c r="AO28" s="11">
        <f>テーブル4[[#This Row],[半径方向応力:Δ+10℃]]* (1+(寸法→圧入力!D$29/寸法→圧入力!F$28)^2)/((寸法→圧入力!D$29/寸法→圧入力!F$28)^2-1)</f>
        <v>22.082452834628917</v>
      </c>
      <c r="AP28" s="11">
        <f>テーブル4[[#This Row],[半径方向応力:Δ+20℃]]* (1+(寸法→圧入力!D$29/寸法→圧入力!F$28)^2)/((寸法→圧入力!D$29/寸法→圧入力!F$28)^2-1)</f>
        <v>4.228084470268052</v>
      </c>
      <c r="AQ28" s="11">
        <f>テーブル4[[#This Row],[半径方向応力:Δ+30℃]]* (1+(寸法→圧入力!D$29/寸法→圧入力!F$28)^2)/((寸法→圧入力!D$29/寸法→圧入力!F$28)^2-1)</f>
        <v>-13.626283894102885</v>
      </c>
      <c r="AR28" s="11">
        <f>寸法→圧入力!$D$34</f>
        <v>150</v>
      </c>
      <c r="AU28" s="155" t="s">
        <v>237</v>
      </c>
      <c r="AV28" s="156"/>
      <c r="AW28" s="154" t="s">
        <v>235</v>
      </c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</row>
    <row r="29" spans="1:69" x14ac:dyDescent="0.7">
      <c r="A29" s="22">
        <f t="shared" si="1"/>
        <v>0.23</v>
      </c>
      <c r="B29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226.74822900605372</v>
      </c>
      <c r="C29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232.51606181628756</v>
      </c>
      <c r="D29" s="11">
        <f>(A29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237.92593360048377</v>
      </c>
      <c r="E29" s="11">
        <f>テーブル3[[#This Row],[半径方向応力min]]*寸法→圧入力!D$43*寸法→圧入力!D$5/1000</f>
        <v>26.371825682227577</v>
      </c>
      <c r="F29" s="11">
        <f>テーブル3[[#This Row],[半径方向応力min]]*寸法→圧入力!E$43*寸法→圧入力!E$5/1000</f>
        <v>33.672588856086875</v>
      </c>
      <c r="G29" s="11">
        <f>テーブル3[[#This Row],[半径方向応力min]]*寸法→圧入力!F$43*寸法→圧入力!F$5/1000</f>
        <v>41.264453413831596</v>
      </c>
      <c r="H29" s="11">
        <f>寸法→圧入力!$D$19</f>
        <v>345</v>
      </c>
      <c r="I29" s="11">
        <f>寸法→圧入力!$D$34</f>
        <v>150</v>
      </c>
      <c r="J29" s="11">
        <f>テーブル3[[#This Row],[半径方向応力nor]]*2*寸法→圧入力!E$13^2/(寸法→圧入力!E$13^2-寸法→圧入力!E$14^2)</f>
        <v>619.76765442689202</v>
      </c>
      <c r="K29" s="11">
        <f>テーブル3[[#This Row],[半径方向応力nor]]* (1+(寸法→圧入力!E$29/寸法→圧入力!E$28)^2)/((寸法→圧入力!E$29/寸法→圧入力!E$28)^2-1)</f>
        <v>604.76505429289045</v>
      </c>
      <c r="N29">
        <f t="shared" si="3"/>
        <v>65</v>
      </c>
      <c r="O29" s="22">
        <f>寸法→圧入力!F$13*(1+寸法→圧入力!D$18*10^-6*(テーブル4[[#This Row],[inner温度'[℃']]]-20)) - 寸法→圧入力!D$28*(1+寸法→圧入力!D$33*10^-6*(テーブル4[[#This Row],[inner温度'[℃']]]+O$3-20))</f>
        <v>3.1628387499999633E-2</v>
      </c>
      <c r="P29" s="22">
        <f>寸法→圧入力!F$13*(1+寸法→圧入力!D$18*10^-6*(テーブル4[[#This Row],[inner温度'[℃']]]-20)) - 寸法→圧入力!D$28*(1+寸法→圧入力!D$33*10^-6*(テーブル4[[#This Row],[inner温度'[℃']]]+P$3-20))</f>
        <v>2.5328387499996552E-2</v>
      </c>
      <c r="Q29" s="22">
        <f>寸法→圧入力!F$13*(1+寸法→圧入力!D$18*10^-6*(テーブル4[[#This Row],[inner温度'[℃']]]-20)) - 寸法→圧入力!D$28*(1+寸法→圧入力!D$33*10^-6*(テーブル4[[#This Row],[inner温度'[℃']]]+Q$3-20))</f>
        <v>1.9028387500004129E-2</v>
      </c>
      <c r="R29" s="22">
        <f>寸法→圧入力!F$13*(1+寸法→圧入力!D$18*10^-6*(テーブル4[[#This Row],[inner温度'[℃']]]-20)) - 寸法→圧入力!D$28*(1+寸法→圧入力!D$33*10^-6*(テーブル4[[#This Row],[inner温度'[℃']]]+R$3-20))</f>
        <v>1.2728387500001048E-2</v>
      </c>
      <c r="S29" s="22">
        <f>寸法→圧入力!F$13*(1+寸法→圧入力!D$18*10^-6*(テーブル4[[#This Row],[inner温度'[℃']]]-20)) - 寸法→圧入力!D$28*(1+寸法→圧入力!D$33*10^-6*(テーブル4[[#This Row],[inner温度'[℃']]]+S$3-20))</f>
        <v>6.42838750000152E-3</v>
      </c>
      <c r="T29" s="22">
        <f>寸法→圧入力!F$13*(1+寸法→圧入力!D$18*10^-6*(テーブル4[[#This Row],[inner温度'[℃']]]-20)) - 寸法→圧入力!D$28*(1+寸法→圧入力!D$33*10^-6*(テーブル4[[#This Row],[inner温度'[℃']]]+T$3-20))</f>
        <v>1.2838749999843913E-4</v>
      </c>
      <c r="U29" s="22">
        <f>寸法→圧入力!F$13*(1+寸法→圧入力!D$18*10^-6*(テーブル4[[#This Row],[inner温度'[℃']]]-20)) - 寸法→圧入力!D$28*(1+寸法→圧入力!D$33*10^-6*(テーブル4[[#This Row],[inner温度'[℃']]]+U$3-20))</f>
        <v>-6.1716125000010891E-3</v>
      </c>
      <c r="V29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32.718320105283844</v>
      </c>
      <c r="W29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26.201218445789141</v>
      </c>
      <c r="X29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19.68411678630547</v>
      </c>
      <c r="Y29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13.167015126810769</v>
      </c>
      <c r="Z29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6.6499134673197462</v>
      </c>
      <c r="AA29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0.13281180782504667</v>
      </c>
      <c r="AB29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-6.3842898516659767</v>
      </c>
      <c r="AC29" s="11">
        <f>テーブル4[[#This Row],[半径方向応力:Δ-30℃]]*2*寸法→圧入力!D$13^2/(寸法→圧入力!D$13^2-寸法→圧入力!F$14^2)</f>
        <v>87.609957313534281</v>
      </c>
      <c r="AD29" s="11">
        <f>テーブル4[[#This Row],[半径方向応力:Δ-20℃]]*2*寸法→圧入力!D$13^2/(寸法→圧入力!D$13^2-寸法→圧入力!F$14^2)</f>
        <v>70.159091976958322</v>
      </c>
      <c r="AE29" s="11">
        <f>テーブル4[[#This Row],[半径方向応力:Δ-10℃]]*2*寸法→圧入力!D$13^2/(寸法→圧入力!D$13^2-寸法→圧入力!F$14^2)</f>
        <v>52.708226640411894</v>
      </c>
      <c r="AF29" s="11">
        <f>テーブル4[[#This Row],[半径方向応力:Δ0℃]]*2*寸法→圧入力!D$13^2/(寸法→圧入力!D$13^2-寸法→圧入力!F$14^2)</f>
        <v>35.257361303835928</v>
      </c>
      <c r="AG29" s="11">
        <f>テーブル4[[#This Row],[半径方向応力:Δ+10℃]]*2*寸法→圧入力!D$13^2/(寸法→圧入力!D$13^2-寸法→圧入力!F$14^2)</f>
        <v>17.806495967269814</v>
      </c>
      <c r="AH29" s="11">
        <f>テーブル4[[#This Row],[半径方向応力:Δ+20℃]]*2*寸法→圧入力!D$13^2/(寸法→圧入力!D$13^2-寸法→圧入力!F$14^2)</f>
        <v>0.35563063069385892</v>
      </c>
      <c r="AI29" s="11">
        <f>テーブル4[[#This Row],[半径方向応力:Δ+30℃]]*2*寸法→圧入力!D$13^2/(寸法→圧入力!D$13^2-寸法→圧入力!F$14^2)</f>
        <v>-17.095234705872254</v>
      </c>
      <c r="AJ29" s="11">
        <f>寸法→圧入力!$D$19</f>
        <v>345</v>
      </c>
      <c r="AK29" s="11">
        <f>テーブル4[[#This Row],[半径方向応力:Δ-30℃]]* (1+(寸法→圧入力!D$29/寸法→圧入力!F$28)^2)/((寸法→圧入力!D$29/寸法→圧入力!F$28)^2-1)</f>
        <v>89.635695427901993</v>
      </c>
      <c r="AL29" s="11">
        <f>テーブル4[[#This Row],[半径方向応力:Δ-20℃]]* (1+(寸法→圧入力!D$29/寸法→圧入力!F$28)^2)/((寸法→圧入力!D$29/寸法→圧入力!F$28)^2-1)</f>
        <v>71.781327063531037</v>
      </c>
      <c r="AM29" s="11">
        <f>テーブル4[[#This Row],[半径方向応力:Δ-10℃]]* (1+(寸法→圧入力!D$29/寸法→圧入力!F$28)^2)/((寸法→圧入力!D$29/寸法→圧入力!F$28)^2-1)</f>
        <v>53.926958699190315</v>
      </c>
      <c r="AN29" s="11">
        <f>テーブル4[[#This Row],[半径方向応力:Δ0℃]]* (1+(寸法→圧入力!D$29/寸法→圧入力!F$28)^2)/((寸法→圧入力!D$29/寸法→圧入力!F$28)^2-1)</f>
        <v>36.072590334819374</v>
      </c>
      <c r="AO29" s="11">
        <f>テーブル4[[#This Row],[半径方向応力:Δ+10℃]]* (1+(寸法→圧入力!D$29/寸法→圧入力!F$28)^2)/((寸法→圧入力!D$29/寸法→圧入力!F$28)^2-1)</f>
        <v>18.218221970458508</v>
      </c>
      <c r="AP29" s="11">
        <f>テーブル4[[#This Row],[半径方向応力:Δ+20℃]]* (1+(寸法→圧入力!D$29/寸法→圧入力!F$28)^2)/((寸法→圧入力!D$29/寸法→圧入力!F$28)^2-1)</f>
        <v>0.36385360608756895</v>
      </c>
      <c r="AQ29" s="11">
        <f>テーブル4[[#This Row],[半径方向応力:Δ+30℃]]* (1+(寸法→圧入力!D$29/寸法→圧入力!F$28)^2)/((寸法→圧入力!D$29/寸法→圧入力!F$28)^2-1)</f>
        <v>-17.490514758273299</v>
      </c>
      <c r="AR29" s="11">
        <f>寸法→圧入力!$D$34</f>
        <v>150</v>
      </c>
      <c r="AU29" s="157"/>
      <c r="AV29" s="158"/>
      <c r="AW29" s="151">
        <v>-50</v>
      </c>
      <c r="AX29" s="151">
        <f>AW29+10</f>
        <v>-40</v>
      </c>
      <c r="AY29" s="151">
        <f t="shared" ref="AY29:BQ29" si="4">AX29+10</f>
        <v>-30</v>
      </c>
      <c r="AZ29" s="151">
        <f t="shared" si="4"/>
        <v>-20</v>
      </c>
      <c r="BA29" s="151">
        <f t="shared" si="4"/>
        <v>-10</v>
      </c>
      <c r="BB29" s="151">
        <f t="shared" si="4"/>
        <v>0</v>
      </c>
      <c r="BC29" s="151">
        <f t="shared" si="4"/>
        <v>10</v>
      </c>
      <c r="BD29" s="151">
        <f t="shared" si="4"/>
        <v>20</v>
      </c>
      <c r="BE29" s="151">
        <f t="shared" si="4"/>
        <v>30</v>
      </c>
      <c r="BF29" s="151">
        <f t="shared" si="4"/>
        <v>40</v>
      </c>
      <c r="BG29" s="151">
        <f t="shared" si="4"/>
        <v>50</v>
      </c>
      <c r="BH29" s="151">
        <f t="shared" si="4"/>
        <v>60</v>
      </c>
      <c r="BI29" s="151">
        <f t="shared" si="4"/>
        <v>70</v>
      </c>
      <c r="BJ29" s="151">
        <f t="shared" si="4"/>
        <v>80</v>
      </c>
      <c r="BK29" s="151">
        <f t="shared" si="4"/>
        <v>90</v>
      </c>
      <c r="BL29" s="151">
        <f t="shared" si="4"/>
        <v>100</v>
      </c>
      <c r="BM29" s="151">
        <f t="shared" si="4"/>
        <v>110</v>
      </c>
      <c r="BN29" s="151">
        <f t="shared" si="4"/>
        <v>120</v>
      </c>
      <c r="BO29" s="151">
        <f t="shared" si="4"/>
        <v>130</v>
      </c>
      <c r="BP29" s="151">
        <f>BO29+10</f>
        <v>140</v>
      </c>
      <c r="BQ29" s="151">
        <f t="shared" ref="BQ29" si="5">BP29+10</f>
        <v>150</v>
      </c>
    </row>
    <row r="30" spans="1:69" x14ac:dyDescent="0.7">
      <c r="A30" s="22">
        <f t="shared" si="1"/>
        <v>0.24</v>
      </c>
      <c r="B30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236.60684765849084</v>
      </c>
      <c r="C30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242.62545580830007</v>
      </c>
      <c r="D30" s="11">
        <f>(A30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248.27053940920047</v>
      </c>
      <c r="E30" s="11">
        <f>テーブル3[[#This Row],[半径方向応力min]]*寸法→圧入力!D$43*寸法→圧入力!D$5/1000</f>
        <v>27.518426798846164</v>
      </c>
      <c r="F30" s="11">
        <f>テーブル3[[#This Row],[半径方向応力min]]*寸法→圧入力!E$43*寸法→圧入力!E$5/1000</f>
        <v>35.136614458525436</v>
      </c>
      <c r="G30" s="11">
        <f>テーブル3[[#This Row],[半径方向応力min]]*寸法→圧入力!F$43*寸法→圧入力!F$5/1000</f>
        <v>43.058560083998188</v>
      </c>
      <c r="H30" s="11">
        <f>寸法→圧入力!$D$19</f>
        <v>345</v>
      </c>
      <c r="I30" s="11">
        <f>寸法→圧入力!$D$34</f>
        <v>150</v>
      </c>
      <c r="J30" s="11">
        <f>テーブル3[[#This Row],[半径方向応力nor]]*2*寸法→圧入力!E$13^2/(寸法→圧入力!E$13^2-寸法→圧入力!E$14^2)</f>
        <v>646.71407418458307</v>
      </c>
      <c r="K30" s="11">
        <f>テーブル3[[#This Row],[半径方向応力nor]]* (1+(寸法→圧入力!E$29/寸法→圧入力!E$28)^2)/((寸法→圧入力!E$29/寸法→圧入力!E$28)^2-1)</f>
        <v>631.05918708823356</v>
      </c>
      <c r="N30">
        <f t="shared" si="3"/>
        <v>70</v>
      </c>
      <c r="O30" s="22">
        <f>寸法→圧入力!F$13*(1+寸法→圧入力!D$18*10^-6*(テーブル4[[#This Row],[inner温度'[℃']]]-20)) - 寸法→圧入力!D$28*(1+寸法→圧入力!D$33*10^-6*(テーブル4[[#This Row],[inner温度'[℃']]]+O$3-20))</f>
        <v>3.0264874999993197E-2</v>
      </c>
      <c r="P30" s="22">
        <f>寸法→圧入力!F$13*(1+寸法→圧入力!D$18*10^-6*(テーブル4[[#This Row],[inner温度'[℃']]]-20)) - 寸法→圧入力!D$28*(1+寸法→圧入力!D$33*10^-6*(テーブル4[[#This Row],[inner温度'[℃']]]+P$3-20))</f>
        <v>2.3964874999997221E-2</v>
      </c>
      <c r="Q30" s="22">
        <f>寸法→圧入力!F$13*(1+寸法→圧入力!D$18*10^-6*(テーブル4[[#This Row],[inner温度'[℃']]]-20)) - 寸法→圧入力!D$28*(1+寸法→圧入力!D$33*10^-6*(テーブル4[[#This Row],[inner温度'[℃']]]+Q$3-20))</f>
        <v>1.7664874999997693E-2</v>
      </c>
      <c r="R30" s="22">
        <f>寸法→圧入力!F$13*(1+寸法→圧入力!D$18*10^-6*(テーブル4[[#This Row],[inner温度'[℃']]]-20)) - 寸法→圧入力!D$28*(1+寸法→圧入力!D$33*10^-6*(テーブル4[[#This Row],[inner温度'[℃']]]+R$3-20))</f>
        <v>1.1364874999994612E-2</v>
      </c>
      <c r="S30" s="22">
        <f>寸法→圧入力!F$13*(1+寸法→圧入力!D$18*10^-6*(テーブル4[[#This Row],[inner温度'[℃']]]-20)) - 寸法→圧入力!D$28*(1+寸法→圧入力!D$33*10^-6*(テーブル4[[#This Row],[inner温度'[℃']]]+S$3-20))</f>
        <v>5.0648749999950837E-3</v>
      </c>
      <c r="T30" s="22">
        <f>寸法→圧入力!F$13*(1+寸法→圧入力!D$18*10^-6*(テーブル4[[#This Row],[inner温度'[℃']]]-20)) - 寸法→圧入力!D$28*(1+寸法→圧入力!D$33*10^-6*(テーブル4[[#This Row],[inner温度'[℃']]]+T$3-20))</f>
        <v>-1.2351250000079972E-3</v>
      </c>
      <c r="U30" s="22">
        <f>寸法→圧入力!F$13*(1+寸法→圧入力!D$18*10^-6*(テーブル4[[#This Row],[inner温度'[℃']]]-20)) - 寸法→圧入力!D$28*(1+寸法→圧入力!D$33*10^-6*(テーブル4[[#This Row],[inner温度'[℃']]]+U$3-20))</f>
        <v>-7.53512500000042E-3</v>
      </c>
      <c r="V30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31.307820172501405</v>
      </c>
      <c r="W30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24.790718513014053</v>
      </c>
      <c r="X30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18.273616853523031</v>
      </c>
      <c r="Y30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11.75651519402833</v>
      </c>
      <c r="Z30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5.2394135345373067</v>
      </c>
      <c r="AA30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-1.2776881249573924</v>
      </c>
      <c r="AB30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-7.7947897844410656</v>
      </c>
      <c r="AC30" s="11">
        <f>テーブル4[[#This Row],[半径方向応力:Δ-30℃]]*2*寸法→圧入力!D$13^2/(寸法→圧入力!D$13^2-寸法→圧入力!F$14^2)</f>
        <v>83.833056833797983</v>
      </c>
      <c r="AD30" s="11">
        <f>テーブル4[[#This Row],[半径方向応力:Δ-20℃]]*2*寸法→圧入力!D$13^2/(寸法→圧入力!D$13^2-寸法→圧入力!F$14^2)</f>
        <v>66.382191497241706</v>
      </c>
      <c r="AE30" s="11">
        <f>テーブル4[[#This Row],[半径方向応力:Δ-10℃]]*2*寸法→圧入力!D$13^2/(寸法→圧入力!D$13^2-寸法→圧入力!F$14^2)</f>
        <v>48.931326160675582</v>
      </c>
      <c r="AF30" s="11">
        <f>テーブル4[[#This Row],[半径方向応力:Δ0℃]]*2*寸法→圧入力!D$13^2/(寸法→圧入力!D$13^2-寸法→圧入力!F$14^2)</f>
        <v>31.480460824099623</v>
      </c>
      <c r="AG30" s="11">
        <f>テーブル4[[#This Row],[半径方向応力:Δ+10℃]]*2*寸法→圧入力!D$13^2/(寸法→圧入力!D$13^2-寸法→圧入力!F$14^2)</f>
        <v>14.029595487533513</v>
      </c>
      <c r="AH30" s="11">
        <f>テーブル4[[#This Row],[半径方向応力:Δ+20℃]]*2*寸法→圧入力!D$13^2/(寸法→圧入力!D$13^2-寸法→圧入力!F$14^2)</f>
        <v>-3.4212698490424436</v>
      </c>
      <c r="AI30" s="11">
        <f>テーブル4[[#This Row],[半径方向応力:Δ+30℃]]*2*寸法→圧入力!D$13^2/(寸法→圧入力!D$13^2-寸法→圧入力!F$14^2)</f>
        <v>-20.872135185588874</v>
      </c>
      <c r="AJ30" s="11">
        <f>寸法→圧入力!$D$19</f>
        <v>345</v>
      </c>
      <c r="AK30" s="11">
        <f>テーブル4[[#This Row],[半径方向応力:Δ-30℃]]* (1+(寸法→圧入力!D$29/寸法→圧入力!F$28)^2)/((寸法→圧入力!D$29/寸法→圧入力!F$28)^2-1)</f>
        <v>85.771464563691296</v>
      </c>
      <c r="AL30" s="11">
        <f>テーブル4[[#This Row],[半径方向応力:Δ-20℃]]* (1+(寸法→圧入力!D$29/寸法→圧入力!F$28)^2)/((寸法→圧入力!D$29/寸法→圧入力!F$28)^2-1)</f>
        <v>67.917096199340492</v>
      </c>
      <c r="AM30" s="11">
        <f>テーブル4[[#This Row],[半径方向応力:Δ-10℃]]* (1+(寸法→圧入力!D$29/寸法→圧入力!F$28)^2)/((寸法→圧入力!D$29/寸法→圧入力!F$28)^2-1)</f>
        <v>50.062727834979626</v>
      </c>
      <c r="AN30" s="11">
        <f>テーブル4[[#This Row],[半径方向応力:Δ0℃]]* (1+(寸法→圧入力!D$29/寸法→圧入力!F$28)^2)/((寸法→圧入力!D$29/寸法→圧入力!F$28)^2-1)</f>
        <v>32.208359470608684</v>
      </c>
      <c r="AO30" s="11">
        <f>テーブル4[[#This Row],[半径方向応力:Δ+10℃]]* (1+(寸法→圧入力!D$29/寸法→圧入力!F$28)^2)/((寸法→圧入力!D$29/寸法→圧入力!F$28)^2-1)</f>
        <v>14.353991106247818</v>
      </c>
      <c r="AP30" s="11">
        <f>テーブル4[[#This Row],[半径方向応力:Δ+20℃]]* (1+(寸法→圧入力!D$29/寸法→圧入力!F$28)^2)/((寸法→圧入力!D$29/寸法→圧入力!F$28)^2-1)</f>
        <v>-3.5003772581231196</v>
      </c>
      <c r="AQ30" s="11">
        <f>テーブル4[[#This Row],[半径方向応力:Δ+30℃]]* (1+(寸法→圧入力!D$29/寸法→圧入力!F$28)^2)/((寸法→圧入力!D$29/寸法→圧入力!F$28)^2-1)</f>
        <v>-21.354745622463852</v>
      </c>
      <c r="AR30" s="11">
        <f>寸法→圧入力!$D$34</f>
        <v>150</v>
      </c>
      <c r="AU30" s="150" t="s">
        <v>234</v>
      </c>
      <c r="AV30" s="151">
        <v>-50</v>
      </c>
      <c r="AW30" s="160">
        <f>(AW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-4.7530972499109847</v>
      </c>
      <c r="AX30" s="160">
        <f>(AX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-8.3621509050594476</v>
      </c>
      <c r="AY30" s="160">
        <f>(AY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-11.971204560207912</v>
      </c>
      <c r="AZ30" s="160">
        <f>(AZ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-15.580258215356379</v>
      </c>
      <c r="BA30" s="160">
        <f>(BA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-19.189311870504834</v>
      </c>
      <c r="BB30" s="160">
        <f>(BB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-22.798365525653303</v>
      </c>
      <c r="BC30" s="160">
        <f>(BC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-26.407419180801764</v>
      </c>
      <c r="BD30" s="160">
        <f>(BD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-30.016472835950228</v>
      </c>
      <c r="BE30" s="160">
        <f>(BE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-33.62552649109869</v>
      </c>
      <c r="BF30" s="160">
        <f>(BF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-37.234580146247154</v>
      </c>
      <c r="BG30" s="160">
        <f>(BG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-40.843633801395619</v>
      </c>
      <c r="BH30" s="160">
        <f>(BH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-44.452687456544076</v>
      </c>
      <c r="BI30" s="160">
        <f>(BI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-48.061741111692548</v>
      </c>
      <c r="BJ30" s="160">
        <f>(BJ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-51.67079476684102</v>
      </c>
      <c r="BK30" s="160">
        <f>(BK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-55.27984842198947</v>
      </c>
      <c r="BL30" s="160">
        <f>(BL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-58.888902077137928</v>
      </c>
      <c r="BM30" s="160">
        <f>(BM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-62.4979557322864</v>
      </c>
      <c r="BN30" s="160">
        <f>(BN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-66.107009387434871</v>
      </c>
      <c r="BO30" s="160">
        <f>(BO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-69.716063042583315</v>
      </c>
      <c r="BP30" s="160">
        <f>(BP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-73.325116697731787</v>
      </c>
      <c r="BQ30" s="160">
        <f>(BQ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-76.934170352880244</v>
      </c>
    </row>
    <row r="31" spans="1:69" x14ac:dyDescent="0.7">
      <c r="A31" s="22">
        <f t="shared" si="1"/>
        <v>0.25</v>
      </c>
      <c r="B31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246.46546631092792</v>
      </c>
      <c r="C31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252.73484980031256</v>
      </c>
      <c r="D31" s="11">
        <f>(A31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258.61514521791713</v>
      </c>
      <c r="E31" s="11">
        <f>テーブル3[[#This Row],[半径方向応力min]]*寸法→圧入力!D$43*寸法→圧入力!D$5/1000</f>
        <v>28.665027915464755</v>
      </c>
      <c r="F31" s="11">
        <f>テーブル3[[#This Row],[半径方向応力min]]*寸法→圧入力!E$43*寸法→圧入力!E$5/1000</f>
        <v>36.60064006096399</v>
      </c>
      <c r="G31" s="11">
        <f>テーブル3[[#This Row],[半径方向応力min]]*寸法→圧入力!F$43*寸法→圧入力!F$5/1000</f>
        <v>44.852666754164773</v>
      </c>
      <c r="H31" s="11">
        <f>寸法→圧入力!$D$19</f>
        <v>345</v>
      </c>
      <c r="I31" s="11">
        <f>寸法→圧入力!$D$34</f>
        <v>150</v>
      </c>
      <c r="J31" s="11">
        <f>テーブル3[[#This Row],[半径方向応力nor]]*2*寸法→圧入力!E$13^2/(寸法→圧入力!E$13^2-寸法→圧入力!E$14^2)</f>
        <v>673.66049394227389</v>
      </c>
      <c r="K31" s="11">
        <f>テーブル3[[#This Row],[半径方向応力nor]]* (1+(寸法→圧入力!E$29/寸法→圧入力!E$28)^2)/((寸法→圧入力!E$29/寸法→圧入力!E$28)^2-1)</f>
        <v>657.35331988357655</v>
      </c>
      <c r="N31">
        <f t="shared" si="3"/>
        <v>75</v>
      </c>
      <c r="O31" s="22">
        <f>寸法→圧入力!F$13*(1+寸法→圧入力!D$18*10^-6*(テーブル4[[#This Row],[inner温度'[℃']]]-20)) - 寸法→圧入力!D$28*(1+寸法→圧入力!D$33*10^-6*(テーブル4[[#This Row],[inner温度'[℃']]]+O$3-20))</f>
        <v>2.8901362499993866E-2</v>
      </c>
      <c r="P31" s="22">
        <f>寸法→圧入力!F$13*(1+寸法→圧入力!D$18*10^-6*(テーブル4[[#This Row],[inner温度'[℃']]]-20)) - 寸法→圧入力!D$28*(1+寸法→圧入力!D$33*10^-6*(テーブル4[[#This Row],[inner温度'[℃']]]+P$3-20))</f>
        <v>2.2601362500001443E-2</v>
      </c>
      <c r="Q31" s="22">
        <f>寸法→圧入力!F$13*(1+寸法→圧入力!D$18*10^-6*(テーブル4[[#This Row],[inner温度'[℃']]]-20)) - 寸法→圧入力!D$28*(1+寸法→圧入力!D$33*10^-6*(テーブル4[[#This Row],[inner温度'[℃']]]+Q$3-20))</f>
        <v>1.6301362499998362E-2</v>
      </c>
      <c r="R31" s="22">
        <f>寸法→圧入力!F$13*(1+寸法→圧入力!D$18*10^-6*(テーブル4[[#This Row],[inner温度'[℃']]]-20)) - 寸法→圧入力!D$28*(1+寸法→圧入力!D$33*10^-6*(テーブル4[[#This Row],[inner温度'[℃']]]+R$3-20))</f>
        <v>1.0001362499998834E-2</v>
      </c>
      <c r="S31" s="22">
        <f>寸法→圧入力!F$13*(1+寸法→圧入力!D$18*10^-6*(テーブル4[[#This Row],[inner温度'[℃']]]-20)) - 寸法→圧入力!D$28*(1+寸法→圧入力!D$33*10^-6*(テーブル4[[#This Row],[inner温度'[℃']]]+S$3-20))</f>
        <v>3.7013624999957528E-3</v>
      </c>
      <c r="T31" s="22">
        <f>寸法→圧入力!F$13*(1+寸法→圧入力!D$18*10^-6*(テーブル4[[#This Row],[inner温度'[℃']]]-20)) - 寸法→圧入力!D$28*(1+寸法→圧入力!D$33*10^-6*(テーブル4[[#This Row],[inner温度'[℃']]]+T$3-20))</f>
        <v>-2.5986375000037754E-3</v>
      </c>
      <c r="U31" s="22">
        <f>寸法→圧入力!F$13*(1+寸法→圧入力!D$18*10^-6*(テーブル4[[#This Row],[inner温度'[℃']]]-20)) - 寸法→圧入力!D$28*(1+寸法→圧入力!D$33*10^-6*(テーブル4[[#This Row],[inner温度'[℃']]]+U$3-20))</f>
        <v>-8.8986374999997508E-3</v>
      </c>
      <c r="V31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29.897320239726316</v>
      </c>
      <c r="W31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23.380218580242641</v>
      </c>
      <c r="X31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16.863116920747938</v>
      </c>
      <c r="Y31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10.346015261256916</v>
      </c>
      <c r="Z31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3.8289136017622183</v>
      </c>
      <c r="AA31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-2.6881880577288064</v>
      </c>
      <c r="AB31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-9.2052897172161554</v>
      </c>
      <c r="AC31" s="11">
        <f>テーブル4[[#This Row],[半径方向応力:Δ-30℃]]*2*寸法→圧入力!D$13^2/(寸法→圧入力!D$13^2-寸法→圧入力!F$14^2)</f>
        <v>80.056156354081352</v>
      </c>
      <c r="AD31" s="11">
        <f>テーブル4[[#This Row],[半径方向応力:Δ-20℃]]*2*寸法→圧入力!D$13^2/(寸法→圧入力!D$13^2-寸法→圧入力!F$14^2)</f>
        <v>62.605291017534917</v>
      </c>
      <c r="AE31" s="11">
        <f>テーブル4[[#This Row],[半径方向応力:Δ-10℃]]*2*寸法→圧入力!D$13^2/(寸法→圧入力!D$13^2-寸法→圧入力!F$14^2)</f>
        <v>45.154425680958958</v>
      </c>
      <c r="AF31" s="11">
        <f>テーブル4[[#This Row],[半径方向応力:Δ0℃]]*2*寸法→圧入力!D$13^2/(寸法→圧入力!D$13^2-寸法→圧入力!F$14^2)</f>
        <v>27.703560344392844</v>
      </c>
      <c r="AG31" s="11">
        <f>テーブル4[[#This Row],[半径方向応力:Δ+10℃]]*2*寸法→圧入力!D$13^2/(寸法→圧入力!D$13^2-寸法→圧入力!F$14^2)</f>
        <v>10.252695007816893</v>
      </c>
      <c r="AH31" s="11">
        <f>テーブル4[[#This Row],[半径方向応力:Δ+20℃]]*2*寸法→圧入力!D$13^2/(寸法→圧入力!D$13^2-寸法→圧入力!F$14^2)</f>
        <v>-7.1981703287492236</v>
      </c>
      <c r="AI31" s="11">
        <f>テーブル4[[#This Row],[半径方向応力:Δ+30℃]]*2*寸法→圧入力!D$13^2/(寸法→圧入力!D$13^2-寸法→圧入力!F$14^2)</f>
        <v>-24.649035665305501</v>
      </c>
      <c r="AJ31" s="11">
        <f>寸法→圧入力!$D$19</f>
        <v>345</v>
      </c>
      <c r="AK31" s="11">
        <f>テーブル4[[#This Row],[半径方向応力:Δ-30℃]]* (1+(寸法→圧入力!D$29/寸法→圧入力!F$28)^2)/((寸法→圧入力!D$29/寸法→圧入力!F$28)^2-1)</f>
        <v>81.90723369950075</v>
      </c>
      <c r="AL31" s="11">
        <f>テーブル4[[#This Row],[半径方向応力:Δ-20℃]]* (1+(寸法→圧入力!D$29/寸法→圧入力!F$28)^2)/((寸法→圧入力!D$29/寸法→圧入力!F$28)^2-1)</f>
        <v>64.052865335160007</v>
      </c>
      <c r="AM31" s="11">
        <f>テーブル4[[#This Row],[半径方向応力:Δ-10℃]]* (1+(寸法→圧入力!D$29/寸法→圧入力!F$28)^2)/((寸法→圧入力!D$29/寸法→圧入力!F$28)^2-1)</f>
        <v>46.198496970789066</v>
      </c>
      <c r="AN31" s="11">
        <f>テーブル4[[#This Row],[半径方向応力:Δ0℃]]* (1+(寸法→圧入力!D$29/寸法→圧入力!F$28)^2)/((寸法→圧入力!D$29/寸法→圧入力!F$28)^2-1)</f>
        <v>28.344128606428203</v>
      </c>
      <c r="AO31" s="11">
        <f>テーブル4[[#This Row],[半径方向応力:Δ+10℃]]* (1+(寸法→圧入力!D$29/寸法→圧入力!F$28)^2)/((寸法→圧入力!D$29/寸法→圧入力!F$28)^2-1)</f>
        <v>10.489760242057267</v>
      </c>
      <c r="AP31" s="11">
        <f>テーブル4[[#This Row],[半径方向応力:Δ+20℃]]* (1+(寸法→圧入力!D$29/寸法→圧入力!F$28)^2)/((寸法→圧入力!D$29/寸法→圧入力!F$28)^2-1)</f>
        <v>-7.3646081223036033</v>
      </c>
      <c r="AQ31" s="11">
        <f>テーブル4[[#This Row],[半径方向応力:Δ+30℃]]* (1+(寸法→圧入力!D$29/寸法→圧入力!F$28)^2)/((寸法→圧入力!D$29/寸法→圧入力!F$28)^2-1)</f>
        <v>-25.218976486654405</v>
      </c>
      <c r="AR31" s="11">
        <f>寸法→圧入力!$D$34</f>
        <v>150</v>
      </c>
      <c r="AU31" s="152"/>
      <c r="AV31" s="151">
        <f>AV30+10</f>
        <v>-40</v>
      </c>
      <c r="AW31" s="160">
        <f>(AW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1.6158209650568951</v>
      </c>
      <c r="AX31" s="160">
        <f>(AX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-1.9932326900915684</v>
      </c>
      <c r="AY31" s="160">
        <f>(AY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-5.6022863452400316</v>
      </c>
      <c r="AZ31" s="160">
        <f>(AZ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-9.2113400003884962</v>
      </c>
      <c r="BA31" s="160">
        <f>(BA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-12.820393655536959</v>
      </c>
      <c r="BB31" s="160">
        <f>(BB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-16.429447310685426</v>
      </c>
      <c r="BC31" s="160">
        <f>(BC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-20.038500965833887</v>
      </c>
      <c r="BD31" s="160">
        <f>(BD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-23.647554620982344</v>
      </c>
      <c r="BE31" s="160">
        <f>(BE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-27.256608276130816</v>
      </c>
      <c r="BF31" s="160">
        <f>(BF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-30.865661931279273</v>
      </c>
      <c r="BG31" s="160">
        <f>(BG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-34.474715586427742</v>
      </c>
      <c r="BH31" s="160">
        <f>(BH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-38.083769241576192</v>
      </c>
      <c r="BI31" s="160">
        <f>(BI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-41.692822896724664</v>
      </c>
      <c r="BJ31" s="160">
        <f>(BJ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-45.301876551873136</v>
      </c>
      <c r="BK31" s="160">
        <f>(BK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-48.9109302070216</v>
      </c>
      <c r="BL31" s="160">
        <f>(BL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-52.519983862170044</v>
      </c>
      <c r="BM31" s="160">
        <f>(BM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-56.129037517318515</v>
      </c>
      <c r="BN31" s="160">
        <f>(BN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-59.738091172466987</v>
      </c>
      <c r="BO31" s="160">
        <f>(BO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-63.347144827615452</v>
      </c>
      <c r="BP31" s="160">
        <f>(BP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-66.956198482763909</v>
      </c>
      <c r="BQ31" s="160">
        <f>(BQ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-70.565252137912367</v>
      </c>
    </row>
    <row r="32" spans="1:69" x14ac:dyDescent="0.7">
      <c r="A32" s="22">
        <f t="shared" si="1"/>
        <v>0.26</v>
      </c>
      <c r="B32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256.32408496336507</v>
      </c>
      <c r="C32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262.84424379232507</v>
      </c>
      <c r="D32" s="11">
        <f>(A32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268.9597510266338</v>
      </c>
      <c r="E32" s="11">
        <f>テーブル3[[#This Row],[半径方向応力min]]*寸法→圧入力!D$43*寸法→圧入力!D$5/1000</f>
        <v>29.811629032083346</v>
      </c>
      <c r="F32" s="11">
        <f>テーブル3[[#This Row],[半径方向応力min]]*寸法→圧入力!E$43*寸法→圧入力!E$5/1000</f>
        <v>38.06466566340255</v>
      </c>
      <c r="G32" s="11">
        <f>テーブル3[[#This Row],[半径方向応力min]]*寸法→圧入力!F$43*寸法→圧入力!F$5/1000</f>
        <v>46.646773424331371</v>
      </c>
      <c r="H32" s="11">
        <f>寸法→圧入力!$D$19</f>
        <v>345</v>
      </c>
      <c r="I32" s="11">
        <f>寸法→圧入力!$D$34</f>
        <v>150</v>
      </c>
      <c r="J32" s="11">
        <f>テーブル3[[#This Row],[半径方向応力nor]]*2*寸法→圧入力!E$13^2/(寸法→圧入力!E$13^2-寸法→圧入力!E$14^2)</f>
        <v>700.60691369996493</v>
      </c>
      <c r="K32" s="11">
        <f>テーブル3[[#This Row],[半径方向応力nor]]* (1+(寸法→圧入力!E$29/寸法→圧入力!E$28)^2)/((寸法→圧入力!E$29/寸法→圧入力!E$28)^2-1)</f>
        <v>683.64745267891965</v>
      </c>
      <c r="N32">
        <f t="shared" si="3"/>
        <v>80</v>
      </c>
      <c r="O32" s="22">
        <f>寸法→圧入力!F$13*(1+寸法→圧入力!D$18*10^-6*(テーブル4[[#This Row],[inner温度'[℃']]]-20)) - 寸法→圧入力!D$28*(1+寸法→圧入力!D$33*10^-6*(テーブル4[[#This Row],[inner温度'[℃']]]+O$3-20))</f>
        <v>2.753785000000164E-2</v>
      </c>
      <c r="P32" s="22">
        <f>寸法→圧入力!F$13*(1+寸法→圧入力!D$18*10^-6*(テーブル4[[#This Row],[inner温度'[℃']]]-20)) - 寸法→圧入力!D$28*(1+寸法→圧入力!D$33*10^-6*(テーブル4[[#This Row],[inner温度'[℃']]]+P$3-20))</f>
        <v>2.1237850000002112E-2</v>
      </c>
      <c r="Q32" s="22">
        <f>寸法→圧入力!F$13*(1+寸法→圧入力!D$18*10^-6*(テーブル4[[#This Row],[inner温度'[℃']]]-20)) - 寸法→圧入力!D$28*(1+寸法→圧入力!D$33*10^-6*(テーブル4[[#This Row],[inner温度'[℃']]]+Q$3-20))</f>
        <v>1.4937849999999031E-2</v>
      </c>
      <c r="R32" s="22">
        <f>寸法→圧入力!F$13*(1+寸法→圧入力!D$18*10^-6*(テーブル4[[#This Row],[inner温度'[℃']]]-20)) - 寸法→圧入力!D$28*(1+寸法→圧入力!D$33*10^-6*(テーブル4[[#This Row],[inner温度'[℃']]]+R$3-20))</f>
        <v>8.6378499999995029E-3</v>
      </c>
      <c r="S32" s="22">
        <f>寸法→圧入力!F$13*(1+寸法→圧入力!D$18*10^-6*(テーブル4[[#This Row],[inner温度'[℃']]]-20)) - 寸法→圧入力!D$28*(1+寸法→圧入力!D$33*10^-6*(テーブル4[[#This Row],[inner温度'[℃']]]+S$3-20))</f>
        <v>2.337849999996422E-3</v>
      </c>
      <c r="T32" s="22">
        <f>寸法→圧入力!F$13*(1+寸法→圧入力!D$18*10^-6*(テーブル4[[#This Row],[inner温度'[℃']]]-20)) - 寸法→圧入力!D$28*(1+寸法→圧入力!D$33*10^-6*(テーブル4[[#This Row],[inner温度'[℃']]]+T$3-20))</f>
        <v>-3.9621499999960008E-3</v>
      </c>
      <c r="U32" s="22">
        <f>寸法→圧入力!F$13*(1+寸法→圧入力!D$18*10^-6*(テーブル4[[#This Row],[inner温度'[℃']]]-20)) - 寸法→圧入力!D$28*(1+寸法→圧入力!D$33*10^-6*(テーブル4[[#This Row],[inner温度'[℃']]]+U$3-20))</f>
        <v>-1.0262149999999082E-2</v>
      </c>
      <c r="V32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28.486820306958577</v>
      </c>
      <c r="W32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21.969718647467552</v>
      </c>
      <c r="X32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15.452616987972853</v>
      </c>
      <c r="Y32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8.9355153284818272</v>
      </c>
      <c r="Z32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2.418413668987129</v>
      </c>
      <c r="AA32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-4.0986879904965443</v>
      </c>
      <c r="AB32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-10.615789649991244</v>
      </c>
      <c r="AC32" s="11">
        <f>テーブル4[[#This Row],[半径方向応力:Δ-30℃]]*2*寸法→圧入力!D$13^2/(寸法→圧入力!D$13^2-寸法→圧入力!F$14^2)</f>
        <v>76.279255874384418</v>
      </c>
      <c r="AD32" s="11">
        <f>テーブル4[[#This Row],[半径方向応力:Δ-20℃]]*2*寸法→圧入力!D$13^2/(寸法→圧入力!D$13^2-寸法→圧入力!F$14^2)</f>
        <v>58.828390537818301</v>
      </c>
      <c r="AE32" s="11">
        <f>テーブル4[[#This Row],[半径方向応力:Δ-10℃]]*2*寸法→圧入力!D$13^2/(寸法→圧入力!D$13^2-寸法→圧入力!F$14^2)</f>
        <v>41.377525201242342</v>
      </c>
      <c r="AF32" s="11">
        <f>テーブル4[[#This Row],[半径方向応力:Δ0℃]]*2*寸法→圧入力!D$13^2/(寸法→圧入力!D$13^2-寸法→圧入力!F$14^2)</f>
        <v>23.926659864676225</v>
      </c>
      <c r="AG32" s="11">
        <f>テーブル4[[#This Row],[半径方向応力:Δ+10℃]]*2*寸法→圧入力!D$13^2/(寸法→圧入力!D$13^2-寸法→圧入力!F$14^2)</f>
        <v>6.4757945281002707</v>
      </c>
      <c r="AH32" s="11">
        <f>テーブル4[[#This Row],[半径方向応力:Δ+20℃]]*2*寸法→圧入力!D$13^2/(寸法→圧入力!D$13^2-寸法→圧入力!F$14^2)</f>
        <v>-10.97507080844616</v>
      </c>
      <c r="AI32" s="11">
        <f>テーブル4[[#This Row],[半径方向応力:Δ+30℃]]*2*寸法→圧入力!D$13^2/(寸法→圧入力!D$13^2-寸法→圧入力!F$14^2)</f>
        <v>-28.425936145022121</v>
      </c>
      <c r="AJ32" s="11">
        <f>寸法→圧入力!$D$19</f>
        <v>345</v>
      </c>
      <c r="AK32" s="11">
        <f>テーブル4[[#This Row],[半径方向応力:Δ-30℃]]* (1+(寸法→圧入力!D$29/寸法→圧入力!F$28)^2)/((寸法→圧入力!D$29/寸法→圧入力!F$28)^2-1)</f>
        <v>78.043002835330341</v>
      </c>
      <c r="AL32" s="11">
        <f>テーブル4[[#This Row],[半径方向応力:Δ-20℃]]* (1+(寸法→圧入力!D$29/寸法→圧入力!F$28)^2)/((寸法→圧入力!D$29/寸法→圧入力!F$28)^2-1)</f>
        <v>60.188634470969461</v>
      </c>
      <c r="AM32" s="11">
        <f>テーブル4[[#This Row],[半径方向応力:Δ-10℃]]* (1+(寸法→圧入力!D$29/寸法→圧入力!F$28)^2)/((寸法→圧入力!D$29/寸法→圧入力!F$28)^2-1)</f>
        <v>42.33426610659852</v>
      </c>
      <c r="AN32" s="11">
        <f>テーブル4[[#This Row],[半径方向応力:Δ0℃]]* (1+(寸法→圧入力!D$29/寸法→圧入力!F$28)^2)/((寸法→圧入力!D$29/寸法→圧入力!F$28)^2-1)</f>
        <v>24.47989774223765</v>
      </c>
      <c r="AO32" s="11">
        <f>テーブル4[[#This Row],[半径方向応力:Δ+10℃]]* (1+(寸法→圧入力!D$29/寸法→圧入力!F$28)^2)/((寸法→圧入力!D$29/寸法→圧入力!F$28)^2-1)</f>
        <v>6.6255293778667141</v>
      </c>
      <c r="AP32" s="11">
        <f>テーブル4[[#This Row],[半径方向応力:Δ+20℃]]* (1+(寸法→圧入力!D$29/寸法→圧入力!F$28)^2)/((寸法→圧入力!D$29/寸法→圧入力!F$28)^2-1)</f>
        <v>-11.228838986474017</v>
      </c>
      <c r="AQ32" s="11">
        <f>テーブル4[[#This Row],[半径方向応力:Δ+30℃]]* (1+(寸法→圧入力!D$29/寸法→圧入力!F$28)^2)/((寸法→圧入力!D$29/寸法→圧入力!F$28)^2-1)</f>
        <v>-29.083207350844955</v>
      </c>
      <c r="AR32" s="11">
        <f>寸法→圧入力!$D$34</f>
        <v>150</v>
      </c>
      <c r="AU32" s="152"/>
      <c r="AV32" s="151">
        <f t="shared" ref="AV32:AV50" si="6">AV31+10</f>
        <v>-30</v>
      </c>
      <c r="AW32" s="160">
        <f>(AW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7.9847391800247678</v>
      </c>
      <c r="AX32" s="160">
        <f>(AX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4.3756855248763049</v>
      </c>
      <c r="AY32" s="160">
        <f>(AY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0.76663186972783925</v>
      </c>
      <c r="AZ32" s="160">
        <f>(AZ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-2.8424217854206226</v>
      </c>
      <c r="BA32" s="160">
        <f>(BA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-6.4514754405690864</v>
      </c>
      <c r="BB32" s="160">
        <f>(BB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-10.06052909571755</v>
      </c>
      <c r="BC32" s="160">
        <f>(BC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-13.669582750866015</v>
      </c>
      <c r="BD32" s="160">
        <f>(BD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-17.278636406014478</v>
      </c>
      <c r="BE32" s="160">
        <f>(BE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-20.887690061162939</v>
      </c>
      <c r="BF32" s="160">
        <f>(BF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-24.496743716311396</v>
      </c>
      <c r="BG32" s="160">
        <f>(BG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-28.105797371459865</v>
      </c>
      <c r="BH32" s="160">
        <f>(BH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-31.714851026608329</v>
      </c>
      <c r="BI32" s="160">
        <f>(BI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-35.323904681756787</v>
      </c>
      <c r="BJ32" s="160">
        <f>(BJ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-38.932958336905251</v>
      </c>
      <c r="BK32" s="160">
        <f>(BK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-42.542011992053716</v>
      </c>
      <c r="BL32" s="160">
        <f>(BL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-46.151065647202181</v>
      </c>
      <c r="BM32" s="160">
        <f>(BM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-49.760119302350645</v>
      </c>
      <c r="BN32" s="160">
        <f>(BN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-53.369172957499103</v>
      </c>
      <c r="BO32" s="160">
        <f>(BO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-56.978226612647575</v>
      </c>
      <c r="BP32" s="160">
        <f>(BP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-60.587280267796039</v>
      </c>
      <c r="BQ32" s="160">
        <f>(BQ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-64.196333922944504</v>
      </c>
    </row>
    <row r="33" spans="1:69" x14ac:dyDescent="0.7">
      <c r="A33" s="22">
        <f t="shared" si="1"/>
        <v>0.27</v>
      </c>
      <c r="B33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266.18270361580221</v>
      </c>
      <c r="C33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272.95363778433762</v>
      </c>
      <c r="D33" s="11">
        <f>(A33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279.30435683535057</v>
      </c>
      <c r="E33" s="11">
        <f>テーブル3[[#This Row],[半径方向応力min]]*寸法→圧入力!D$43*寸法→圧入力!D$5/1000</f>
        <v>30.95823014870194</v>
      </c>
      <c r="F33" s="11">
        <f>テーブル3[[#This Row],[半径方向応力min]]*寸法→圧入力!E$43*寸法→圧入力!E$5/1000</f>
        <v>39.528691265841118</v>
      </c>
      <c r="G33" s="11">
        <f>テーブル3[[#This Row],[半径方向応力min]]*寸法→圧入力!F$43*寸法→圧入力!F$5/1000</f>
        <v>48.440880094497956</v>
      </c>
      <c r="H33" s="11">
        <f>寸法→圧入力!$D$19</f>
        <v>345</v>
      </c>
      <c r="I33" s="11">
        <f>寸法→圧入力!$D$34</f>
        <v>150</v>
      </c>
      <c r="J33" s="11">
        <f>テーブル3[[#This Row],[半径方向応力nor]]*2*寸法→圧入力!E$13^2/(寸法→圧入力!E$13^2-寸法→圧入力!E$14^2)</f>
        <v>727.55333345765598</v>
      </c>
      <c r="K33" s="11">
        <f>テーブル3[[#This Row],[半径方向応力nor]]* (1+(寸法→圧入力!E$29/寸法→圧入力!E$28)^2)/((寸法→圧入力!E$29/寸法→圧入力!E$28)^2-1)</f>
        <v>709.94158547426275</v>
      </c>
      <c r="N33">
        <f t="shared" si="3"/>
        <v>85</v>
      </c>
      <c r="O33" s="22">
        <f>寸法→圧入力!F$13*(1+寸法→圧入力!D$18*10^-6*(テーブル4[[#This Row],[inner温度'[℃']]]-20)) - 寸法→圧入力!D$28*(1+寸法→圧入力!D$33*10^-6*(テーブル4[[#This Row],[inner温度'[℃']]]+O$3-20))</f>
        <v>2.6174337500002309E-2</v>
      </c>
      <c r="P33" s="22">
        <f>寸法→圧入力!F$13*(1+寸法→圧入力!D$18*10^-6*(テーブル4[[#This Row],[inner温度'[℃']]]-20)) - 寸法→圧入力!D$28*(1+寸法→圧入力!D$33*10^-6*(テーブル4[[#This Row],[inner温度'[℃']]]+P$3-20))</f>
        <v>1.9874337499999228E-2</v>
      </c>
      <c r="Q33" s="22">
        <f>寸法→圧入力!F$13*(1+寸法→圧入力!D$18*10^-6*(テーブル4[[#This Row],[inner温度'[℃']]]-20)) - 寸法→圧入力!D$28*(1+寸法→圧入力!D$33*10^-6*(テーブル4[[#This Row],[inner温度'[℃']]]+Q$3-20))</f>
        <v>1.35743374999997E-2</v>
      </c>
      <c r="R33" s="22">
        <f>寸法→圧入力!F$13*(1+寸法→圧入力!D$18*10^-6*(テーブル4[[#This Row],[inner温度'[℃']]]-20)) - 寸法→圧入力!D$28*(1+寸法→圧入力!D$33*10^-6*(テーブル4[[#This Row],[inner温度'[℃']]]+R$3-20))</f>
        <v>7.2743374999966193E-3</v>
      </c>
      <c r="S33" s="22">
        <f>寸法→圧入力!F$13*(1+寸法→圧入力!D$18*10^-6*(テーブル4[[#This Row],[inner温度'[℃']]]-20)) - 寸法→圧入力!D$28*(1+寸法→圧入力!D$33*10^-6*(テーブル4[[#This Row],[inner温度'[℃']]]+S$3-20))</f>
        <v>9.7433749999709107E-4</v>
      </c>
      <c r="T33" s="22">
        <f>寸法→圧入力!F$13*(1+寸法→圧入力!D$18*10^-6*(テーブル4[[#This Row],[inner温度'[℃']]]-20)) - 寸法→圧入力!D$28*(1+寸法→圧入力!D$33*10^-6*(テーブル4[[#This Row],[inner温度'[℃']]]+T$3-20))</f>
        <v>-5.3256624999988844E-3</v>
      </c>
      <c r="U33" s="22">
        <f>寸法→圧入力!F$13*(1+寸法→圧入力!D$18*10^-6*(テーブル4[[#This Row],[inner温度'[℃']]]-20)) - 寸法→圧入力!D$28*(1+寸法→圧入力!D$33*10^-6*(テーブル4[[#This Row],[inner温度'[℃']]]+U$3-20))</f>
        <v>-1.1625662499998413E-2</v>
      </c>
      <c r="V33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27.076320374183489</v>
      </c>
      <c r="W33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20.559218714688789</v>
      </c>
      <c r="X33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14.042117055197762</v>
      </c>
      <c r="Y33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7.5250153957030639</v>
      </c>
      <c r="Z33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1.0079137362120403</v>
      </c>
      <c r="AA33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-5.5091879232753085</v>
      </c>
      <c r="AB33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-12.026289582766333</v>
      </c>
      <c r="AC33" s="11">
        <f>テーブル4[[#This Row],[半径方向応力:Δ-30℃]]*2*寸法→圧入力!D$13^2/(寸法→圧入力!D$13^2-寸法→圧入力!F$14^2)</f>
        <v>72.502355394667802</v>
      </c>
      <c r="AD33" s="11">
        <f>テーブル4[[#This Row],[半径方向応力:Δ-20℃]]*2*寸法→圧入力!D$13^2/(寸法→圧入力!D$13^2-寸法→圧入力!F$14^2)</f>
        <v>55.051490058091836</v>
      </c>
      <c r="AE33" s="11">
        <f>テーブル4[[#This Row],[半径方向応力:Δ-10℃]]*2*寸法→圧入力!D$13^2/(寸法→圧入力!D$13^2-寸法→圧入力!F$14^2)</f>
        <v>37.600624721525719</v>
      </c>
      <c r="AF33" s="11">
        <f>テーブル4[[#This Row],[半径方向応力:Δ0℃]]*2*寸法→圧入力!D$13^2/(寸法→圧入力!D$13^2-寸法→圧入力!F$14^2)</f>
        <v>20.149759384949764</v>
      </c>
      <c r="AG33" s="11">
        <f>テーブル4[[#This Row],[半径方向応力:Δ+10℃]]*2*寸法→圧入力!D$13^2/(寸法→圧入力!D$13^2-寸法→圧入力!F$14^2)</f>
        <v>2.6988940483836505</v>
      </c>
      <c r="AH33" s="11">
        <f>テーブル4[[#This Row],[半径方向応力:Δ+20℃]]*2*寸法→圧入力!D$13^2/(寸法→圧入力!D$13^2-寸法→圧入力!F$14^2)</f>
        <v>-14.751971288172623</v>
      </c>
      <c r="AI33" s="11">
        <f>テーブル4[[#This Row],[半径方向応力:Δ+30℃]]*2*寸法→圧入力!D$13^2/(寸法→圧入力!D$13^2-寸法→圧入力!F$14^2)</f>
        <v>-32.202836624738737</v>
      </c>
      <c r="AJ33" s="11">
        <f>寸法→圧入力!$D$19</f>
        <v>345</v>
      </c>
      <c r="AK33" s="11">
        <f>テーブル4[[#This Row],[半径方向応力:Δ-30℃]]* (1+(寸法→圧入力!D$29/寸法→圧入力!F$28)^2)/((寸法→圧入力!D$29/寸法→圧入力!F$28)^2-1)</f>
        <v>74.178771971139781</v>
      </c>
      <c r="AL33" s="11">
        <f>テーブル4[[#This Row],[半径方向応力:Δ-20℃]]* (1+(寸法→圧入力!D$29/寸法→圧入力!F$28)^2)/((寸法→圧入力!D$29/寸法→圧入力!F$28)^2-1)</f>
        <v>56.32440360676884</v>
      </c>
      <c r="AM33" s="11">
        <f>テーブル4[[#This Row],[半径方向応力:Δ-10℃]]* (1+(寸法→圧入力!D$29/寸法→圧入力!F$28)^2)/((寸法→圧入力!D$29/寸法→圧入力!F$28)^2-1)</f>
        <v>38.470035242407967</v>
      </c>
      <c r="AN33" s="11">
        <f>テーブル4[[#This Row],[半径方向応力:Δ0℃]]* (1+(寸法→圧入力!D$29/寸法→圧入力!F$28)^2)/((寸法→圧入力!D$29/寸法→圧入力!F$28)^2-1)</f>
        <v>20.615666878037032</v>
      </c>
      <c r="AO33" s="11">
        <f>テーブル4[[#This Row],[半径方向応力:Δ+10℃]]* (1+(寸法→圧入力!D$29/寸法→圧入力!F$28)^2)/((寸法→圧入力!D$29/寸法→圧入力!F$28)^2-1)</f>
        <v>2.761298513676163</v>
      </c>
      <c r="AP33" s="11">
        <f>テーブル4[[#This Row],[半径方向応力:Δ+20℃]]* (1+(寸法→圧入力!D$29/寸法→圧入力!F$28)^2)/((寸法→圧入力!D$29/寸法→圧入力!F$28)^2-1)</f>
        <v>-15.093069850674638</v>
      </c>
      <c r="AQ33" s="11">
        <f>テーブル4[[#This Row],[半径方向応力:Δ+30℃]]* (1+(寸法→圧入力!D$29/寸法→圧入力!F$28)^2)/((寸法→圧入力!D$29/寸法→圧入力!F$28)^2-1)</f>
        <v>-32.947438215035504</v>
      </c>
      <c r="AR33" s="11">
        <f>寸法→圧入力!$D$34</f>
        <v>150</v>
      </c>
      <c r="AU33" s="152"/>
      <c r="AV33" s="151">
        <f t="shared" si="6"/>
        <v>-20</v>
      </c>
      <c r="AW33" s="160">
        <f>(AW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14.353657394992645</v>
      </c>
      <c r="AX33" s="160">
        <f>(AX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10.74460373984418</v>
      </c>
      <c r="AY33" s="160">
        <f>(AY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7.1355500846957165</v>
      </c>
      <c r="AZ33" s="160">
        <f>(AZ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3.5264964295472541</v>
      </c>
      <c r="BA33" s="160">
        <f>(BA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-8.2557225601207929E-2</v>
      </c>
      <c r="BB33" s="160">
        <f>(BB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-3.6916108807496699</v>
      </c>
      <c r="BC33" s="160">
        <f>(BC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-7.3006645358981368</v>
      </c>
      <c r="BD33" s="160">
        <f>(BD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-10.909718191046597</v>
      </c>
      <c r="BE33" s="160">
        <f>(BE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-14.51877184619506</v>
      </c>
      <c r="BF33" s="160">
        <f>(BF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-18.12782550134353</v>
      </c>
      <c r="BG33" s="160">
        <f>(BG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-21.736879156491987</v>
      </c>
      <c r="BH33" s="160">
        <f>(BH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-25.345932811640449</v>
      </c>
      <c r="BI33" s="160">
        <f>(BI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-28.954986466788917</v>
      </c>
      <c r="BJ33" s="160">
        <f>(BJ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-32.564040121937374</v>
      </c>
      <c r="BK33" s="160">
        <f>(BK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-36.173093777085846</v>
      </c>
      <c r="BL33" s="160">
        <f>(BL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-39.782147432234304</v>
      </c>
      <c r="BM33" s="160">
        <f>(BM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-43.391201087382768</v>
      </c>
      <c r="BN33" s="160">
        <f>(BN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-47.000254742531226</v>
      </c>
      <c r="BO33" s="160">
        <f>(BO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-50.609308397679698</v>
      </c>
      <c r="BP33" s="160">
        <f>(BP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-54.218362052828162</v>
      </c>
      <c r="BQ33" s="160">
        <f>(BQ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-57.82741570797662</v>
      </c>
    </row>
    <row r="34" spans="1:69" x14ac:dyDescent="0.7">
      <c r="A34" s="22">
        <f t="shared" si="1"/>
        <v>0.28000000000000003</v>
      </c>
      <c r="B34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276.0413222682393</v>
      </c>
      <c r="C34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283.0630317763501</v>
      </c>
      <c r="D34" s="11">
        <f>(A34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289.64896264406724</v>
      </c>
      <c r="E34" s="11">
        <f>テーブル3[[#This Row],[半径方向応力min]]*寸法→圧入力!D$43*寸法→圧入力!D$5/1000</f>
        <v>32.104831265320527</v>
      </c>
      <c r="F34" s="11">
        <f>テーブル3[[#This Row],[半径方向応力min]]*寸法→圧入力!E$43*寸法→圧入力!E$5/1000</f>
        <v>40.992716868279672</v>
      </c>
      <c r="G34" s="11">
        <f>テーブル3[[#This Row],[半径方向応力min]]*寸法→圧入力!F$43*寸法→圧入力!F$5/1000</f>
        <v>50.234986764664541</v>
      </c>
      <c r="H34" s="11">
        <f>寸法→圧入力!$D$19</f>
        <v>345</v>
      </c>
      <c r="I34" s="11">
        <f>寸法→圧入力!$D$34</f>
        <v>150</v>
      </c>
      <c r="J34" s="11">
        <f>テーブル3[[#This Row],[半径方向応力nor]]*2*寸法→圧入力!E$13^2/(寸法→圧入力!E$13^2-寸法→圧入力!E$14^2)</f>
        <v>754.49975321534691</v>
      </c>
      <c r="K34" s="11">
        <f>テーブル3[[#This Row],[半径方向応力nor]]* (1+(寸法→圧入力!E$29/寸法→圧入力!E$28)^2)/((寸法→圧入力!E$29/寸法→圧入力!E$28)^2-1)</f>
        <v>736.23571826960585</v>
      </c>
      <c r="N34">
        <f t="shared" si="3"/>
        <v>90</v>
      </c>
      <c r="O34" s="22">
        <f>寸法→圧入力!F$13*(1+寸法→圧入力!D$18*10^-6*(テーブル4[[#This Row],[inner温度'[℃']]]-20)) - 寸法→圧入力!D$28*(1+寸法→圧入力!D$33*10^-6*(テーブル4[[#This Row],[inner温度'[℃']]]+O$3-20))</f>
        <v>2.4810825000002978E-2</v>
      </c>
      <c r="P34" s="22">
        <f>寸法→圧入力!F$13*(1+寸法→圧入力!D$18*10^-6*(テーブル4[[#This Row],[inner温度'[℃']]]-20)) - 寸法→圧入力!D$28*(1+寸法→圧入力!D$33*10^-6*(テーブル4[[#This Row],[inner温度'[℃']]]+P$3-20))</f>
        <v>1.8510824999999897E-2</v>
      </c>
      <c r="Q34" s="22">
        <f>寸法→圧入力!F$13*(1+寸法→圧入力!D$18*10^-6*(テーブル4[[#This Row],[inner温度'[℃']]]-20)) - 寸法→圧入力!D$28*(1+寸法→圧入力!D$33*10^-6*(テーブル4[[#This Row],[inner温度'[℃']]]+Q$3-20))</f>
        <v>1.2210825000000369E-2</v>
      </c>
      <c r="R34" s="22">
        <f>寸法→圧入力!F$13*(1+寸法→圧入力!D$18*10^-6*(テーブル4[[#This Row],[inner温度'[℃']]]-20)) - 寸法→圧入力!D$28*(1+寸法→圧入力!D$33*10^-6*(テーブル4[[#This Row],[inner温度'[℃']]]+R$3-20))</f>
        <v>5.9108249999972884E-3</v>
      </c>
      <c r="S34" s="22">
        <f>寸法→圧入力!F$13*(1+寸法→圧入力!D$18*10^-6*(テーブル4[[#This Row],[inner温度'[℃']]]-20)) - 寸法→圧入力!D$28*(1+寸法→圧入力!D$33*10^-6*(テーブル4[[#This Row],[inner温度'[℃']]]+S$3-20))</f>
        <v>-3.8917499999513439E-4</v>
      </c>
      <c r="T34" s="22">
        <f>寸法→圧入力!F$13*(1+寸法→圧入力!D$18*10^-6*(テーブル4[[#This Row],[inner温度'[℃']]]-20)) - 寸法→圧入力!D$28*(1+寸法→圧入力!D$33*10^-6*(テーブル4[[#This Row],[inner温度'[℃']]]+T$3-20))</f>
        <v>-6.6891749999982153E-3</v>
      </c>
      <c r="U34" s="22">
        <f>寸法→圧入力!F$13*(1+寸法→圧入力!D$18*10^-6*(テーブル4[[#This Row],[inner温度'[℃']]]-20)) - 寸法→圧入力!D$28*(1+寸法→圧入力!D$33*10^-6*(テーブル4[[#This Row],[inner温度'[℃']]]+U$3-20))</f>
        <v>-1.2989174999997743E-2</v>
      </c>
      <c r="V34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25.6658204414084</v>
      </c>
      <c r="W34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19.148718781913701</v>
      </c>
      <c r="X34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12.631617122422675</v>
      </c>
      <c r="Y34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6.1145154629279759</v>
      </c>
      <c r="Z34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-0.40258619655569833</v>
      </c>
      <c r="AA34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-6.9196878560503974</v>
      </c>
      <c r="AB34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-13.43678951554142</v>
      </c>
      <c r="AC34" s="11">
        <f>テーブル4[[#This Row],[半径方向応力:Δ-30℃]]*2*寸法→圧入力!D$13^2/(寸法→圧入力!D$13^2-寸法→圧入力!F$14^2)</f>
        <v>68.725454914951172</v>
      </c>
      <c r="AD34" s="11">
        <f>テーブル4[[#This Row],[半径方向応力:Δ-20℃]]*2*寸法→圧入力!D$13^2/(寸法→圧入力!D$13^2-寸法→圧入力!F$14^2)</f>
        <v>51.27458957837522</v>
      </c>
      <c r="AE34" s="11">
        <f>テーブル4[[#This Row],[半径方向応力:Δ-10℃]]*2*寸法→圧入力!D$13^2/(寸法→圧入力!D$13^2-寸法→圧入力!F$14^2)</f>
        <v>33.823724241809103</v>
      </c>
      <c r="AF34" s="11">
        <f>テーブル4[[#This Row],[半径方向応力:Δ0℃]]*2*寸法→圧入力!D$13^2/(寸法→圧入力!D$13^2-寸法→圧入力!F$14^2)</f>
        <v>16.372858905233148</v>
      </c>
      <c r="AG34" s="11">
        <f>テーブル4[[#This Row],[半径方向応力:Δ+10℃]]*2*寸法→圧入力!D$13^2/(寸法→圧入力!D$13^2-寸法→圧入力!F$14^2)</f>
        <v>-1.0780064313132884</v>
      </c>
      <c r="AH34" s="11">
        <f>テーブル4[[#This Row],[半径方向応力:Δ+20℃]]*2*寸法→圧入力!D$13^2/(寸法→圧入力!D$13^2-寸法→圧入力!F$14^2)</f>
        <v>-18.528871767889246</v>
      </c>
      <c r="AI34" s="11">
        <f>テーブル4[[#This Row],[半径方向応力:Δ+30℃]]*2*寸法→圧入力!D$13^2/(寸法→圧入力!D$13^2-寸法→圧入力!F$14^2)</f>
        <v>-35.979737104455353</v>
      </c>
      <c r="AJ34" s="11">
        <f>寸法→圧入力!$D$19</f>
        <v>345</v>
      </c>
      <c r="AK34" s="11">
        <f>テーブル4[[#This Row],[半径方向応力:Δ-30℃]]* (1+(寸法→圧入力!D$29/寸法→圧入力!F$28)^2)/((寸法→圧入力!D$29/寸法→圧入力!F$28)^2-1)</f>
        <v>70.314541106949235</v>
      </c>
      <c r="AL34" s="11">
        <f>テーブル4[[#This Row],[半径方向応力:Δ-20℃]]* (1+(寸法→圧入力!D$29/寸法→圧入力!F$28)^2)/((寸法→圧入力!D$29/寸法→圧入力!F$28)^2-1)</f>
        <v>52.460172742578294</v>
      </c>
      <c r="AM34" s="11">
        <f>テーブル4[[#This Row],[半径方向応力:Δ-10℃]]* (1+(寸法→圧入力!D$29/寸法→圧入力!F$28)^2)/((寸法→圧入力!D$29/寸法→圧入力!F$28)^2-1)</f>
        <v>34.605804378217421</v>
      </c>
      <c r="AN34" s="11">
        <f>テーブル4[[#This Row],[半径方向応力:Δ0℃]]* (1+(寸法→圧入力!D$29/寸法→圧入力!F$28)^2)/((寸法→圧入力!D$29/寸法→圧入力!F$28)^2-1)</f>
        <v>16.75143601384648</v>
      </c>
      <c r="AO34" s="11">
        <f>テーブル4[[#This Row],[半径方向応力:Δ+10℃]]* (1+(寸法→圧入力!D$29/寸法→圧入力!F$28)^2)/((寸法→圧入力!D$29/寸法→圧入力!F$28)^2-1)</f>
        <v>-1.1029323504942521</v>
      </c>
      <c r="AP34" s="11">
        <f>テーブル4[[#This Row],[半径方向応力:Δ+20℃]]* (1+(寸法→圧入力!D$29/寸法→圧入力!F$28)^2)/((寸法→圧入力!D$29/寸法→圧入力!F$28)^2-1)</f>
        <v>-18.957300714865188</v>
      </c>
      <c r="AQ34" s="11">
        <f>テーブル4[[#This Row],[半径方向応力:Δ+30℃]]* (1+(寸法→圧入力!D$29/寸法→圧入力!F$28)^2)/((寸法→圧入力!D$29/寸法→圧入力!F$28)^2-1)</f>
        <v>-36.811669079226057</v>
      </c>
      <c r="AR34" s="11">
        <f>寸法→圧入力!$D$34</f>
        <v>150</v>
      </c>
      <c r="AU34" s="152"/>
      <c r="AV34" s="151">
        <f t="shared" si="6"/>
        <v>-10</v>
      </c>
      <c r="AW34" s="160">
        <f>(AW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20.722575609960522</v>
      </c>
      <c r="AX34" s="160">
        <f>(AX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17.113521954812057</v>
      </c>
      <c r="AY34" s="160">
        <f>(AY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13.504468299663593</v>
      </c>
      <c r="AZ34" s="160">
        <f>(AZ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9.8954146445151316</v>
      </c>
      <c r="BA34" s="160">
        <f>(BA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6.2863609893666688</v>
      </c>
      <c r="BB34" s="160">
        <f>(BB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2.677307334218205</v>
      </c>
      <c r="BC34" s="160">
        <f>(BC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-0.93174632093025866</v>
      </c>
      <c r="BD34" s="160">
        <f>(BD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-4.5407999760787208</v>
      </c>
      <c r="BE34" s="160">
        <f>(BE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-8.1498536312271845</v>
      </c>
      <c r="BF34" s="160">
        <f>(BF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-11.758907286375644</v>
      </c>
      <c r="BG34" s="160">
        <f>(BG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-15.367960941524116</v>
      </c>
      <c r="BH34" s="160">
        <f>(BH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-18.977014596672571</v>
      </c>
      <c r="BI34" s="160">
        <f>(BI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-22.58606825182104</v>
      </c>
      <c r="BJ34" s="160">
        <f>(BJ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-26.195121906969497</v>
      </c>
      <c r="BK34" s="160">
        <f>(BK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-29.804175562117965</v>
      </c>
      <c r="BL34" s="160">
        <f>(BL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-33.413229217266426</v>
      </c>
      <c r="BM34" s="160">
        <f>(BM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-37.022282872414891</v>
      </c>
      <c r="BN34" s="160">
        <f>(BN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-40.631336527563349</v>
      </c>
      <c r="BO34" s="160">
        <f>(BO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-44.24039018271182</v>
      </c>
      <c r="BP34" s="160">
        <f>(BP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-47.849443837860285</v>
      </c>
      <c r="BQ34" s="160">
        <f>(BQ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-51.458497493008757</v>
      </c>
    </row>
    <row r="35" spans="1:69" x14ac:dyDescent="0.7">
      <c r="A35" s="22">
        <f t="shared" si="1"/>
        <v>0.28999999999999998</v>
      </c>
      <c r="B35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285.89994092067639</v>
      </c>
      <c r="C35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293.17242576836253</v>
      </c>
      <c r="D35" s="11">
        <f>(A35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299.99356845278385</v>
      </c>
      <c r="E35" s="11">
        <f>テーブル3[[#This Row],[半径方向応力min]]*寸法→圧入力!D$43*寸法→圧入力!D$5/1000</f>
        <v>33.251432381939111</v>
      </c>
      <c r="F35" s="11">
        <f>テーブル3[[#This Row],[半径方向応力min]]*寸法→圧入力!E$43*寸法→圧入力!E$5/1000</f>
        <v>42.456742470718225</v>
      </c>
      <c r="G35" s="11">
        <f>テーブル3[[#This Row],[半径方向応力min]]*寸法→圧入力!F$43*寸法→圧入力!F$5/1000</f>
        <v>52.029093434831132</v>
      </c>
      <c r="H35" s="11">
        <f>寸法→圧入力!$D$19</f>
        <v>345</v>
      </c>
      <c r="I35" s="11">
        <f>寸法→圧入力!$D$34</f>
        <v>150</v>
      </c>
      <c r="J35" s="11">
        <f>テーブル3[[#This Row],[半径方向応力nor]]*2*寸法→圧入力!E$13^2/(寸法→圧入力!E$13^2-寸法→圧入力!E$14^2)</f>
        <v>781.44617297303773</v>
      </c>
      <c r="K35" s="11">
        <f>テーブル3[[#This Row],[半径方向応力nor]]* (1+(寸法→圧入力!E$29/寸法→圧入力!E$28)^2)/((寸法→圧入力!E$29/寸法→圧入力!E$28)^2-1)</f>
        <v>762.52985106494862</v>
      </c>
      <c r="N35">
        <f t="shared" si="3"/>
        <v>95</v>
      </c>
      <c r="O35" s="22">
        <f>寸法→圧入力!F$13*(1+寸法→圧入力!D$18*10^-6*(テーブル4[[#This Row],[inner温度'[℃']]]-20)) - 寸法→圧入力!D$28*(1+寸法→圧入力!D$33*10^-6*(テーブル4[[#This Row],[inner温度'[℃']]]+O$3-20))</f>
        <v>2.3447312499996542E-2</v>
      </c>
      <c r="P35" s="22">
        <f>寸法→圧入力!F$13*(1+寸法→圧入力!D$18*10^-6*(テーブル4[[#This Row],[inner温度'[℃']]]-20)) - 寸法→圧入力!D$28*(1+寸法→圧入力!D$33*10^-6*(テーブル4[[#This Row],[inner温度'[℃']]]+P$3-20))</f>
        <v>1.7147312499997014E-2</v>
      </c>
      <c r="Q35" s="22">
        <f>寸法→圧入力!F$13*(1+寸法→圧入力!D$18*10^-6*(テーブル4[[#This Row],[inner温度'[℃']]]-20)) - 寸法→圧入力!D$28*(1+寸法→圧入力!D$33*10^-6*(テーブル4[[#This Row],[inner温度'[℃']]]+Q$3-20))</f>
        <v>1.0847312499993933E-2</v>
      </c>
      <c r="R35" s="22">
        <f>寸法→圧入力!F$13*(1+寸法→圧入力!D$18*10^-6*(テーブル4[[#This Row],[inner温度'[℃']]]-20)) - 寸法→圧入力!D$28*(1+寸法→圧入力!D$33*10^-6*(テーブル4[[#This Row],[inner温度'[℃']]]+R$3-20))</f>
        <v>4.5473124999944048E-3</v>
      </c>
      <c r="S35" s="22">
        <f>寸法→圧入力!F$13*(1+寸法→圧入力!D$18*10^-6*(テーブル4[[#This Row],[inner温度'[℃']]]-20)) - 寸法→圧入力!D$28*(1+寸法→圧入力!D$33*10^-6*(テーブル4[[#This Row],[inner温度'[℃']]]+S$3-20))</f>
        <v>-1.7526875000015707E-3</v>
      </c>
      <c r="T35" s="22">
        <f>寸法→圧入力!F$13*(1+寸法→圧入力!D$18*10^-6*(テーブル4[[#This Row],[inner温度'[℃']]]-20)) - 寸法→圧入力!D$28*(1+寸法→圧入力!D$33*10^-6*(テーブル4[[#This Row],[inner温度'[℃']]]+T$3-20))</f>
        <v>-8.0526875000010989E-3</v>
      </c>
      <c r="U35" s="22">
        <f>寸法→圧入力!F$13*(1+寸法→圧入力!D$18*10^-6*(テーブル4[[#This Row],[inner温度'[℃']]]-20)) - 寸法→圧入力!D$28*(1+寸法→圧入力!D$33*10^-6*(テーブル4[[#This Row],[inner温度'[℃']]]+U$3-20))</f>
        <v>-1.435268750000418E-2</v>
      </c>
      <c r="V35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24.255320508625957</v>
      </c>
      <c r="W35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17.738218849134935</v>
      </c>
      <c r="X35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11.221117189640236</v>
      </c>
      <c r="Y35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4.7040155301492108</v>
      </c>
      <c r="Z35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-1.8130861293381375</v>
      </c>
      <c r="AA35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-8.3301877888291624</v>
      </c>
      <c r="AB35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-14.84728944832386</v>
      </c>
      <c r="AC35" s="11">
        <f>テーブル4[[#This Row],[半径方向応力:Δ-30℃]]*2*寸法→圧入力!D$13^2/(寸法→圧入力!D$13^2-寸法→圧入力!F$14^2)</f>
        <v>64.948554435214874</v>
      </c>
      <c r="AD35" s="11">
        <f>テーブル4[[#This Row],[半径方向応力:Δ-20℃]]*2*寸法→圧入力!D$13^2/(寸法→圧入力!D$13^2-寸法→圧入力!F$14^2)</f>
        <v>47.497689098648756</v>
      </c>
      <c r="AE35" s="11">
        <f>テーブル4[[#This Row],[半径方向応力:Δ-10℃]]*2*寸法→圧入力!D$13^2/(寸法→圧入力!D$13^2-寸法→圧入力!F$14^2)</f>
        <v>30.046823762072798</v>
      </c>
      <c r="AF35" s="11">
        <f>テーブル4[[#This Row],[半径方向応力:Δ0℃]]*2*寸法→圧入力!D$13^2/(寸法→圧入力!D$13^2-寸法→圧入力!F$14^2)</f>
        <v>12.595958425506682</v>
      </c>
      <c r="AG35" s="11">
        <f>テーブル4[[#This Row],[半径方向応力:Δ+10℃]]*2*寸法→圧入力!D$13^2/(寸法→圧入力!D$13^2-寸法→圧入力!F$14^2)</f>
        <v>-4.854906911049591</v>
      </c>
      <c r="AH35" s="11">
        <f>テーブル4[[#This Row],[半径方向応力:Δ+20℃]]*2*寸法→圧入力!D$13^2/(寸法→圧入力!D$13^2-寸法→圧入力!F$14^2)</f>
        <v>-22.30577224761571</v>
      </c>
      <c r="AI35" s="11">
        <f>テーブル4[[#This Row],[半径方向応力:Δ+30℃]]*2*寸法→圧入力!D$13^2/(寸法→圧入力!D$13^2-寸法→圧入力!F$14^2)</f>
        <v>-39.756637584191658</v>
      </c>
      <c r="AJ35" s="11">
        <f>寸法→圧入力!$D$19</f>
        <v>345</v>
      </c>
      <c r="AK35" s="11">
        <f>テーブル4[[#This Row],[半径方向応力:Δ-30℃]]* (1+(寸法→圧入力!D$29/寸法→圧入力!F$28)^2)/((寸法→圧入力!D$29/寸法→圧入力!F$28)^2-1)</f>
        <v>66.450310242738539</v>
      </c>
      <c r="AL35" s="11">
        <f>テーブル4[[#This Row],[半径方向応力:Δ-20℃]]* (1+(寸法→圧入力!D$29/寸法→圧入力!F$28)^2)/((寸法→圧入力!D$29/寸法→圧入力!F$28)^2-1)</f>
        <v>48.595941878377666</v>
      </c>
      <c r="AM35" s="11">
        <f>テーブル4[[#This Row],[半径方向応力:Δ-10℃]]* (1+(寸法→圧入力!D$29/寸法→圧入力!F$28)^2)/((寸法→圧入力!D$29/寸法→圧入力!F$28)^2-1)</f>
        <v>30.741573514006731</v>
      </c>
      <c r="AN35" s="11">
        <f>テーブル4[[#This Row],[半径方向応力:Δ0℃]]* (1+(寸法→圧入力!D$29/寸法→圧入力!F$28)^2)/((寸法→圧入力!D$29/寸法→圧入力!F$28)^2-1)</f>
        <v>12.887205149645858</v>
      </c>
      <c r="AO35" s="11">
        <f>テーブル4[[#This Row],[半径方向応力:Δ+10℃]]* (1+(寸法→圧入力!D$29/寸法→圧入力!F$28)^2)/((寸法→圧入力!D$29/寸法→圧入力!F$28)^2-1)</f>
        <v>-4.9671632147049412</v>
      </c>
      <c r="AP35" s="11">
        <f>テーブル4[[#This Row],[半径方向応力:Δ+20℃]]* (1+(寸法→圧入力!D$29/寸法→圧入力!F$28)^2)/((寸法→圧入力!D$29/寸法→圧入力!F$28)^2-1)</f>
        <v>-22.821531579065812</v>
      </c>
      <c r="AQ35" s="11">
        <f>テーブル4[[#This Row],[半径方向応力:Δ+30℃]]* (1+(寸法→圧入力!D$29/寸法→圧入力!F$28)^2)/((寸法→圧入力!D$29/寸法→圧入力!F$28)^2-1)</f>
        <v>-40.67589994343674</v>
      </c>
      <c r="AR35" s="11">
        <f>寸法→圧入力!$D$34</f>
        <v>150</v>
      </c>
      <c r="AU35" s="152"/>
      <c r="AV35" s="151">
        <f t="shared" si="6"/>
        <v>0</v>
      </c>
      <c r="AW35" s="160">
        <f>(AW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27.091493824928396</v>
      </c>
      <c r="AX35" s="160">
        <f>(AX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23.482440169779935</v>
      </c>
      <c r="AY35" s="160">
        <f>(AY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19.873386514631466</v>
      </c>
      <c r="AZ35" s="160">
        <f>(AZ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16.264332859483009</v>
      </c>
      <c r="BA35" s="160">
        <f>(BA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12.655279204334544</v>
      </c>
      <c r="BB35" s="160">
        <f>(BB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9.0462255491860795</v>
      </c>
      <c r="BC35" s="160">
        <f>(BC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5.4371718940376175</v>
      </c>
      <c r="BD35" s="160">
        <f>(BD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1.8281182388891544</v>
      </c>
      <c r="BE35" s="160">
        <f>(BE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-1.780935416259311</v>
      </c>
      <c r="BF35" s="160">
        <f>(BF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-5.3899890714077712</v>
      </c>
      <c r="BG35" s="160">
        <f>(BG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-8.9990427265562349</v>
      </c>
      <c r="BH35" s="160">
        <f>(BH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-12.6080963817047</v>
      </c>
      <c r="BI35" s="160">
        <f>(BI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-16.217150036853159</v>
      </c>
      <c r="BJ35" s="160">
        <f>(BJ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-19.826203692001627</v>
      </c>
      <c r="BK35" s="160">
        <f>(BK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-23.435257347150092</v>
      </c>
      <c r="BL35" s="160">
        <f>(BL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-27.044311002298556</v>
      </c>
      <c r="BM35" s="160">
        <f>(BM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-30.653364657447014</v>
      </c>
      <c r="BN35" s="160">
        <f>(BN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-34.262418312595479</v>
      </c>
      <c r="BO35" s="160">
        <f>(BO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-37.871471967743943</v>
      </c>
      <c r="BP35" s="160">
        <f>(BP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-41.480525622892408</v>
      </c>
      <c r="BQ35" s="160">
        <f>(BQ10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-45.089579278040873</v>
      </c>
    </row>
    <row r="36" spans="1:69" ht="18" thickBot="1" x14ac:dyDescent="0.75">
      <c r="A36" s="22">
        <f t="shared" si="1"/>
        <v>0.3</v>
      </c>
      <c r="B36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295.75855957311353</v>
      </c>
      <c r="C36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303.28181976037507</v>
      </c>
      <c r="D36" s="11">
        <f>(A36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310.33817426150057</v>
      </c>
      <c r="E36" s="11">
        <f>テーブル3[[#This Row],[半径方向応力min]]*寸法→圧入力!D$43*寸法→圧入力!D$5/1000</f>
        <v>34.398033498557709</v>
      </c>
      <c r="F36" s="11">
        <f>テーブル3[[#This Row],[半径方向応力min]]*寸法→圧入力!E$43*寸法→圧入力!E$5/1000</f>
        <v>43.920768073156793</v>
      </c>
      <c r="G36" s="11">
        <f>テーブル3[[#This Row],[半径方向応力min]]*寸法→圧入力!F$43*寸法→圧入力!F$5/1000</f>
        <v>53.823200104997724</v>
      </c>
      <c r="H36" s="11">
        <f>寸法→圧入力!$D$19</f>
        <v>345</v>
      </c>
      <c r="I36" s="11">
        <f>寸法→圧入力!$D$34</f>
        <v>150</v>
      </c>
      <c r="J36" s="11">
        <f>テーブル3[[#This Row],[半径方向応力nor]]*2*寸法→圧入力!E$13^2/(寸法→圧入力!E$13^2-寸法→圧入力!E$14^2)</f>
        <v>808.39259273072878</v>
      </c>
      <c r="K36" s="11">
        <f>テーブル3[[#This Row],[半径方向応力nor]]* (1+(寸法→圧入力!E$29/寸法→圧入力!E$28)^2)/((寸法→圧入力!E$29/寸法→圧入力!E$28)^2-1)</f>
        <v>788.82398386029183</v>
      </c>
      <c r="N36">
        <f t="shared" si="3"/>
        <v>100</v>
      </c>
      <c r="O36" s="22">
        <f>寸法→圧入力!F$13*(1+寸法→圧入力!D$18*10^-6*(テーブル4[[#This Row],[inner温度'[℃']]]-20)) - 寸法→圧入力!D$28*(1+寸法→圧入力!D$33*10^-6*(テーブル4[[#This Row],[inner温度'[℃']]]+O$3-20))</f>
        <v>2.2083800000000764E-2</v>
      </c>
      <c r="P36" s="22">
        <f>寸法→圧入力!F$13*(1+寸法→圧入力!D$18*10^-6*(テーブル4[[#This Row],[inner温度'[℃']]]-20)) - 寸法→圧入力!D$28*(1+寸法→圧入力!D$33*10^-6*(テーブル4[[#This Row],[inner温度'[℃']]]+P$3-20))</f>
        <v>1.5783800000001236E-2</v>
      </c>
      <c r="Q36" s="22">
        <f>寸法→圧入力!F$13*(1+寸法→圧入力!D$18*10^-6*(テーブル4[[#This Row],[inner温度'[℃']]]-20)) - 寸法→圧入力!D$28*(1+寸法→圧入力!D$33*10^-6*(テーブル4[[#This Row],[inner温度'[℃']]]+Q$3-20))</f>
        <v>9.4837999999981548E-3</v>
      </c>
      <c r="R36" s="22">
        <f>寸法→圧入力!F$13*(1+寸法→圧入力!D$18*10^-6*(テーブル4[[#This Row],[inner温度'[℃']]]-20)) - 寸法→圧入力!D$28*(1+寸法→圧入力!D$33*10^-6*(テーブル4[[#This Row],[inner温度'[℃']]]+R$3-20))</f>
        <v>3.183800000005732E-3</v>
      </c>
      <c r="S36" s="22">
        <f>寸法→圧入力!F$13*(1+寸法→圧入力!D$18*10^-6*(テーブル4[[#This Row],[inner温度'[℃']]]-20)) - 寸法→圧入力!D$28*(1+寸法→圧入力!D$33*10^-6*(テーブル4[[#This Row],[inner温度'[℃']]]+S$3-20))</f>
        <v>-3.1161999999973489E-3</v>
      </c>
      <c r="T36" s="22">
        <f>寸法→圧入力!F$13*(1+寸法→圧入力!D$18*10^-6*(テーブル4[[#This Row],[inner温度'[℃']]]-20)) - 寸法→圧入力!D$28*(1+寸法→圧入力!D$33*10^-6*(テーブル4[[#This Row],[inner温度'[℃']]]+T$3-20))</f>
        <v>-9.4161999999968771E-3</v>
      </c>
      <c r="U36" s="22">
        <f>寸法→圧入力!F$13*(1+寸法→圧入力!D$18*10^-6*(テーブル4[[#This Row],[inner温度'[℃']]]-20)) - 寸法→圧入力!D$28*(1+寸法→圧入力!D$33*10^-6*(テーブル4[[#This Row],[inner温度'[℃']]]+U$3-20))</f>
        <v>-1.5716199999999958E-2</v>
      </c>
      <c r="V36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22.844820575854545</v>
      </c>
      <c r="W36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16.327718916363519</v>
      </c>
      <c r="X36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9.8106172568688219</v>
      </c>
      <c r="Y36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3.2935155973851482</v>
      </c>
      <c r="Z36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-3.2235860621095509</v>
      </c>
      <c r="AA36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-9.7406877216005743</v>
      </c>
      <c r="AB36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-16.257789381095275</v>
      </c>
      <c r="AC36" s="11">
        <f>テーブル4[[#This Row],[半径方向応力:Δ-30℃]]*2*寸法→圧入力!D$13^2/(寸法→圧入力!D$13^2-寸法→圧入力!F$14^2)</f>
        <v>61.171653955508084</v>
      </c>
      <c r="AD36" s="11">
        <f>テーブル4[[#This Row],[半径方向応力:Δ-20℃]]*2*寸法→圧入力!D$13^2/(寸法→圧入力!D$13^2-寸法→圧入力!F$14^2)</f>
        <v>43.720788618941967</v>
      </c>
      <c r="AE36" s="11">
        <f>テーブル4[[#This Row],[半径方向応力:Δ-10℃]]*2*寸法→圧入力!D$13^2/(寸法→圧入力!D$13^2-寸法→圧入力!F$14^2)</f>
        <v>26.269923282366015</v>
      </c>
      <c r="AF36" s="11">
        <f>テーブル4[[#This Row],[半径方向応力:Δ0℃]]*2*寸法→圧入力!D$13^2/(寸法→圧入力!D$13^2-寸法→圧入力!F$14^2)</f>
        <v>8.819057945819587</v>
      </c>
      <c r="AG36" s="11">
        <f>テーブル4[[#This Row],[半径方向応力:Δ+10℃]]*2*寸法→圧入力!D$13^2/(寸法→圧入力!D$13^2-寸法→圧入力!F$14^2)</f>
        <v>-8.6318073907563697</v>
      </c>
      <c r="AH36" s="11">
        <f>テーブル4[[#This Row],[半径方向応力:Δ+20℃]]*2*寸法→圧入力!D$13^2/(寸法→圧入力!D$13^2-寸法→圧入力!F$14^2)</f>
        <v>-26.082672727322482</v>
      </c>
      <c r="AI36" s="11">
        <f>テーブル4[[#This Row],[半径方向応力:Δ+30℃]]*2*寸法→圧入力!D$13^2/(寸法→圧入力!D$13^2-寸法→圧入力!F$14^2)</f>
        <v>-43.533538063898447</v>
      </c>
      <c r="AJ36" s="11">
        <f>寸法→圧入力!$D$19</f>
        <v>345</v>
      </c>
      <c r="AK36" s="11">
        <f>テーブル4[[#This Row],[半径方向応力:Δ-30℃]]* (1+(寸法→圧入力!D$29/寸法→圧入力!F$28)^2)/((寸法→圧入力!D$29/寸法→圧入力!F$28)^2-1)</f>
        <v>62.586079378558054</v>
      </c>
      <c r="AL36" s="11">
        <f>テーブル4[[#This Row],[半径方向応力:Δ-20℃]]* (1+(寸法→圧入力!D$29/寸法→圧入力!F$28)^2)/((寸法→圧入力!D$29/寸法→圧入力!F$28)^2-1)</f>
        <v>44.731711014197181</v>
      </c>
      <c r="AM36" s="11">
        <f>テーブル4[[#This Row],[半径方向応力:Δ-10℃]]* (1+(寸法→圧入力!D$29/寸法→圧入力!F$28)^2)/((寸法→圧入力!D$29/寸法→圧入力!F$28)^2-1)</f>
        <v>26.877342649826247</v>
      </c>
      <c r="AN36" s="11">
        <f>テーブル4[[#This Row],[半径方向応力:Δ0℃]]* (1+(寸法→圧入力!D$29/寸法→圧入力!F$28)^2)/((寸法→圧入力!D$29/寸法→圧入力!F$28)^2-1)</f>
        <v>9.0229742854855139</v>
      </c>
      <c r="AO36" s="11">
        <f>テーブル4[[#This Row],[半径方向応力:Δ+10℃]]* (1+(寸法→圧入力!D$29/寸法→圧入力!F$28)^2)/((寸法→圧入力!D$29/寸法→圧入力!F$28)^2-1)</f>
        <v>-8.8313940788854239</v>
      </c>
      <c r="AP36" s="11">
        <f>テーブル4[[#This Row],[半径方向応力:Δ+20℃]]* (1+(寸法→圧入力!D$29/寸法→圧入力!F$28)^2)/((寸法→圧入力!D$29/寸法→圧入力!F$28)^2-1)</f>
        <v>-26.685762443246293</v>
      </c>
      <c r="AQ36" s="11">
        <f>テーブル4[[#This Row],[半径方向応力:Δ+30℃]]* (1+(寸法→圧入力!D$29/寸法→圧入力!F$28)^2)/((寸法→圧入力!D$29/寸法→圧入力!F$28)^2-1)</f>
        <v>-44.540130807617231</v>
      </c>
      <c r="AR36" s="11">
        <f>寸法→圧入力!$D$34</f>
        <v>150</v>
      </c>
      <c r="AU36" s="152"/>
      <c r="AV36" s="151">
        <f t="shared" si="6"/>
        <v>10</v>
      </c>
      <c r="AW36" s="160">
        <f>(AW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33.460412039896269</v>
      </c>
      <c r="AX36" s="160">
        <f>(AX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29.851358384747812</v>
      </c>
      <c r="AY36" s="160">
        <f>(AY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26.242304729599343</v>
      </c>
      <c r="AZ36" s="160">
        <f>(AZ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22.633251074450886</v>
      </c>
      <c r="BA36" s="160">
        <f>(BA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19.024197419302418</v>
      </c>
      <c r="BB36" s="160">
        <f>(BB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15.415143764153957</v>
      </c>
      <c r="BC36" s="160">
        <f>(BC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11.806090109005494</v>
      </c>
      <c r="BD36" s="163">
        <f>(BD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8.1970364538570291</v>
      </c>
      <c r="BE36" s="160">
        <f>(BE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4.5879827987085671</v>
      </c>
      <c r="BF36" s="160">
        <f>(BF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0.97892914356010374</v>
      </c>
      <c r="BG36" s="160">
        <f>(BG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-2.6301245115883618</v>
      </c>
      <c r="BH36" s="160">
        <f>(BH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-6.2391781667368251</v>
      </c>
      <c r="BI36" s="160">
        <f>(BI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-9.8482318218852853</v>
      </c>
      <c r="BJ36" s="160">
        <f>(BJ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-13.457285477033754</v>
      </c>
      <c r="BK36" s="160">
        <f>(BK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-17.066339132182215</v>
      </c>
      <c r="BL36" s="160">
        <f>(BL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-20.675392787330672</v>
      </c>
      <c r="BM36" s="160">
        <f>(BM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-24.284446442479133</v>
      </c>
      <c r="BN36" s="160">
        <f>(BN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-27.893500097627602</v>
      </c>
      <c r="BO36" s="160">
        <f>(BO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-31.502553752776066</v>
      </c>
      <c r="BP36" s="160">
        <f>(BP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-35.111607407924531</v>
      </c>
      <c r="BQ36" s="160">
        <f>(BQ11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-38.720661063072981</v>
      </c>
    </row>
    <row r="37" spans="1:69" ht="18" thickBot="1" x14ac:dyDescent="0.75">
      <c r="A37" s="22">
        <f t="shared" si="1"/>
        <v>0.31</v>
      </c>
      <c r="B37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305.61717822555062</v>
      </c>
      <c r="C37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313.39121375238756</v>
      </c>
      <c r="D37" s="11">
        <f>(A37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320.68278007021723</v>
      </c>
      <c r="E37" s="11">
        <f>テーブル3[[#This Row],[半径方向応力min]]*寸法→圧入力!D$43*寸法→圧入力!D$5/1000</f>
        <v>35.544634615176292</v>
      </c>
      <c r="F37" s="11">
        <f>テーブル3[[#This Row],[半径方向応力min]]*寸法→圧入力!E$43*寸法→圧入力!E$5/1000</f>
        <v>45.384793675595347</v>
      </c>
      <c r="G37" s="11">
        <f>テーブル3[[#This Row],[半径方向応力min]]*寸法→圧入力!F$43*寸法→圧入力!F$5/1000</f>
        <v>55.617306775164309</v>
      </c>
      <c r="H37" s="11">
        <f>寸法→圧入力!$D$19</f>
        <v>345</v>
      </c>
      <c r="I37" s="11">
        <f>寸法→圧入力!$D$34</f>
        <v>150</v>
      </c>
      <c r="J37" s="11">
        <f>テーブル3[[#This Row],[半径方向応力nor]]*2*寸法→圧入力!E$13^2/(寸法→圧入力!E$13^2-寸法→圧入力!E$14^2)</f>
        <v>835.3390124884196</v>
      </c>
      <c r="K37" s="11">
        <f>テーブル3[[#This Row],[半径方向応力nor]]* (1+(寸法→圧入力!E$29/寸法→圧入力!E$28)^2)/((寸法→圧入力!E$29/寸法→圧入力!E$28)^2-1)</f>
        <v>815.11811665563482</v>
      </c>
      <c r="N37">
        <f t="shared" si="3"/>
        <v>105</v>
      </c>
      <c r="O37" s="22">
        <f>寸法→圧入力!F$13*(1+寸法→圧入力!D$18*10^-6*(テーブル4[[#This Row],[inner温度'[℃']]]-20)) - 寸法→圧入力!D$28*(1+寸法→圧入力!D$33*10^-6*(テーブル4[[#This Row],[inner温度'[℃']]]+O$3-20))</f>
        <v>2.072028749999788E-2</v>
      </c>
      <c r="P37" s="22">
        <f>寸法→圧入力!F$13*(1+寸法→圧入力!D$18*10^-6*(テーブル4[[#This Row],[inner温度'[℃']]]-20)) - 寸法→圧入力!D$28*(1+寸法→圧入力!D$33*10^-6*(テーブル4[[#This Row],[inner温度'[℃']]]+P$3-20))</f>
        <v>1.4420287499994799E-2</v>
      </c>
      <c r="Q37" s="22">
        <f>寸法→圧入力!F$13*(1+寸法→圧入力!D$18*10^-6*(テーブル4[[#This Row],[inner温度'[℃']]]-20)) - 寸法→圧入力!D$28*(1+寸法→圧入力!D$33*10^-6*(テーブル4[[#This Row],[inner温度'[℃']]]+Q$3-20))</f>
        <v>8.1202874999952712E-3</v>
      </c>
      <c r="R37" s="22">
        <f>寸法→圧入力!F$13*(1+寸法→圧入力!D$18*10^-6*(テーブル4[[#This Row],[inner温度'[℃']]]-20)) - 寸法→圧入力!D$28*(1+寸法→圧入力!D$33*10^-6*(テーブル4[[#This Row],[inner温度'[℃']]]+R$3-20))</f>
        <v>1.8202874999992957E-3</v>
      </c>
      <c r="S37" s="22">
        <f>寸法→圧入力!F$13*(1+寸法→圧入力!D$18*10^-6*(テーブル4[[#This Row],[inner温度'[℃']]]-20)) - 寸法→圧入力!D$28*(1+寸法→圧入力!D$33*10^-6*(テーブル4[[#This Row],[inner温度'[℃']]]+S$3-20))</f>
        <v>-4.4797125000002325E-3</v>
      </c>
      <c r="T37" s="22">
        <f>寸法→圧入力!F$13*(1+寸法→圧入力!D$18*10^-6*(テーブル4[[#This Row],[inner温度'[℃']]]-20)) - 寸法→圧入力!D$28*(1+寸法→圧入力!D$33*10^-6*(テーブル4[[#This Row],[inner温度'[℃']]]+T$3-20))</f>
        <v>-1.0779712500003313E-2</v>
      </c>
      <c r="U37" s="22">
        <f>寸法→圧入力!F$13*(1+寸法→圧入力!D$18*10^-6*(テーブル4[[#This Row],[inner温度'[℃']]]-20)) - 寸法→圧入力!D$28*(1+寸法→圧入力!D$33*10^-6*(テーブル4[[#This Row],[inner温度'[℃']]]+U$3-20))</f>
        <v>-1.7079712500006394E-2</v>
      </c>
      <c r="V37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21.434320643075782</v>
      </c>
      <c r="W37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14.917218983581082</v>
      </c>
      <c r="X37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8.4001173240900577</v>
      </c>
      <c r="Y37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1.8830156646027087</v>
      </c>
      <c r="Z37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-4.6340859948883146</v>
      </c>
      <c r="AA37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-11.151187654383014</v>
      </c>
      <c r="AB37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-17.668289313877715</v>
      </c>
      <c r="AC37" s="11">
        <f>テーブル4[[#This Row],[半径方向応力:Δ-30℃]]*2*寸法→圧入力!D$13^2/(寸法→圧入力!D$13^2-寸法→圧入力!F$14^2)</f>
        <v>57.394753475781627</v>
      </c>
      <c r="AD37" s="11">
        <f>テーブル4[[#This Row],[半径方向応力:Δ-20℃]]*2*寸法→圧入力!D$13^2/(寸法→圧入力!D$13^2-寸法→圧入力!F$14^2)</f>
        <v>39.943888139205669</v>
      </c>
      <c r="AE37" s="11">
        <f>テーブル4[[#This Row],[半径方向応力:Δ-10℃]]*2*寸法→圧入力!D$13^2/(寸法→圧入力!D$13^2-寸法→圧入力!F$14^2)</f>
        <v>22.493022802639558</v>
      </c>
      <c r="AF37" s="11">
        <f>テーブル4[[#This Row],[半径方向応力:Δ0℃]]*2*寸法→圧入力!D$13^2/(寸法→圧入力!D$13^2-寸法→圧入力!F$14^2)</f>
        <v>5.0421574660832817</v>
      </c>
      <c r="AG37" s="11">
        <f>テーブル4[[#This Row],[半径方向応力:Δ+10℃]]*2*寸法→圧入力!D$13^2/(寸法→圧入力!D$13^2-寸法→圧入力!F$14^2)</f>
        <v>-12.408707870482832</v>
      </c>
      <c r="AH37" s="11">
        <f>テーブル4[[#This Row],[半径方向応力:Δ+20℃]]*2*寸法→圧入力!D$13^2/(寸法→圧入力!D$13^2-寸法→圧入力!F$14^2)</f>
        <v>-29.859573207058787</v>
      </c>
      <c r="AI37" s="11">
        <f>テーブル4[[#This Row],[半径方向応力:Δ+30℃]]*2*寸法→圧入力!D$13^2/(寸法→圧入力!D$13^2-寸法→圧入力!F$14^2)</f>
        <v>-47.310438543634746</v>
      </c>
      <c r="AJ37" s="11">
        <f>寸法→圧入力!$D$19</f>
        <v>345</v>
      </c>
      <c r="AK37" s="11">
        <f>テーブル4[[#This Row],[半径方向応力:Δ-30℃]]* (1+(寸法→圧入力!D$29/寸法→圧入力!F$28)^2)/((寸法→圧入力!D$29/寸法→圧入力!F$28)^2-1)</f>
        <v>58.72184851435744</v>
      </c>
      <c r="AL37" s="11">
        <f>テーブル4[[#This Row],[半径方向応力:Δ-20℃]]* (1+(寸法→圧入力!D$29/寸法→圧入力!F$28)^2)/((寸法→圧入力!D$29/寸法→圧入力!F$28)^2-1)</f>
        <v>40.867480149986498</v>
      </c>
      <c r="AM37" s="11">
        <f>テーブル4[[#This Row],[半径方向応力:Δ-10℃]]* (1+(寸法→圧入力!D$29/寸法→圧入力!F$28)^2)/((寸法→圧入力!D$29/寸法→圧入力!F$28)^2-1)</f>
        <v>23.013111785625625</v>
      </c>
      <c r="AN37" s="11">
        <f>テーブル4[[#This Row],[半径方向応力:Δ0℃]]* (1+(寸法→圧入力!D$29/寸法→圧入力!F$28)^2)/((寸法→圧入力!D$29/寸法→圧入力!F$28)^2-1)</f>
        <v>5.1587434212748242</v>
      </c>
      <c r="AO37" s="11">
        <f>テーブル4[[#This Row],[半径方向応力:Δ+10℃]]* (1+(寸法→圧入力!D$29/寸法→圧入力!F$28)^2)/((寸法→圧入力!D$29/寸法→圧入力!F$28)^2-1)</f>
        <v>-12.695624943086044</v>
      </c>
      <c r="AP37" s="11">
        <f>テーブル4[[#This Row],[半径方向応力:Δ+20℃]]* (1+(寸法→圧入力!D$29/寸法→圧入力!F$28)^2)/((寸法→圧入力!D$29/寸法→圧入力!F$28)^2-1)</f>
        <v>-30.549993307456976</v>
      </c>
      <c r="AQ37" s="11">
        <f>テーブル4[[#This Row],[半径方向応力:Δ+30℃]]* (1+(寸法→圧入力!D$29/寸法→圧入力!F$28)^2)/((寸法→圧入力!D$29/寸法→圧入力!F$28)^2-1)</f>
        <v>-48.404361671827921</v>
      </c>
      <c r="AR37" s="11">
        <f>寸法→圧入力!$D$34</f>
        <v>150</v>
      </c>
      <c r="AU37" s="152"/>
      <c r="AV37" s="151">
        <f t="shared" si="6"/>
        <v>20</v>
      </c>
      <c r="AW37" s="160">
        <f>(AW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39.829330254864146</v>
      </c>
      <c r="AX37" s="160">
        <f>(AX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36.220276599715689</v>
      </c>
      <c r="AY37" s="160">
        <f>(AY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32.611222944567217</v>
      </c>
      <c r="AZ37" s="160">
        <f>(AZ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29.002169289418763</v>
      </c>
      <c r="BA37" s="160">
        <f>(BA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25.393115634270295</v>
      </c>
      <c r="BB37" s="160">
        <f>(BB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21.784061979121834</v>
      </c>
      <c r="BC37" s="161">
        <f>(BC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18.175008323973369</v>
      </c>
      <c r="BD37" s="165">
        <f>(BD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14.565954668824904</v>
      </c>
      <c r="BE37" s="162">
        <f>(BE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10.956901013676442</v>
      </c>
      <c r="BF37" s="160">
        <f>(BF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7.3478473585279795</v>
      </c>
      <c r="BG37" s="160">
        <f>(BG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3.7387937033795149</v>
      </c>
      <c r="BH37" s="160">
        <f>(BH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0.12974004823105295</v>
      </c>
      <c r="BI37" s="160">
        <f>(BI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-3.4793136069174087</v>
      </c>
      <c r="BJ37" s="160">
        <f>(BJ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-7.0883672620658764</v>
      </c>
      <c r="BK37" s="160">
        <f>(BK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-10.697420917214336</v>
      </c>
      <c r="BL37" s="160">
        <f>(BL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-14.306474572362799</v>
      </c>
      <c r="BM37" s="160">
        <f>(BM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-17.915528227511263</v>
      </c>
      <c r="BN37" s="160">
        <f>(BN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-21.524581882659724</v>
      </c>
      <c r="BO37" s="160">
        <f>(BO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-25.133635537808189</v>
      </c>
      <c r="BP37" s="160">
        <f>(BP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-28.742689192956657</v>
      </c>
      <c r="BQ37" s="160">
        <f>(BQ12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-32.351742848105118</v>
      </c>
    </row>
    <row r="38" spans="1:69" x14ac:dyDescent="0.7">
      <c r="A38" s="22">
        <f t="shared" si="1"/>
        <v>0.32</v>
      </c>
      <c r="B38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315.47579687798776</v>
      </c>
      <c r="C38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323.50060774440004</v>
      </c>
      <c r="D38" s="11">
        <f>(A38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331.02738587893396</v>
      </c>
      <c r="E38" s="11">
        <f>テーブル3[[#This Row],[半径方向応力min]]*寸法→圧入力!D$43*寸法→圧入力!D$5/1000</f>
        <v>36.69123573179489</v>
      </c>
      <c r="F38" s="11">
        <f>テーブル3[[#This Row],[半径方向応力min]]*寸法→圧入力!E$43*寸法→圧入力!E$5/1000</f>
        <v>46.848819278033908</v>
      </c>
      <c r="G38" s="11">
        <f>テーブル3[[#This Row],[半径方向応力min]]*寸法→圧入力!F$43*寸法→圧入力!F$5/1000</f>
        <v>57.411413445330908</v>
      </c>
      <c r="H38" s="11">
        <f>寸法→圧入力!$D$19</f>
        <v>345</v>
      </c>
      <c r="I38" s="11">
        <f>寸法→圧入力!$D$34</f>
        <v>150</v>
      </c>
      <c r="J38" s="11">
        <f>テーブル3[[#This Row],[半径方向応力nor]]*2*寸法→圧入力!E$13^2/(寸法→圧入力!E$13^2-寸法→圧入力!E$14^2)</f>
        <v>862.28543224611042</v>
      </c>
      <c r="K38" s="11">
        <f>テーブル3[[#This Row],[半径方向応力nor]]* (1+(寸法→圧入力!E$29/寸法→圧入力!E$28)^2)/((寸法→圧入力!E$29/寸法→圧入力!E$28)^2-1)</f>
        <v>841.41224945097792</v>
      </c>
      <c r="N38">
        <f t="shared" si="3"/>
        <v>110</v>
      </c>
      <c r="O38" s="22">
        <f>寸法→圧入力!F$13*(1+寸法→圧入力!D$18*10^-6*(テーブル4[[#This Row],[inner温度'[℃']]]-20)) - 寸法→圧入力!D$28*(1+寸法→圧入力!D$33*10^-6*(テーブル4[[#This Row],[inner温度'[℃']]]+O$3-20))</f>
        <v>1.9356774999998549E-2</v>
      </c>
      <c r="P38" s="22">
        <f>寸法→圧入力!F$13*(1+寸法→圧入力!D$18*10^-6*(テーブル4[[#This Row],[inner温度'[℃']]]-20)) - 寸法→圧入力!D$28*(1+寸法→圧入力!D$33*10^-6*(テーブル4[[#This Row],[inner温度'[℃']]]+P$3-20))</f>
        <v>1.3056774999995469E-2</v>
      </c>
      <c r="Q38" s="22">
        <f>寸法→圧入力!F$13*(1+寸法→圧入力!D$18*10^-6*(テーブル4[[#This Row],[inner温度'[℃']]]-20)) - 寸法→圧入力!D$28*(1+寸法→圧入力!D$33*10^-6*(テーブル4[[#This Row],[inner温度'[℃']]]+Q$3-20))</f>
        <v>6.7567750000030458E-3</v>
      </c>
      <c r="R38" s="22">
        <f>寸法→圧入力!F$13*(1+寸法→圧入力!D$18*10^-6*(テーブル4[[#This Row],[inner温度'[℃']]]-20)) - 寸法→圧入力!D$28*(1+寸法→圧入力!D$33*10^-6*(テーブル4[[#This Row],[inner温度'[℃']]]+R$3-20))</f>
        <v>4.5677499999996485E-4</v>
      </c>
      <c r="S38" s="22">
        <f>寸法→圧入力!F$13*(1+寸法→圧入力!D$18*10^-6*(テーブル4[[#This Row],[inner温度'[℃']]]-20)) - 寸法→圧入力!D$28*(1+寸法→圧入力!D$33*10^-6*(テーブル4[[#This Row],[inner温度'[℃']]]+S$3-20))</f>
        <v>-5.8432249999995634E-3</v>
      </c>
      <c r="T38" s="22">
        <f>寸法→圧入力!F$13*(1+寸法→圧入力!D$18*10^-6*(テーブル4[[#This Row],[inner温度'[℃']]]-20)) - 寸法→圧入力!D$28*(1+寸法→圧入力!D$33*10^-6*(テーブル4[[#This Row],[inner温度'[℃']]]+T$3-20))</f>
        <v>-1.2143225000002644E-2</v>
      </c>
      <c r="U38" s="22">
        <f>寸法→圧入力!F$13*(1+寸法→圧入力!D$18*10^-6*(テーブル4[[#This Row],[inner温度'[℃']]]-20)) - 寸法→圧入力!D$28*(1+寸法→圧入力!D$33*10^-6*(テーブル4[[#This Row],[inner温度'[℃']]]+U$3-20))</f>
        <v>-1.8443225000002172E-2</v>
      </c>
      <c r="V38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20.023820710300694</v>
      </c>
      <c r="W38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13.506719050805993</v>
      </c>
      <c r="X38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6.9896173913223185</v>
      </c>
      <c r="Y38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0.47251573182762008</v>
      </c>
      <c r="Z38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-6.0445859276634044</v>
      </c>
      <c r="AA38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-12.561687587158104</v>
      </c>
      <c r="AB38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-19.078789246649126</v>
      </c>
      <c r="AC38" s="11">
        <f>テーブル4[[#This Row],[半径方向応力:Δ-30℃]]*2*寸法→圧入力!D$13^2/(寸法→圧入力!D$13^2-寸法→圧入力!F$14^2)</f>
        <v>53.617852996065011</v>
      </c>
      <c r="AD38" s="11">
        <f>テーブル4[[#This Row],[半径方向応力:Δ-20℃]]*2*寸法→圧入力!D$13^2/(寸法→圧入力!D$13^2-寸法→圧入力!F$14^2)</f>
        <v>36.166987659489052</v>
      </c>
      <c r="AE38" s="11">
        <f>テーブル4[[#This Row],[半径方向応力:Δ-10℃]]*2*寸法→圧入力!D$13^2/(寸法→圧入力!D$13^2-寸法→圧入力!F$14^2)</f>
        <v>18.716122322942617</v>
      </c>
      <c r="AF38" s="11">
        <f>テーブル4[[#This Row],[半径方向応力:Δ0℃]]*2*寸法→圧入力!D$13^2/(寸法→圧入力!D$13^2-寸法→圧入力!F$14^2)</f>
        <v>1.2652569863666621</v>
      </c>
      <c r="AG38" s="11">
        <f>テーブル4[[#This Row],[半径方向応力:Δ+10℃]]*2*寸法→圧入力!D$13^2/(寸法→圧入力!D$13^2-寸法→圧入力!F$14^2)</f>
        <v>-16.185608350199455</v>
      </c>
      <c r="AH38" s="11">
        <f>テーブル4[[#This Row],[半径方向応力:Δ+20℃]]*2*寸法→圧入力!D$13^2/(寸法→圧入力!D$13^2-寸法→圧入力!F$14^2)</f>
        <v>-33.63647368677541</v>
      </c>
      <c r="AI38" s="11">
        <f>テーブル4[[#This Row],[半径方向応力:Δ+30℃]]*2*寸法→圧入力!D$13^2/(寸法→圧入力!D$13^2-寸法→圧入力!F$14^2)</f>
        <v>-51.087339023341521</v>
      </c>
      <c r="AJ38" s="11">
        <f>寸法→圧入力!$D$19</f>
        <v>345</v>
      </c>
      <c r="AK38" s="11">
        <f>テーブル4[[#This Row],[半径方向応力:Δ-30℃]]* (1+(寸法→圧入力!D$29/寸法→圧入力!F$28)^2)/((寸法→圧入力!D$29/寸法→圧入力!F$28)^2-1)</f>
        <v>54.85761765016688</v>
      </c>
      <c r="AL38" s="11">
        <f>テーブル4[[#This Row],[半径方向応力:Δ-20℃]]* (1+(寸法→圧入力!D$29/寸法→圧入力!F$28)^2)/((寸法→圧入力!D$29/寸法→圧入力!F$28)^2-1)</f>
        <v>37.003249285795945</v>
      </c>
      <c r="AM38" s="11">
        <f>テーブル4[[#This Row],[半径方向応力:Δ-10℃]]* (1+(寸法→圧入力!D$29/寸法→圧入力!F$28)^2)/((寸法→圧入力!D$29/寸法→圧入力!F$28)^2-1)</f>
        <v>19.148880921455209</v>
      </c>
      <c r="AN38" s="11">
        <f>テーブル4[[#This Row],[半径方向応力:Δ0℃]]* (1+(寸法→圧入力!D$29/寸法→圧入力!F$28)^2)/((寸法→圧入力!D$29/寸法→圧入力!F$28)^2-1)</f>
        <v>1.294512557084273</v>
      </c>
      <c r="AO38" s="11">
        <f>テーブル4[[#This Row],[半径方向応力:Δ+10℃]]* (1+(寸法→圧入力!D$29/寸法→圧入力!F$28)^2)/((寸法→圧入力!D$29/寸法→圧入力!F$28)^2-1)</f>
        <v>-16.559855807276598</v>
      </c>
      <c r="AP38" s="11">
        <f>テーブル4[[#This Row],[半径方向応力:Δ+20℃]]* (1+(寸法→圧入力!D$29/寸法→圧入力!F$28)^2)/((寸法→圧入力!D$29/寸法→圧入力!F$28)^2-1)</f>
        <v>-34.41422417164754</v>
      </c>
      <c r="AQ38" s="11">
        <f>テーブル4[[#This Row],[半径方向応力:Δ+30℃]]* (1+(寸法→圧入力!D$29/寸法→圧入力!F$28)^2)/((寸法→圧入力!D$29/寸法→圧入力!F$28)^2-1)</f>
        <v>-52.268592536008406</v>
      </c>
      <c r="AR38" s="11">
        <f>寸法→圧入力!$D$34</f>
        <v>150</v>
      </c>
      <c r="AU38" s="152"/>
      <c r="AV38" s="151">
        <f t="shared" si="6"/>
        <v>30</v>
      </c>
      <c r="AW38" s="160">
        <f>(AW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46.198248469832023</v>
      </c>
      <c r="AX38" s="160">
        <f>(AX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42.589194814683566</v>
      </c>
      <c r="AY38" s="160">
        <f>(AY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38.980141159535094</v>
      </c>
      <c r="AZ38" s="160">
        <f>(AZ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35.371087504386637</v>
      </c>
      <c r="BA38" s="160">
        <f>(BA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31.762033849238172</v>
      </c>
      <c r="BB38" s="160">
        <f>(BB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28.152980194089711</v>
      </c>
      <c r="BC38" s="160">
        <f>(BC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24.543926538941243</v>
      </c>
      <c r="BD38" s="164">
        <f>(BD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20.934872883792782</v>
      </c>
      <c r="BE38" s="160">
        <f>(BE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17.32581922864432</v>
      </c>
      <c r="BF38" s="160">
        <f>(BF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13.716765573495854</v>
      </c>
      <c r="BG38" s="160">
        <f>(BG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10.107711918347391</v>
      </c>
      <c r="BH38" s="160">
        <f>(BH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6.4986582631989291</v>
      </c>
      <c r="BI38" s="160">
        <f>(BI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2.8896046080504676</v>
      </c>
      <c r="BJ38" s="160">
        <f>(BJ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-0.71944904709799773</v>
      </c>
      <c r="BK38" s="160">
        <f>(BK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-4.3285027022464595</v>
      </c>
      <c r="BL38" s="160">
        <f>(BL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-7.9375563573949224</v>
      </c>
      <c r="BM38" s="160">
        <f>(BM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-11.546610012543383</v>
      </c>
      <c r="BN38" s="160">
        <f>(BN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-15.155663667691851</v>
      </c>
      <c r="BO38" s="160">
        <f>(BO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-18.764717322840323</v>
      </c>
      <c r="BP38" s="160">
        <f>(BP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-22.37377097798878</v>
      </c>
      <c r="BQ38" s="160">
        <f>(BQ13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-25.982824633137241</v>
      </c>
    </row>
    <row r="39" spans="1:69" x14ac:dyDescent="0.7">
      <c r="A39" s="22">
        <f t="shared" ref="A39:A56" si="7">$A$6+($A$3*(ROW(A39)-ROW($A$6)))</f>
        <v>0.33</v>
      </c>
      <c r="B39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325.33441553042491</v>
      </c>
      <c r="C39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333.61000173641264</v>
      </c>
      <c r="D39" s="11">
        <f>(A39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341.37199168765068</v>
      </c>
      <c r="E39" s="11">
        <f>テーブル3[[#This Row],[半径方向応力min]]*寸法→圧入力!D$43*寸法→圧入力!D$5/1000</f>
        <v>37.837836848413474</v>
      </c>
      <c r="F39" s="11">
        <f>テーブル3[[#This Row],[半径方向応力min]]*寸法→圧入力!E$43*寸法→圧入力!E$5/1000</f>
        <v>48.312844880472475</v>
      </c>
      <c r="G39" s="11">
        <f>テーブル3[[#This Row],[半径方向応力min]]*寸法→圧入力!F$43*寸法→圧入力!F$5/1000</f>
        <v>59.205520115497499</v>
      </c>
      <c r="H39" s="11">
        <f>寸法→圧入力!$D$19</f>
        <v>345</v>
      </c>
      <c r="I39" s="11">
        <f>寸法→圧入力!$D$34</f>
        <v>150</v>
      </c>
      <c r="J39" s="11">
        <f>テーブル3[[#This Row],[半径方向応力nor]]*2*寸法→圧入力!E$13^2/(寸法→圧入力!E$13^2-寸法→圧入力!E$14^2)</f>
        <v>889.23185200380181</v>
      </c>
      <c r="K39" s="11">
        <f>テーブル3[[#This Row],[半径方向応力nor]]* (1+(寸法→圧入力!E$29/寸法→圧入力!E$28)^2)/((寸法→圧入力!E$29/寸法→圧入力!E$28)^2-1)</f>
        <v>867.70638224632125</v>
      </c>
      <c r="N39">
        <f t="shared" si="3"/>
        <v>115</v>
      </c>
      <c r="O39" s="22">
        <f>寸法→圧入力!F$13*(1+寸法→圧入力!D$18*10^-6*(テーブル4[[#This Row],[inner温度'[℃']]]-20)) - 寸法→圧入力!D$28*(1+寸法→圧入力!D$33*10^-6*(テーブル4[[#This Row],[inner温度'[℃']]]+O$3-20))</f>
        <v>1.7993262499995666E-2</v>
      </c>
      <c r="P39" s="22">
        <f>寸法→圧入力!F$13*(1+寸法→圧入力!D$18*10^-6*(テーブル4[[#This Row],[inner温度'[℃']]]-20)) - 寸法→圧入力!D$28*(1+寸法→圧入力!D$33*10^-6*(テーブル4[[#This Row],[inner温度'[℃']]]+P$3-20))</f>
        <v>1.1693262499996138E-2</v>
      </c>
      <c r="Q39" s="22">
        <f>寸法→圧入力!F$13*(1+寸法→圧入力!D$18*10^-6*(テーブル4[[#This Row],[inner温度'[℃']]]-20)) - 寸法→圧入力!D$28*(1+寸法→圧入力!D$33*10^-6*(テーブル4[[#This Row],[inner温度'[℃']]]+Q$3-20))</f>
        <v>5.3932625000001622E-3</v>
      </c>
      <c r="R39" s="22">
        <f>寸法→圧入力!F$13*(1+寸法→圧入力!D$18*10^-6*(テーブル4[[#This Row],[inner温度'[℃']]]-20)) - 寸法→圧入力!D$28*(1+寸法→圧入力!D$33*10^-6*(テーブル4[[#This Row],[inner温度'[℃']]]+R$3-20))</f>
        <v>-9.0673749999936604E-4</v>
      </c>
      <c r="S39" s="22">
        <f>寸法→圧入力!F$13*(1+寸法→圧入力!D$18*10^-6*(テーブル4[[#This Row],[inner温度'[℃']]]-20)) - 寸法→圧入力!D$28*(1+寸法→圧入力!D$33*10^-6*(テーブル4[[#This Row],[inner温度'[℃']]]+S$3-20))</f>
        <v>-7.206737500002447E-3</v>
      </c>
      <c r="T39" s="22">
        <f>寸法→圧入力!F$13*(1+寸法→圧入力!D$18*10^-6*(テーブル4[[#This Row],[inner温度'[℃']]]-20)) - 寸法→圧入力!D$28*(1+寸法→圧入力!D$33*10^-6*(テーブル4[[#This Row],[inner温度'[℃']]]+T$3-20))</f>
        <v>-1.3506737500005528E-2</v>
      </c>
      <c r="U39" s="22">
        <f>寸法→圧入力!F$13*(1+寸法→圧入力!D$18*10^-6*(テーブル4[[#This Row],[inner温度'[℃']]]-20)) - 寸法→圧入力!D$28*(1+寸法→圧入力!D$33*10^-6*(テーブル4[[#This Row],[inner温度'[℃']]]+U$3-20))</f>
        <v>-1.9806737500005056E-2</v>
      </c>
      <c r="V39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18.613320777521928</v>
      </c>
      <c r="W39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12.096219118030904</v>
      </c>
      <c r="X39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5.5791174585435552</v>
      </c>
      <c r="Y39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-0.9379842009474687</v>
      </c>
      <c r="Z39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-7.4550858604421677</v>
      </c>
      <c r="AA39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-13.972187519936867</v>
      </c>
      <c r="AB39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-20.489289179427892</v>
      </c>
      <c r="AC39" s="11">
        <f>テーブル4[[#This Row],[半径方向応力:Δ-30℃]]*2*寸法→圧入力!D$13^2/(寸法→圧入力!D$13^2-寸法→圧入力!F$14^2)</f>
        <v>49.840952516338547</v>
      </c>
      <c r="AD39" s="11">
        <f>テーブル4[[#This Row],[半径方向応力:Δ-20℃]]*2*寸法→圧入力!D$13^2/(寸法→圧入力!D$13^2-寸法→圧入力!F$14^2)</f>
        <v>32.390087179772429</v>
      </c>
      <c r="AE39" s="11">
        <f>テーブル4[[#This Row],[半径方向応力:Δ-10℃]]*2*寸法→圧入力!D$13^2/(寸法→圧入力!D$13^2-寸法→圧入力!F$14^2)</f>
        <v>14.939221843216156</v>
      </c>
      <c r="AF39" s="11">
        <f>テーブル4[[#This Row],[半径方向応力:Δ0℃]]*2*寸法→圧入力!D$13^2/(寸法→圧入力!D$13^2-寸法→圧入力!F$14^2)</f>
        <v>-2.5116434933499585</v>
      </c>
      <c r="AG39" s="11">
        <f>テーブル4[[#This Row],[半径方向応力:Δ+10℃]]*2*寸法→圧入力!D$13^2/(寸法→圧入力!D$13^2-寸法→圧入力!F$14^2)</f>
        <v>-19.962508829925913</v>
      </c>
      <c r="AH39" s="11">
        <f>テーブル4[[#This Row],[半径方向応力:Δ+20℃]]*2*寸法→圧入力!D$13^2/(寸法→圧入力!D$13^2-寸法→圧入力!F$14^2)</f>
        <v>-37.413374166501875</v>
      </c>
      <c r="AI39" s="11">
        <f>テーブル4[[#This Row],[半径方向応力:Δ+30℃]]*2*寸法→圧入力!D$13^2/(寸法→圧入力!D$13^2-寸法→圧入力!F$14^2)</f>
        <v>-54.864239503067992</v>
      </c>
      <c r="AJ39" s="11">
        <f>寸法→圧入力!$D$19</f>
        <v>345</v>
      </c>
      <c r="AK39" s="11">
        <f>テーブル4[[#This Row],[半径方向応力:Δ-30℃]]* (1+(寸法→圧入力!D$29/寸法→圧入力!F$28)^2)/((寸法→圧入力!D$29/寸法→圧入力!F$28)^2-1)</f>
        <v>50.993386785966258</v>
      </c>
      <c r="AL39" s="11">
        <f>テーブル4[[#This Row],[半径方向応力:Δ-20℃]]* (1+(寸法→圧入力!D$29/寸法→圧入力!F$28)^2)/((寸法→圧入力!D$29/寸法→圧入力!F$28)^2-1)</f>
        <v>33.139018421605392</v>
      </c>
      <c r="AM39" s="11">
        <f>テーブル4[[#This Row],[半径方向応力:Δ-10℃]]* (1+(寸法→圧入力!D$29/寸法→圧入力!F$28)^2)/((寸法→圧入力!D$29/寸法→圧入力!F$28)^2-1)</f>
        <v>15.28465005725459</v>
      </c>
      <c r="AN39" s="11">
        <f>テーブル4[[#This Row],[半径方向応力:Δ0℃]]* (1+(寸法→圧入力!D$29/寸法→圧入力!F$28)^2)/((寸法→圧入力!D$29/寸法→圧入力!F$28)^2-1)</f>
        <v>-2.5697183071062786</v>
      </c>
      <c r="AO39" s="11">
        <f>テーブル4[[#This Row],[半径方向応力:Δ+10℃]]* (1+(寸法→圧入力!D$29/寸法→圧入力!F$28)^2)/((寸法→圧入力!D$29/寸法→圧入力!F$28)^2-1)</f>
        <v>-20.424086671477216</v>
      </c>
      <c r="AP39" s="11">
        <f>テーブル4[[#This Row],[半径方向応力:Δ+20℃]]* (1+(寸法→圧入力!D$29/寸法→圧入力!F$28)^2)/((寸法→圧入力!D$29/寸法→圧入力!F$28)^2-1)</f>
        <v>-38.278455035848154</v>
      </c>
      <c r="AQ39" s="11">
        <f>テーブル4[[#This Row],[半径方向応力:Δ+30℃]]* (1+(寸法→圧入力!D$29/寸法→圧入力!F$28)^2)/((寸法→圧入力!D$29/寸法→圧入力!F$28)^2-1)</f>
        <v>-56.132823400209027</v>
      </c>
      <c r="AR39" s="11">
        <f>寸法→圧入力!$D$34</f>
        <v>150</v>
      </c>
      <c r="AU39" s="152"/>
      <c r="AV39" s="151">
        <f t="shared" si="6"/>
        <v>40</v>
      </c>
      <c r="AW39" s="160">
        <f>(AW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52.567166684799901</v>
      </c>
      <c r="AX39" s="160">
        <f>(AX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48.958113029651443</v>
      </c>
      <c r="AY39" s="160">
        <f>(AY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45.349059374502964</v>
      </c>
      <c r="AZ39" s="160">
        <f>(AZ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41.740005719354514</v>
      </c>
      <c r="BA39" s="160">
        <f>(BA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38.130952064206049</v>
      </c>
      <c r="BB39" s="160">
        <f>(BB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34.521898409057577</v>
      </c>
      <c r="BC39" s="160">
        <f>(BC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30.912844753909123</v>
      </c>
      <c r="BD39" s="160">
        <f>(BD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27.303791098760659</v>
      </c>
      <c r="BE39" s="160">
        <f>(BE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23.69473744361219</v>
      </c>
      <c r="BF39" s="160">
        <f>(BF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20.085683788463733</v>
      </c>
      <c r="BG39" s="160">
        <f>(BG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16.476630133315268</v>
      </c>
      <c r="BH39" s="160">
        <f>(BH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12.867576478166805</v>
      </c>
      <c r="BI39" s="160">
        <f>(BI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9.2585228230183425</v>
      </c>
      <c r="BJ39" s="160">
        <f>(BJ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5.649469167869877</v>
      </c>
      <c r="BK39" s="160">
        <f>(BK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2.0404155127214154</v>
      </c>
      <c r="BL39" s="160">
        <f>(BL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-1.5686381424270466</v>
      </c>
      <c r="BM39" s="160">
        <f>(BM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-5.1776917975755063</v>
      </c>
      <c r="BN39" s="160">
        <f>(BN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-8.7867454527239701</v>
      </c>
      <c r="BO39" s="160">
        <f>(BO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-12.395799107872438</v>
      </c>
      <c r="BP39" s="160">
        <f>(BP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-16.004852763020903</v>
      </c>
      <c r="BQ39" s="160">
        <f>(BQ14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-19.613906418169364</v>
      </c>
    </row>
    <row r="40" spans="1:69" x14ac:dyDescent="0.7">
      <c r="A40" s="22">
        <f t="shared" si="7"/>
        <v>0.34</v>
      </c>
      <c r="B40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335.19303418286199</v>
      </c>
      <c r="C40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343.71939572842513</v>
      </c>
      <c r="D40" s="11">
        <f>(A40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351.71659749636734</v>
      </c>
      <c r="E40" s="11">
        <f>テーブル3[[#This Row],[半径方向応力min]]*寸法→圧入力!D$43*寸法→圧入力!D$5/1000</f>
        <v>38.984437965032065</v>
      </c>
      <c r="F40" s="11">
        <f>テーブル3[[#This Row],[半径方向応力min]]*寸法→圧入力!E$43*寸法→圧入力!E$5/1000</f>
        <v>49.776870482911029</v>
      </c>
      <c r="G40" s="11">
        <f>テーブル3[[#This Row],[半径方向応力min]]*寸法→圧入力!F$43*寸法→圧入力!F$5/1000</f>
        <v>60.999626785664084</v>
      </c>
      <c r="H40" s="11">
        <f>寸法→圧入力!$D$19</f>
        <v>345</v>
      </c>
      <c r="I40" s="11">
        <f>寸法→圧入力!$D$34</f>
        <v>150</v>
      </c>
      <c r="J40" s="11">
        <f>テーブル3[[#This Row],[半径方向応力nor]]*2*寸法→圧入力!E$13^2/(寸法→圧入力!E$13^2-寸法→圧入力!E$14^2)</f>
        <v>916.17827176149274</v>
      </c>
      <c r="K40" s="11">
        <f>テーブル3[[#This Row],[半径方向応力nor]]* (1+(寸法→圧入力!E$29/寸法→圧入力!E$28)^2)/((寸法→圧入力!E$29/寸法→圧入力!E$28)^2-1)</f>
        <v>894.00051504166413</v>
      </c>
      <c r="N40">
        <f t="shared" si="3"/>
        <v>120</v>
      </c>
      <c r="O40" s="22">
        <f>寸法→圧入力!F$13*(1+寸法→圧入力!D$18*10^-6*(テーブル4[[#This Row],[inner温度'[℃']]]-20)) - 寸法→圧入力!D$28*(1+寸法→圧入力!D$33*10^-6*(テーブル4[[#This Row],[inner温度'[℃']]]+O$3-20))</f>
        <v>1.6629749999996335E-2</v>
      </c>
      <c r="P40" s="22">
        <f>寸法→圧入力!F$13*(1+寸法→圧入力!D$18*10^-6*(テーブル4[[#This Row],[inner温度'[℃']]]-20)) - 寸法→圧入力!D$28*(1+寸法→圧入力!D$33*10^-6*(テーブル4[[#This Row],[inner温度'[℃']]]+P$3-20))</f>
        <v>1.0329750000003912E-2</v>
      </c>
      <c r="Q40" s="22">
        <f>寸法→圧入力!F$13*(1+寸法→圧入力!D$18*10^-6*(テーブル4[[#This Row],[inner温度'[℃']]]-20)) - 寸法→圧入力!D$28*(1+寸法→圧入力!D$33*10^-6*(テーブル4[[#This Row],[inner温度'[℃']]]+Q$3-20))</f>
        <v>4.0297500000008313E-3</v>
      </c>
      <c r="R40" s="22">
        <f>寸法→圧入力!F$13*(1+寸法→圧入力!D$18*10^-6*(テーブル4[[#This Row],[inner温度'[℃']]]-20)) - 寸法→圧入力!D$28*(1+寸法→圧入力!D$33*10^-6*(テーブル4[[#This Row],[inner温度'[℃']]]+R$3-20))</f>
        <v>-2.2702499999986969E-3</v>
      </c>
      <c r="S40" s="22">
        <f>寸法→圧入力!F$13*(1+寸法→圧入力!D$18*10^-6*(テーブル4[[#This Row],[inner温度'[℃']]]-20)) - 寸法→圧入力!D$28*(1+寸法→圧入力!D$33*10^-6*(テーブル4[[#This Row],[inner温度'[℃']]]+S$3-20))</f>
        <v>-8.5702500000017778E-3</v>
      </c>
      <c r="T40" s="22">
        <f>寸法→圧入力!F$13*(1+寸法→圧入力!D$18*10^-6*(テーブル4[[#This Row],[inner温度'[℃']]]-20)) - 寸法→圧入力!D$28*(1+寸法→圧入力!D$33*10^-6*(テーブル4[[#This Row],[inner温度'[℃']]]+T$3-20))</f>
        <v>-1.4870250000001306E-2</v>
      </c>
      <c r="U40" s="22">
        <f>寸法→圧入力!F$13*(1+寸法→圧入力!D$18*10^-6*(テーブル4[[#This Row],[inner温度'[℃']]]-20)) - 寸法→圧入力!D$28*(1+寸法→圧入力!D$33*10^-6*(テーブル4[[#This Row],[inner温度'[℃']]]+U$3-20))</f>
        <v>-2.1170249999997282E-2</v>
      </c>
      <c r="V40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17.202820844746839</v>
      </c>
      <c r="W40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10.685719185263165</v>
      </c>
      <c r="X40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4.1686175257684663</v>
      </c>
      <c r="Y40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-2.3484841337225575</v>
      </c>
      <c r="Z40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-8.8655857932172566</v>
      </c>
      <c r="AA40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-15.382687452708282</v>
      </c>
      <c r="AB40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-21.899789112195631</v>
      </c>
      <c r="AC40" s="11">
        <f>テーブル4[[#This Row],[半径方向応力:Δ-30℃]]*2*寸法→圧入力!D$13^2/(寸法→圧入力!D$13^2-寸法→圧入力!F$14^2)</f>
        <v>46.064052036621923</v>
      </c>
      <c r="AD40" s="11">
        <f>テーブル4[[#This Row],[半径方向応力:Δ-20℃]]*2*寸法→圧入力!D$13^2/(寸法→圧入力!D$13^2-寸法→圧入力!F$14^2)</f>
        <v>28.613186700075488</v>
      </c>
      <c r="AE40" s="11">
        <f>テーブル4[[#This Row],[半径方向応力:Δ-10℃]]*2*寸法→圧入力!D$13^2/(寸法→圧入力!D$13^2-寸法→圧入力!F$14^2)</f>
        <v>11.162321363499537</v>
      </c>
      <c r="AF40" s="11">
        <f>テーブル4[[#This Row],[半径方向応力:Δ0℃]]*2*寸法→圧入力!D$13^2/(寸法→圧入力!D$13^2-寸法→圧入力!F$14^2)</f>
        <v>-6.2885439730665782</v>
      </c>
      <c r="AG40" s="11">
        <f>テーブル4[[#This Row],[半径方向応力:Δ+10℃]]*2*寸法→圧入力!D$13^2/(寸法→圧入力!D$13^2-寸法→圧入力!F$14^2)</f>
        <v>-23.739409309642532</v>
      </c>
      <c r="AH40" s="11">
        <f>テーブル4[[#This Row],[半径方向応力:Δ+20℃]]*2*寸法→圧入力!D$13^2/(寸法→圧入力!D$13^2-寸法→圧入力!F$14^2)</f>
        <v>-41.19027464620865</v>
      </c>
      <c r="AI40" s="11">
        <f>テーブル4[[#This Row],[半径方向応力:Δ+30℃]]*2*寸法→圧入力!D$13^2/(寸法→圧入力!D$13^2-寸法→圧入力!F$14^2)</f>
        <v>-58.641139982764933</v>
      </c>
      <c r="AJ40" s="11">
        <f>寸法→圧入力!$D$19</f>
        <v>345</v>
      </c>
      <c r="AK40" s="11">
        <f>テーブル4[[#This Row],[半径方向応力:Δ-30℃]]* (1+(寸法→圧入力!D$29/寸法→圧入力!F$28)^2)/((寸法→圧入力!D$29/寸法→圧入力!F$28)^2-1)</f>
        <v>47.129155921775713</v>
      </c>
      <c r="AL40" s="11">
        <f>テーブル4[[#This Row],[半径方向応力:Δ-20℃]]* (1+(寸法→圧入力!D$29/寸法→圧入力!F$28)^2)/((寸法→圧入力!D$29/寸法→圧入力!F$28)^2-1)</f>
        <v>29.27478755743498</v>
      </c>
      <c r="AM40" s="11">
        <f>テーブル4[[#This Row],[半径方向応力:Δ-10℃]]* (1+(寸法→圧入力!D$29/寸法→圧入力!F$28)^2)/((寸法→圧入力!D$29/寸法→圧入力!F$28)^2-1)</f>
        <v>11.420419193064038</v>
      </c>
      <c r="AN40" s="11">
        <f>テーブル4[[#This Row],[半径方向応力:Δ0℃]]* (1+(寸法→圧入力!D$29/寸法→圧入力!F$28)^2)/((寸法→圧入力!D$29/寸法→圧入力!F$28)^2-1)</f>
        <v>-6.4339491712968311</v>
      </c>
      <c r="AO40" s="11">
        <f>テーブル4[[#This Row],[半径方向応力:Δ+10℃]]* (1+(寸法→圧入力!D$29/寸法→圧入力!F$28)^2)/((寸法→圧入力!D$29/寸法→圧入力!F$28)^2-1)</f>
        <v>-24.288317535667769</v>
      </c>
      <c r="AP40" s="11">
        <f>テーブル4[[#This Row],[半径方向応力:Δ+20℃]]* (1+(寸法→圧入力!D$29/寸法→圧入力!F$28)^2)/((寸法→圧入力!D$29/寸法→圧入力!F$28)^2-1)</f>
        <v>-42.142685900028646</v>
      </c>
      <c r="AQ40" s="11">
        <f>テーブル4[[#This Row],[半径方向応力:Δ+30℃]]* (1+(寸法→圧入力!D$29/寸法→圧入力!F$28)^2)/((寸法→圧入力!D$29/寸法→圧入力!F$28)^2-1)</f>
        <v>-59.997054264379443</v>
      </c>
      <c r="AR40" s="11">
        <f>寸法→圧入力!$D$34</f>
        <v>150</v>
      </c>
      <c r="AU40" s="152"/>
      <c r="AV40" s="151">
        <f t="shared" si="6"/>
        <v>50</v>
      </c>
      <c r="AW40" s="160">
        <f>(AW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58.936084899767778</v>
      </c>
      <c r="AX40" s="160">
        <f>(AX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55.327031244619313</v>
      </c>
      <c r="AY40" s="160">
        <f>(AY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51.717977589470848</v>
      </c>
      <c r="AZ40" s="160">
        <f>(AZ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48.108923934322384</v>
      </c>
      <c r="BA40" s="160">
        <f>(BA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44.499870279173919</v>
      </c>
      <c r="BB40" s="160">
        <f>(BB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40.890816624025454</v>
      </c>
      <c r="BC40" s="160">
        <f>(BC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37.281762968876997</v>
      </c>
      <c r="BD40" s="160">
        <f>(BD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33.672709313728532</v>
      </c>
      <c r="BE40" s="160">
        <f>(BE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30.063655658580071</v>
      </c>
      <c r="BF40" s="160">
        <f>(BF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26.45460200343161</v>
      </c>
      <c r="BG40" s="160">
        <f>(BG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22.845548348283142</v>
      </c>
      <c r="BH40" s="160">
        <f>(BH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19.236494693134681</v>
      </c>
      <c r="BI40" s="160">
        <f>(BI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15.627441037986218</v>
      </c>
      <c r="BJ40" s="160">
        <f>(BJ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12.018387382837751</v>
      </c>
      <c r="BK40" s="160">
        <f>(BK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8.4093337276892903</v>
      </c>
      <c r="BL40" s="160">
        <f>(BL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4.8002800725408283</v>
      </c>
      <c r="BM40" s="160">
        <f>(BM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1.1912264173923663</v>
      </c>
      <c r="BN40" s="160">
        <f>(BN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-2.4178272377560974</v>
      </c>
      <c r="BO40" s="160">
        <f>(BO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-6.0268808929045639</v>
      </c>
      <c r="BP40" s="160">
        <f>(BP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-9.6359345480530276</v>
      </c>
      <c r="BQ40" s="160">
        <f>(BQ15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-13.244988203201492</v>
      </c>
    </row>
    <row r="41" spans="1:69" x14ac:dyDescent="0.7">
      <c r="A41" s="22">
        <f t="shared" si="7"/>
        <v>0.35000000000000003</v>
      </c>
      <c r="B41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345.05165283529914</v>
      </c>
      <c r="C41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353.82878972043761</v>
      </c>
      <c r="D41" s="11">
        <f>(A41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362.06120330508401</v>
      </c>
      <c r="E41" s="11">
        <f>テーブル3[[#This Row],[半径方向応力min]]*寸法→圧入力!D$43*寸法→圧入力!D$5/1000</f>
        <v>40.131039081650663</v>
      </c>
      <c r="F41" s="11">
        <f>テーブル3[[#This Row],[半径方向応力min]]*寸法→圧入力!E$43*寸法→圧入力!E$5/1000</f>
        <v>51.24089608534959</v>
      </c>
      <c r="G41" s="11">
        <f>テーブル3[[#This Row],[半径方向応力min]]*寸法→圧入力!F$43*寸法→圧入力!F$5/1000</f>
        <v>62.793733455830683</v>
      </c>
      <c r="H41" s="11">
        <f>寸法→圧入力!$D$19</f>
        <v>345</v>
      </c>
      <c r="I41" s="11">
        <f>寸法→圧入力!$D$34</f>
        <v>150</v>
      </c>
      <c r="J41" s="11">
        <f>テーブル3[[#This Row],[半径方向応力nor]]*2*寸法→圧入力!E$13^2/(寸法→圧入力!E$13^2-寸法→圧入力!E$14^2)</f>
        <v>943.12469151918356</v>
      </c>
      <c r="K41" s="11">
        <f>テーブル3[[#This Row],[半径方向応力nor]]* (1+(寸法→圧入力!E$29/寸法→圧入力!E$28)^2)/((寸法→圧入力!E$29/寸法→圧入力!E$28)^2-1)</f>
        <v>920.29464783700723</v>
      </c>
      <c r="N41">
        <f t="shared" si="3"/>
        <v>125</v>
      </c>
      <c r="O41" s="22">
        <f>寸法→圧入力!F$13*(1+寸法→圧入力!D$18*10^-6*(テーブル4[[#This Row],[inner温度'[℃']]]-20)) - 寸法→圧入力!D$28*(1+寸法→圧入力!D$33*10^-6*(テーブル4[[#This Row],[inner温度'[℃']]]+O$3-20))</f>
        <v>1.5266237499993451E-2</v>
      </c>
      <c r="P41" s="22">
        <f>寸法→圧入力!F$13*(1+寸法→圧入力!D$18*10^-6*(テーブル4[[#This Row],[inner温度'[℃']]]-20)) - 寸法→圧入力!D$28*(1+寸法→圧入力!D$33*10^-6*(テーブル4[[#This Row],[inner温度'[℃']]]+P$3-20))</f>
        <v>8.9662374999974759E-3</v>
      </c>
      <c r="Q41" s="22">
        <f>寸法→圧入力!F$13*(1+寸法→圧入力!D$18*10^-6*(テーブル4[[#This Row],[inner温度'[℃']]]-20)) - 寸法→圧入力!D$28*(1+寸法→圧入力!D$33*10^-6*(テーブル4[[#This Row],[inner温度'[℃']]]+Q$3-20))</f>
        <v>2.6662374999979477E-3</v>
      </c>
      <c r="R41" s="22">
        <f>寸法→圧入力!F$13*(1+寸法→圧入力!D$18*10^-6*(テーブル4[[#This Row],[inner温度'[℃']]]-20)) - 寸法→圧入力!D$28*(1+寸法→圧入力!D$33*10^-6*(テーブル4[[#This Row],[inner温度'[℃']]]+R$3-20))</f>
        <v>-3.6337625000051332E-3</v>
      </c>
      <c r="S41" s="22">
        <f>寸法→圧入力!F$13*(1+寸法→圧入力!D$18*10^-6*(テーブル4[[#This Row],[inner温度'[℃']]]-20)) - 寸法→圧入力!D$28*(1+寸法→圧入力!D$33*10^-6*(テーブル4[[#This Row],[inner温度'[℃']]]+S$3-20))</f>
        <v>-9.9337625000082141E-3</v>
      </c>
      <c r="T41" s="22">
        <f>寸法→圧入力!F$13*(1+寸法→圧入力!D$18*10^-6*(テーブル4[[#This Row],[inner温度'[℃']]]-20)) - 寸法→圧入力!D$28*(1+寸法→圧入力!D$33*10^-6*(テーブル4[[#This Row],[inner温度'[℃']]]+T$3-20))</f>
        <v>-1.6233762500007742E-2</v>
      </c>
      <c r="U41" s="22">
        <f>寸法→圧入力!F$13*(1+寸法→圧入力!D$18*10^-6*(テーブル4[[#This Row],[inner温度'[℃']]]-20)) - 寸法→圧入力!D$28*(1+寸法→圧入力!D$33*10^-6*(テーブル4[[#This Row],[inner温度'[℃']]]+U$3-20))</f>
        <v>-2.2533762500003718E-2</v>
      </c>
      <c r="V41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15.792320911968076</v>
      </c>
      <c r="W41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9.275219252480726</v>
      </c>
      <c r="X41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2.7581175929897026</v>
      </c>
      <c r="Y41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-3.7589840665049965</v>
      </c>
      <c r="Z41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-10.276085725999696</v>
      </c>
      <c r="AA41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-16.793187385490722</v>
      </c>
      <c r="AB41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-23.31028904497807</v>
      </c>
      <c r="AC41" s="11">
        <f>テーブル4[[#This Row],[半径方向応力:Δ-30℃]]*2*寸法→圧入力!D$13^2/(寸法→圧入力!D$13^2-寸法→圧入力!F$14^2)</f>
        <v>42.287151556895466</v>
      </c>
      <c r="AD41" s="11">
        <f>テーブル4[[#This Row],[半径方向応力:Δ-20℃]]*2*寸法→圧入力!D$13^2/(寸法→圧入力!D$13^2-寸法→圧入力!F$14^2)</f>
        <v>24.83628622033919</v>
      </c>
      <c r="AE41" s="11">
        <f>テーブル4[[#This Row],[半径方向応力:Δ-10℃]]*2*寸法→圧入力!D$13^2/(寸法→圧入力!D$13^2-寸法→圧入力!F$14^2)</f>
        <v>7.385420883773075</v>
      </c>
      <c r="AF41" s="11">
        <f>テーブル4[[#This Row],[半径方向応力:Δ0℃]]*2*寸法→圧入力!D$13^2/(寸法→圧入力!D$13^2-寸法→圧入力!F$14^2)</f>
        <v>-10.065444452802883</v>
      </c>
      <c r="AG41" s="11">
        <f>テーブル4[[#This Row],[半径方向応力:Δ+10℃]]*2*寸法→圧入力!D$13^2/(寸法→圧入力!D$13^2-寸法→圧入力!F$14^2)</f>
        <v>-27.516309789378838</v>
      </c>
      <c r="AH41" s="11">
        <f>テーブル4[[#This Row],[半径方向応力:Δ+20℃]]*2*寸法→圧入力!D$13^2/(寸法→圧入力!D$13^2-寸法→圧入力!F$14^2)</f>
        <v>-44.967175125944955</v>
      </c>
      <c r="AI41" s="11">
        <f>テーブル4[[#This Row],[半径方向応力:Δ+30℃]]*2*寸法→圧入力!D$13^2/(寸法→圧入力!D$13^2-寸法→圧入力!F$14^2)</f>
        <v>-62.418040462501232</v>
      </c>
      <c r="AJ41" s="11">
        <f>寸法→圧入力!$D$19</f>
        <v>345</v>
      </c>
      <c r="AK41" s="11">
        <f>テーブル4[[#This Row],[半径方向応力:Δ-30℃]]* (1+(寸法→圧入力!D$29/寸法→圧入力!F$28)^2)/((寸法→圧入力!D$29/寸法→圧入力!F$28)^2-1)</f>
        <v>43.264925057575091</v>
      </c>
      <c r="AL41" s="11">
        <f>テーブル4[[#This Row],[半径方向応力:Δ-20℃]]* (1+(寸法→圧入力!D$29/寸法→圧入力!F$28)^2)/((寸法→圧入力!D$29/寸法→圧入力!F$28)^2-1)</f>
        <v>25.410556693224287</v>
      </c>
      <c r="AM41" s="11">
        <f>テーブル4[[#This Row],[半径方向応力:Δ-10℃]]* (1+(寸法→圧入力!D$29/寸法→圧入力!F$28)^2)/((寸法→圧入力!D$29/寸法→圧入力!F$28)^2-1)</f>
        <v>7.5561883288634188</v>
      </c>
      <c r="AN41" s="11">
        <f>テーブル4[[#This Row],[半径方向応力:Δ0℃]]* (1+(寸法→圧入力!D$29/寸法→圧入力!F$28)^2)/((寸法→圧入力!D$29/寸法→圧入力!F$28)^2-1)</f>
        <v>-10.298180035507519</v>
      </c>
      <c r="AO41" s="11">
        <f>テーブル4[[#This Row],[半径方向応力:Δ+10℃]]* (1+(寸法→圧入力!D$29/寸法→圧入力!F$28)^2)/((寸法→圧入力!D$29/寸法→圧入力!F$28)^2-1)</f>
        <v>-28.152548399878462</v>
      </c>
      <c r="AP41" s="11">
        <f>テーブル4[[#This Row],[半径方向応力:Δ+20℃]]* (1+(寸法→圧入力!D$29/寸法→圧入力!F$28)^2)/((寸法→圧入力!D$29/寸法→圧入力!F$28)^2-1)</f>
        <v>-46.006916764239335</v>
      </c>
      <c r="AQ41" s="11">
        <f>テーブル4[[#This Row],[半径方向応力:Δ+30℃]]* (1+(寸法→圧入力!D$29/寸法→圧入力!F$28)^2)/((寸法→圧入力!D$29/寸法→圧入力!F$28)^2-1)</f>
        <v>-63.861285128590133</v>
      </c>
      <c r="AR41" s="11">
        <f>寸法→圧入力!$D$34</f>
        <v>150</v>
      </c>
      <c r="AU41" s="152"/>
      <c r="AV41" s="151">
        <f t="shared" si="6"/>
        <v>60</v>
      </c>
      <c r="AW41" s="160">
        <f>(AW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65.305003114735655</v>
      </c>
      <c r="AX41" s="160">
        <f>(AX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61.69594945958719</v>
      </c>
      <c r="AY41" s="160">
        <f>(AY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58.086895804438726</v>
      </c>
      <c r="AZ41" s="160">
        <f>(AZ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54.477842149290261</v>
      </c>
      <c r="BA41" s="160">
        <f>(BA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50.868788494141803</v>
      </c>
      <c r="BB41" s="160">
        <f>(BB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47.259734838993339</v>
      </c>
      <c r="BC41" s="160">
        <f>(BC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43.650681183844874</v>
      </c>
      <c r="BD41" s="160">
        <f>(BD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40.041627528696417</v>
      </c>
      <c r="BE41" s="160">
        <f>(BE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36.432573873547945</v>
      </c>
      <c r="BF41" s="160">
        <f>(BF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32.823520218399473</v>
      </c>
      <c r="BG41" s="160">
        <f>(BG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29.214466563251015</v>
      </c>
      <c r="BH41" s="160">
        <f>(BH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25.605412908102558</v>
      </c>
      <c r="BI41" s="160">
        <f>(BI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21.996359252954093</v>
      </c>
      <c r="BJ41" s="160">
        <f>(BJ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18.387305597805629</v>
      </c>
      <c r="BK41" s="160">
        <f>(BK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14.778251942657167</v>
      </c>
      <c r="BL41" s="160">
        <f>(BL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11.169198287508705</v>
      </c>
      <c r="BM41" s="160">
        <f>(BM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7.5601446323602426</v>
      </c>
      <c r="BN41" s="160">
        <f>(BN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3.9510909772117793</v>
      </c>
      <c r="BO41" s="160">
        <f>(BO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0.34203732206331039</v>
      </c>
      <c r="BP41" s="160">
        <f>(BP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-3.2670163330851518</v>
      </c>
      <c r="BQ41" s="160">
        <f>(BQ16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-6.8760699882336151</v>
      </c>
    </row>
    <row r="42" spans="1:69" x14ac:dyDescent="0.7">
      <c r="A42" s="22">
        <f t="shared" si="7"/>
        <v>0.36</v>
      </c>
      <c r="B42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354.91027148773622</v>
      </c>
      <c r="C42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363.9381837124501</v>
      </c>
      <c r="D42" s="11">
        <f>(A42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372.40580911380067</v>
      </c>
      <c r="E42" s="11">
        <f>テーブル3[[#This Row],[半径方向応力min]]*寸法→圧入力!D$43*寸法→圧入力!D$5/1000</f>
        <v>41.277640198269246</v>
      </c>
      <c r="F42" s="11">
        <f>テーブル3[[#This Row],[半径方向応力min]]*寸法→圧入力!E$43*寸法→圧入力!E$5/1000</f>
        <v>52.704921687788151</v>
      </c>
      <c r="G42" s="11">
        <f>テーブル3[[#This Row],[半径方向応力min]]*寸法→圧入力!F$43*寸法→圧入力!F$5/1000</f>
        <v>64.587840125997261</v>
      </c>
      <c r="H42" s="11">
        <f>寸法→圧入力!$D$19</f>
        <v>345</v>
      </c>
      <c r="I42" s="11">
        <f>寸法→圧入力!$D$34</f>
        <v>150</v>
      </c>
      <c r="J42" s="11">
        <f>テーブル3[[#This Row],[半径方向応力nor]]*2*寸法→圧入力!E$13^2/(寸法→圧入力!E$13^2-寸法→圧入力!E$14^2)</f>
        <v>970.07111127687438</v>
      </c>
      <c r="K42" s="11">
        <f>テーブル3[[#This Row],[半径方向応力nor]]* (1+(寸法→圧入力!E$29/寸法→圧入力!E$28)^2)/((寸法→圧入力!E$29/寸法→圧入力!E$28)^2-1)</f>
        <v>946.58878063235022</v>
      </c>
      <c r="N42">
        <f t="shared" si="3"/>
        <v>130</v>
      </c>
      <c r="O42" s="22">
        <f>寸法→圧入力!F$13*(1+寸法→圧入力!D$18*10^-6*(テーブル4[[#This Row],[inner温度'[℃']]]-20)) - 寸法→圧入力!D$28*(1+寸法→圧入力!D$33*10^-6*(テーブル4[[#This Row],[inner温度'[℃']]]+O$3-20))</f>
        <v>1.3902725000001226E-2</v>
      </c>
      <c r="P42" s="22">
        <f>寸法→圧入力!F$13*(1+寸法→圧入力!D$18*10^-6*(テーブル4[[#This Row],[inner温度'[℃']]]-20)) - 寸法→圧入力!D$28*(1+寸法→圧入力!D$33*10^-6*(テーブル4[[#This Row],[inner温度'[℃']]]+P$3-20))</f>
        <v>7.602724999998145E-3</v>
      </c>
      <c r="Q42" s="22">
        <f>寸法→圧入力!F$13*(1+寸法→圧入力!D$18*10^-6*(テーブル4[[#This Row],[inner温度'[℃']]]-20)) - 寸法→圧入力!D$28*(1+寸法→圧入力!D$33*10^-6*(テーブル4[[#This Row],[inner温度'[℃']]]+Q$3-20))</f>
        <v>1.3027249999986168E-3</v>
      </c>
      <c r="R42" s="22">
        <f>寸法→圧入力!F$13*(1+寸法→圧入力!D$18*10^-6*(テーブル4[[#This Row],[inner温度'[℃']]]-20)) - 寸法→圧入力!D$28*(1+寸法→圧入力!D$33*10^-6*(テーブル4[[#This Row],[inner温度'[℃']]]+R$3-20))</f>
        <v>-4.9972750000044641E-3</v>
      </c>
      <c r="S42" s="22">
        <f>寸法→圧入力!F$13*(1+寸法→圧入力!D$18*10^-6*(テーブル4[[#This Row],[inner温度'[℃']]]-20)) - 寸法→圧入力!D$28*(1+寸法→圧入力!D$33*10^-6*(テーブル4[[#This Row],[inner温度'[℃']]]+S$3-20))</f>
        <v>-1.1297275000003992E-2</v>
      </c>
      <c r="T42" s="22">
        <f>寸法→圧入力!F$13*(1+寸法→圧入力!D$18*10^-6*(テーブル4[[#This Row],[inner温度'[℃']]]-20)) - 寸法→圧入力!D$28*(1+寸法→圧入力!D$33*10^-6*(テーブル4[[#This Row],[inner温度'[℃']]]+T$3-20))</f>
        <v>-1.7597274999999968E-2</v>
      </c>
      <c r="U42" s="22">
        <f>寸法→圧入力!F$13*(1+寸法→圧入力!D$18*10^-6*(テーブル4[[#This Row],[inner温度'[℃']]]-20)) - 寸法→圧入力!D$28*(1+寸法→圧入力!D$33*10^-6*(テーブル4[[#This Row],[inner温度'[℃']]]+U$3-20))</f>
        <v>-2.3897274999999496E-2</v>
      </c>
      <c r="V42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14.381820979200338</v>
      </c>
      <c r="W42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7.8647193197056371</v>
      </c>
      <c r="X42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1.3476176602146135</v>
      </c>
      <c r="Y42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-5.169483999280085</v>
      </c>
      <c r="Z42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-11.68658565877111</v>
      </c>
      <c r="AA42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-18.203687318258456</v>
      </c>
      <c r="AB42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-24.720788977749482</v>
      </c>
      <c r="AC42" s="11">
        <f>テーブル4[[#This Row],[半径方向応力:Δ-30℃]]*2*寸法→圧入力!D$13^2/(寸法→圧入力!D$13^2-寸法→圧入力!F$14^2)</f>
        <v>38.510251077198525</v>
      </c>
      <c r="AD42" s="11">
        <f>テーブル4[[#This Row],[半径方向応力:Δ-20℃]]*2*寸法→圧入力!D$13^2/(寸法→圧入力!D$13^2-寸法→圧入力!F$14^2)</f>
        <v>21.059385740622567</v>
      </c>
      <c r="AE42" s="11">
        <f>テーブル4[[#This Row],[半径方向応力:Δ-10℃]]*2*寸法→圧入力!D$13^2/(寸法→圧入力!D$13^2-寸法→圧入力!F$14^2)</f>
        <v>3.6085204040564527</v>
      </c>
      <c r="AF42" s="11">
        <f>テーブル4[[#This Row],[半径方向応力:Δ0℃]]*2*寸法→圧入力!D$13^2/(寸法→圧入力!D$13^2-寸法→圧入力!F$14^2)</f>
        <v>-13.8423449325195</v>
      </c>
      <c r="AG42" s="11">
        <f>テーブル4[[#This Row],[半径方向応力:Δ+10℃]]*2*寸法→圧入力!D$13^2/(寸法→圧入力!D$13^2-寸法→圧入力!F$14^2)</f>
        <v>-31.29321026908562</v>
      </c>
      <c r="AH42" s="11">
        <f>テーブル4[[#This Row],[半径方向応力:Δ+20℃]]*2*寸法→圧入力!D$13^2/(寸法→圧入力!D$13^2-寸法→圧入力!F$14^2)</f>
        <v>-48.744075605641882</v>
      </c>
      <c r="AI42" s="11">
        <f>テーブル4[[#This Row],[半径方向応力:Δ+30℃]]*2*寸法→圧入力!D$13^2/(寸法→圧入力!D$13^2-寸法→圧入力!F$14^2)</f>
        <v>-66.194940942208007</v>
      </c>
      <c r="AJ42" s="11">
        <f>寸法→圧入力!$D$19</f>
        <v>345</v>
      </c>
      <c r="AK42" s="11">
        <f>テーブル4[[#This Row],[半径方向応力:Δ-30℃]]* (1+(寸法→圧入力!D$29/寸法→圧入力!F$28)^2)/((寸法→圧入力!D$29/寸法→圧入力!F$28)^2-1)</f>
        <v>39.400694193404675</v>
      </c>
      <c r="AL42" s="11">
        <f>テーブル4[[#This Row],[半径方向応力:Δ-20℃]]* (1+(寸法→圧入力!D$29/寸法→圧入力!F$28)^2)/((寸法→圧入力!D$29/寸法→圧入力!F$28)^2-1)</f>
        <v>21.546325829033734</v>
      </c>
      <c r="AM42" s="11">
        <f>テーブル4[[#This Row],[半径方向応力:Δ-10℃]]* (1+(寸法→圧入力!D$29/寸法→圧入力!F$28)^2)/((寸法→圧入力!D$29/寸法→圧入力!F$28)^2-1)</f>
        <v>3.6919574646728663</v>
      </c>
      <c r="AN42" s="11">
        <f>テーブル4[[#This Row],[半径方向応力:Δ0℃]]* (1+(寸法→圧入力!D$29/寸法→圧入力!F$28)^2)/((寸法→圧入力!D$29/寸法→圧入力!F$28)^2-1)</f>
        <v>-14.16241089969807</v>
      </c>
      <c r="AO42" s="11">
        <f>テーブル4[[#This Row],[半径方向応力:Δ+10℃]]* (1+(寸法→圧入力!D$29/寸法→圧入力!F$28)^2)/((寸法→圧入力!D$29/寸法→圧入力!F$28)^2-1)</f>
        <v>-32.01677926405894</v>
      </c>
      <c r="AP42" s="11">
        <f>テーブル4[[#This Row],[半径方向応力:Δ+20℃]]* (1+(寸法→圧入力!D$29/寸法→圧入力!F$28)^2)/((寸法→圧入力!D$29/寸法→圧入力!F$28)^2-1)</f>
        <v>-49.871147628409737</v>
      </c>
      <c r="AQ42" s="11">
        <f>テーブル4[[#This Row],[半径方向応力:Δ+30℃]]* (1+(寸法→圧入力!D$29/寸法→圧入力!F$28)^2)/((寸法→圧入力!D$29/寸法→圧入力!F$28)^2-1)</f>
        <v>-67.72551599277061</v>
      </c>
      <c r="AR42" s="11">
        <f>寸法→圧入力!$D$34</f>
        <v>150</v>
      </c>
      <c r="AU42" s="152"/>
      <c r="AV42" s="151">
        <f t="shared" si="6"/>
        <v>70</v>
      </c>
      <c r="AW42" s="160">
        <f>(AW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71.673921329703532</v>
      </c>
      <c r="AX42" s="160">
        <f>(AX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68.06486767455506</v>
      </c>
      <c r="AY42" s="160">
        <f>(AY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64.455814019406603</v>
      </c>
      <c r="AZ42" s="160">
        <f>(AZ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60.846760364258145</v>
      </c>
      <c r="BA42" s="160">
        <f>(BA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57.237706709109673</v>
      </c>
      <c r="BB42" s="160">
        <f>(BB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53.628653053961209</v>
      </c>
      <c r="BC42" s="160">
        <f>(BC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50.019599398812751</v>
      </c>
      <c r="BD42" s="160">
        <f>(BD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46.410545743664287</v>
      </c>
      <c r="BE42" s="160">
        <f>(BE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42.801492088515822</v>
      </c>
      <c r="BF42" s="160">
        <f>(BF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39.192438433367364</v>
      </c>
      <c r="BG42" s="160">
        <f>(BG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35.5833847782189</v>
      </c>
      <c r="BH42" s="160">
        <f>(BH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31.974331123070439</v>
      </c>
      <c r="BI42" s="160">
        <f>(BI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28.365277467921974</v>
      </c>
      <c r="BJ42" s="160">
        <f>(BJ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24.756223812773506</v>
      </c>
      <c r="BK42" s="160">
        <f>(BK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21.147170157625045</v>
      </c>
      <c r="BL42" s="160">
        <f>(BL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17.538116502476576</v>
      </c>
      <c r="BM42" s="160">
        <f>(BM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13.929062847328119</v>
      </c>
      <c r="BN42" s="160">
        <f>(BN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10.320009192179656</v>
      </c>
      <c r="BO42" s="160">
        <f>(BO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6.7109555370311877</v>
      </c>
      <c r="BP42" s="160">
        <f>(BP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3.1019018818827253</v>
      </c>
      <c r="BQ42" s="160">
        <f>(BQ17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-0.50715177326573679</v>
      </c>
    </row>
    <row r="43" spans="1:69" x14ac:dyDescent="0.7">
      <c r="A43" s="22">
        <f t="shared" si="7"/>
        <v>0.37</v>
      </c>
      <c r="B43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364.76889014017337</v>
      </c>
      <c r="C43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374.04757770446258</v>
      </c>
      <c r="D43" s="11">
        <f>(A43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382.75041492251739</v>
      </c>
      <c r="E43" s="11">
        <f>テーブル3[[#This Row],[半径方向応力min]]*寸法→圧入力!D$43*寸法→圧入力!D$5/1000</f>
        <v>42.424241314887837</v>
      </c>
      <c r="F43" s="11">
        <f>テーブル3[[#This Row],[半径方向応力min]]*寸法→圧入力!E$43*寸法→圧入力!E$5/1000</f>
        <v>54.168947290226718</v>
      </c>
      <c r="G43" s="11">
        <f>テーブル3[[#This Row],[半径方向応力min]]*寸法→圧入力!F$43*寸法→圧入力!F$5/1000</f>
        <v>66.381946796163874</v>
      </c>
      <c r="H43" s="11">
        <f>寸法→圧入力!$D$19</f>
        <v>345</v>
      </c>
      <c r="I43" s="11">
        <f>寸法→圧入力!$D$34</f>
        <v>150</v>
      </c>
      <c r="J43" s="11">
        <f>テーブル3[[#This Row],[半径方向応力nor]]*2*寸法→圧入力!E$13^2/(寸法→圧入力!E$13^2-寸法→圧入力!E$14^2)</f>
        <v>997.01753103456542</v>
      </c>
      <c r="K43" s="11">
        <f>テーブル3[[#This Row],[半径方向応力nor]]* (1+(寸法→圧入力!E$29/寸法→圧入力!E$28)^2)/((寸法→圧入力!E$29/寸法→圧入力!E$28)^2-1)</f>
        <v>972.88291342769321</v>
      </c>
      <c r="N43">
        <f t="shared" si="3"/>
        <v>135</v>
      </c>
      <c r="O43" s="22">
        <f>寸法→圧入力!F$13*(1+寸法→圧入力!D$18*10^-6*(テーブル4[[#This Row],[inner温度'[℃']]]-20)) - 寸法→圧入力!D$28*(1+寸法→圧入力!D$33*10^-6*(テーブル4[[#This Row],[inner温度'[℃']]]+O$3-20))</f>
        <v>1.2539212500005448E-2</v>
      </c>
      <c r="P43" s="22">
        <f>寸法→圧入力!F$13*(1+寸法→圧入力!D$18*10^-6*(テーブル4[[#This Row],[inner温度'[℃']]]-20)) - 寸法→圧入力!D$28*(1+寸法→圧入力!D$33*10^-6*(テーブル4[[#This Row],[inner温度'[℃']]]+P$3-20))</f>
        <v>6.2392125000059195E-3</v>
      </c>
      <c r="Q43" s="22">
        <f>寸法→圧入力!F$13*(1+寸法→圧入力!D$18*10^-6*(テーブル4[[#This Row],[inner温度'[℃']]]-20)) - 寸法→圧入力!D$28*(1+寸法→圧入力!D$33*10^-6*(テーブル4[[#This Row],[inner温度'[℃']]]+Q$3-20))</f>
        <v>-6.0787499997161376E-5</v>
      </c>
      <c r="R43" s="22">
        <f>寸法→圧入力!F$13*(1+寸法→圧入力!D$18*10^-6*(テーブル4[[#This Row],[inner温度'[℃']]]-20)) - 寸法→圧入力!D$28*(1+寸法→圧入力!D$33*10^-6*(テーブル4[[#This Row],[inner温度'[℃']]]+R$3-20))</f>
        <v>-6.3607875000002423E-3</v>
      </c>
      <c r="S43" s="22">
        <f>寸法→圧入力!F$13*(1+寸法→圧入力!D$18*10^-6*(テーブル4[[#This Row],[inner温度'[℃']]]-20)) - 寸法→圧入力!D$28*(1+寸法→圧入力!D$33*10^-6*(テーブル4[[#This Row],[inner温度'[℃']]]+S$3-20))</f>
        <v>-1.266078749999977E-2</v>
      </c>
      <c r="T43" s="22">
        <f>寸法→圧入力!F$13*(1+寸法→圧入力!D$18*10^-6*(テーブル4[[#This Row],[inner温度'[℃']]]-20)) - 寸法→圧入力!D$28*(1+寸法→圧入力!D$33*10^-6*(テーブル4[[#This Row],[inner温度'[℃']]]+T$3-20))</f>
        <v>-1.8960787499995746E-2</v>
      </c>
      <c r="U43" s="22">
        <f>寸法→圧入力!F$13*(1+寸法→圧入力!D$18*10^-6*(テーブル4[[#This Row],[inner温度'[℃']]]-20)) - 寸法→圧入力!D$28*(1+寸法→圧入力!D$33*10^-6*(テーブル4[[#This Row],[inner温度'[℃']]]+U$3-20))</f>
        <v>-2.5260787499995274E-2</v>
      </c>
      <c r="V43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12.971321046428923</v>
      </c>
      <c r="W43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6.4542193869378988</v>
      </c>
      <c r="X43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-6.2882272556800109E-2</v>
      </c>
      <c r="Y43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-6.5799839320514995</v>
      </c>
      <c r="Z43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-13.097085591542523</v>
      </c>
      <c r="AA43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-19.614187251029872</v>
      </c>
      <c r="AB43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-26.131288910520897</v>
      </c>
      <c r="AC43" s="11">
        <f>テーブル4[[#This Row],[半径方向応力:Δ-30℃]]*2*寸法→圧入力!D$13^2/(寸法→圧入力!D$13^2-寸法→圧入力!F$14^2)</f>
        <v>34.733350597491743</v>
      </c>
      <c r="AD43" s="11">
        <f>テーブル4[[#This Row],[半径方向応力:Δ-20℃]]*2*寸法→圧入力!D$13^2/(寸法→圧入力!D$13^2-寸法→圧入力!F$14^2)</f>
        <v>17.282485260925629</v>
      </c>
      <c r="AE43" s="11">
        <f>テーブル4[[#This Row],[半径方向応力:Δ-10℃]]*2*寸法→圧入力!D$13^2/(寸法→圧入力!D$13^2-寸法→圧入力!F$14^2)</f>
        <v>-0.16838007565032631</v>
      </c>
      <c r="AF43" s="11">
        <f>テーブル4[[#This Row],[半径方向応力:Δ0℃]]*2*寸法→圧入力!D$13^2/(寸法→圧入力!D$13^2-寸法→圧入力!F$14^2)</f>
        <v>-17.619245412226284</v>
      </c>
      <c r="AG43" s="11">
        <f>テーブル4[[#This Row],[半径方向応力:Δ+10℃]]*2*寸法→圧入力!D$13^2/(寸法→圧入力!D$13^2-寸法→圧入力!F$14^2)</f>
        <v>-35.070110748792402</v>
      </c>
      <c r="AH43" s="11">
        <f>テーブル4[[#This Row],[半径方向応力:Δ+20℃]]*2*寸法→圧入力!D$13^2/(寸法→圧入力!D$13^2-寸法→圧入力!F$14^2)</f>
        <v>-52.520976085348671</v>
      </c>
      <c r="AI43" s="11">
        <f>テーブル4[[#This Row],[半径方向応力:Δ+30℃]]*2*寸法→圧入力!D$13^2/(寸法→圧入力!D$13^2-寸法→圧入力!F$14^2)</f>
        <v>-69.971841421914789</v>
      </c>
      <c r="AJ43" s="11">
        <f>寸法→圧入力!$D$19</f>
        <v>345</v>
      </c>
      <c r="AK43" s="11">
        <f>テーブル4[[#This Row],[半径方向応力:Δ-30℃]]* (1+(寸法→圧入力!D$29/寸法→圧入力!F$28)^2)/((寸法→圧入力!D$29/寸法→圧入力!F$28)^2-1)</f>
        <v>35.53646332922419</v>
      </c>
      <c r="AL43" s="11">
        <f>テーブル4[[#This Row],[半径方向応力:Δ-20℃]]* (1+(寸法→圧入力!D$29/寸法→圧入力!F$28)^2)/((寸法→圧入力!D$29/寸法→圧入力!F$28)^2-1)</f>
        <v>17.682094964863321</v>
      </c>
      <c r="AM43" s="11">
        <f>テーブル4[[#This Row],[半径方向応力:Δ-10℃]]* (1+(寸法→圧入力!D$29/寸法→圧入力!F$28)^2)/((寸法→圧入力!D$29/寸法→圧入力!F$28)^2-1)</f>
        <v>-0.17227339950761678</v>
      </c>
      <c r="AN43" s="11">
        <f>テーブル4[[#This Row],[半径方向応力:Δ0℃]]* (1+(寸法→圧入力!D$29/寸法→圧入力!F$28)^2)/((寸法→圧入力!D$29/寸法→圧入力!F$28)^2-1)</f>
        <v>-18.026641763878555</v>
      </c>
      <c r="AO43" s="11">
        <f>テーブル4[[#This Row],[半径方向応力:Δ+10℃]]* (1+(寸法→圧入力!D$29/寸法→圧入力!F$28)^2)/((寸法→圧入力!D$29/寸法→圧入力!F$28)^2-1)</f>
        <v>-35.881010128239424</v>
      </c>
      <c r="AP43" s="11">
        <f>テーブル4[[#This Row],[半径方向応力:Δ+20℃]]* (1+(寸法→圧入力!D$29/寸法→圧入力!F$28)^2)/((寸法→圧入力!D$29/寸法→圧入力!F$28)^2-1)</f>
        <v>-53.735378492590222</v>
      </c>
      <c r="AQ43" s="11">
        <f>テーブル4[[#This Row],[半径方向応力:Δ+30℃]]* (1+(寸法→圧入力!D$29/寸法→圧入力!F$28)^2)/((寸法→圧入力!D$29/寸法→圧入力!F$28)^2-1)</f>
        <v>-71.589746856951095</v>
      </c>
      <c r="AR43" s="11">
        <f>寸法→圧入力!$D$34</f>
        <v>150</v>
      </c>
      <c r="AU43" s="152"/>
      <c r="AV43" s="151">
        <f t="shared" si="6"/>
        <v>80</v>
      </c>
      <c r="AW43" s="160">
        <f>(AW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78.042839544671409</v>
      </c>
      <c r="AX43" s="160">
        <f>(AX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74.433785889522937</v>
      </c>
      <c r="AY43" s="160">
        <f>(AY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70.824732234374494</v>
      </c>
      <c r="AZ43" s="160">
        <f>(AZ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67.215678579226008</v>
      </c>
      <c r="BA43" s="160">
        <f>(BA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63.606624924077551</v>
      </c>
      <c r="BB43" s="160">
        <f>(BB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59.997571268929086</v>
      </c>
      <c r="BC43" s="160">
        <f>(BC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56.388517613780621</v>
      </c>
      <c r="BD43" s="160">
        <f>(BD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52.779463958632164</v>
      </c>
      <c r="BE43" s="160">
        <f>(BE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49.170410303483699</v>
      </c>
      <c r="BF43" s="160">
        <f>(BF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45.561356648335227</v>
      </c>
      <c r="BG43" s="160">
        <f>(BG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41.95230299318677</v>
      </c>
      <c r="BH43" s="160">
        <f>(BH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38.343249338038312</v>
      </c>
      <c r="BI43" s="160">
        <f>(BI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34.73419568288984</v>
      </c>
      <c r="BJ43" s="160">
        <f>(BJ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31.125142027741379</v>
      </c>
      <c r="BK43" s="160">
        <f>(BK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27.516088372592918</v>
      </c>
      <c r="BL43" s="160">
        <f>(BL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23.907034717444454</v>
      </c>
      <c r="BM43" s="160">
        <f>(BM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20.297981062295992</v>
      </c>
      <c r="BN43" s="160">
        <f>(BN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16.688927407147531</v>
      </c>
      <c r="BO43" s="160">
        <f>(BO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13.079873751999061</v>
      </c>
      <c r="BP43" s="160">
        <f>(BP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9.4708200968505967</v>
      </c>
      <c r="BQ43" s="160">
        <f>(BQ18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5.8617664417021356</v>
      </c>
    </row>
    <row r="44" spans="1:69" x14ac:dyDescent="0.7">
      <c r="A44" s="22">
        <f t="shared" si="7"/>
        <v>0.38</v>
      </c>
      <c r="B44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374.62750879261046</v>
      </c>
      <c r="C44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384.15697169647507</v>
      </c>
      <c r="D44" s="11">
        <f>(A44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393.09502073123406</v>
      </c>
      <c r="E44" s="11">
        <f>テーブル3[[#This Row],[半径方向応力min]]*寸法→圧入力!D$43*寸法→圧入力!D$5/1000</f>
        <v>43.570842431506428</v>
      </c>
      <c r="F44" s="11">
        <f>テーブル3[[#This Row],[半径方向応力min]]*寸法→圧入力!E$43*寸法→圧入力!E$5/1000</f>
        <v>55.632972892665265</v>
      </c>
      <c r="G44" s="11">
        <f>テーブル3[[#This Row],[半径方向応力min]]*寸法→圧入力!F$43*寸法→圧入力!F$5/1000</f>
        <v>68.176053466330458</v>
      </c>
      <c r="H44" s="11">
        <f>寸法→圧入力!$D$19</f>
        <v>345</v>
      </c>
      <c r="I44" s="11">
        <f>寸法→圧入力!$D$34</f>
        <v>150</v>
      </c>
      <c r="J44" s="11">
        <f>テーブル3[[#This Row],[半径方向応力nor]]*2*寸法→圧入力!E$13^2/(寸法→圧入力!E$13^2-寸法→圧入力!E$14^2)</f>
        <v>1023.9639507922564</v>
      </c>
      <c r="K44" s="11">
        <f>テーブル3[[#This Row],[半径方向応力nor]]* (1+(寸法→圧入力!E$29/寸法→圧入力!E$28)^2)/((寸法→圧入力!E$29/寸法→圧入力!E$28)^2-1)</f>
        <v>999.17704622303631</v>
      </c>
      <c r="N44">
        <f t="shared" si="3"/>
        <v>140</v>
      </c>
      <c r="O44" s="22">
        <f>寸法→圧入力!F$13*(1+寸法→圧入力!D$18*10^-6*(テーブル4[[#This Row],[inner温度'[℃']]]-20)) - 寸法→圧入力!D$28*(1+寸法→圧入力!D$33*10^-6*(テーブル4[[#This Row],[inner温度'[℃']]]+O$3-20))</f>
        <v>1.1175699999999011E-2</v>
      </c>
      <c r="P44" s="22">
        <f>寸法→圧入力!F$13*(1+寸法→圧入力!D$18*10^-6*(テーブル4[[#This Row],[inner温度'[℃']]]-20)) - 寸法→圧入力!D$28*(1+寸法→圧入力!D$33*10^-6*(テーブル4[[#This Row],[inner温度'[℃']]]+P$3-20))</f>
        <v>4.8756999999994832E-3</v>
      </c>
      <c r="Q44" s="22">
        <f>寸法→圧入力!F$13*(1+寸法→圧入力!D$18*10^-6*(テーブル4[[#This Row],[inner温度'[℃']]]-20)) - 寸法→圧入力!D$28*(1+寸法→圧入力!D$33*10^-6*(テーブル4[[#This Row],[inner温度'[℃']]]+Q$3-20))</f>
        <v>-1.4243000000035977E-3</v>
      </c>
      <c r="R44" s="22">
        <f>寸法→圧入力!F$13*(1+寸法→圧入力!D$18*10^-6*(テーブル4[[#This Row],[inner温度'[℃']]]-20)) - 寸法→圧入力!D$28*(1+寸法→圧入力!D$33*10^-6*(テーブル4[[#This Row],[inner温度'[℃']]]+R$3-20))</f>
        <v>-7.7243000000031259E-3</v>
      </c>
      <c r="S44" s="22">
        <f>寸法→圧入力!F$13*(1+寸法→圧入力!D$18*10^-6*(テーブル4[[#This Row],[inner温度'[℃']]]-20)) - 寸法→圧入力!D$28*(1+寸法→圧入力!D$33*10^-6*(テーブル4[[#This Row],[inner温度'[℃']]]+S$3-20))</f>
        <v>-1.4024299999999101E-2</v>
      </c>
      <c r="T44" s="22">
        <f>寸法→圧入力!F$13*(1+寸法→圧入力!D$18*10^-6*(テーブル4[[#This Row],[inner温度'[℃']]]-20)) - 寸法→圧入力!D$28*(1+寸法→圧入力!D$33*10^-6*(テーブル4[[#This Row],[inner温度'[℃']]]+T$3-20))</f>
        <v>-2.032429999999863E-2</v>
      </c>
      <c r="U44" s="22">
        <f>寸法→圧入力!F$13*(1+寸法→圧入力!D$18*10^-6*(テーブル4[[#This Row],[inner温度'[℃']]]-20)) - 寸法→圧入力!D$28*(1+寸法→圧入力!D$33*10^-6*(テーブル4[[#This Row],[inner温度'[℃']]]+U$3-20))</f>
        <v>-2.662430000000171E-2</v>
      </c>
      <c r="V44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11.560821113646485</v>
      </c>
      <c r="W44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5.0437194541554602</v>
      </c>
      <c r="X44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-1.4733822053392394</v>
      </c>
      <c r="Y44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-7.9904838648302627</v>
      </c>
      <c r="Z44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-14.507585524317612</v>
      </c>
      <c r="AA44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-21.024687183808634</v>
      </c>
      <c r="AB44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-27.541788843303333</v>
      </c>
      <c r="AC44" s="11">
        <f>テーブル4[[#This Row],[半径方向応力:Δ-30℃]]*2*寸法→圧入力!D$13^2/(寸法→圧入力!D$13^2-寸法→圧入力!F$14^2)</f>
        <v>30.956450117755445</v>
      </c>
      <c r="AD44" s="11">
        <f>テーブル4[[#This Row],[半径方向応力:Δ-20℃]]*2*寸法→圧入力!D$13^2/(寸法→圧入力!D$13^2-寸法→圧入力!F$14^2)</f>
        <v>13.505584781189327</v>
      </c>
      <c r="AE44" s="11">
        <f>テーブル4[[#This Row],[半径方向応力:Δ-10℃]]*2*寸法→圧入力!D$13^2/(寸法→圧入力!D$13^2-寸法→圧入力!F$14^2)</f>
        <v>-3.9452805553866295</v>
      </c>
      <c r="AF44" s="11">
        <f>テーブル4[[#This Row],[半径方向応力:Δ0℃]]*2*寸法→圧入力!D$13^2/(寸法→圧入力!D$13^2-寸法→圧入力!F$14^2)</f>
        <v>-21.396145891952742</v>
      </c>
      <c r="AG44" s="11">
        <f>テーブル4[[#This Row],[半径方向応力:Δ+10℃]]*2*寸法→圧入力!D$13^2/(寸法→圧入力!D$13^2-寸法→圧入力!F$14^2)</f>
        <v>-38.847011228509018</v>
      </c>
      <c r="AH44" s="11">
        <f>テーブル4[[#This Row],[半径方向応力:Δ+20℃]]*2*寸法→圧入力!D$13^2/(寸法→圧入力!D$13^2-寸法→圧入力!F$14^2)</f>
        <v>-56.297876565075128</v>
      </c>
      <c r="AI44" s="11">
        <f>テーブル4[[#This Row],[半径方向応力:Δ+30℃]]*2*寸法→圧入力!D$13^2/(寸法→圧入力!D$13^2-寸法→圧入力!F$14^2)</f>
        <v>-73.748741901651073</v>
      </c>
      <c r="AJ44" s="11">
        <f>寸法→圧入力!$D$19</f>
        <v>345</v>
      </c>
      <c r="AK44" s="11">
        <f>テーブル4[[#This Row],[半径方向応力:Δ-30℃]]* (1+(寸法→圧入力!D$29/寸法→圧入力!F$28)^2)/((寸法→圧入力!D$29/寸法→圧入力!F$28)^2-1)</f>
        <v>31.672232465013501</v>
      </c>
      <c r="AL44" s="11">
        <f>テーブル4[[#This Row],[半径方向応力:Δ-20℃]]* (1+(寸法→圧入力!D$29/寸法→圧入力!F$28)^2)/((寸法→圧入力!D$29/寸法→圧入力!F$28)^2-1)</f>
        <v>13.817864100652633</v>
      </c>
      <c r="AM44" s="11">
        <f>テーブル4[[#This Row],[半径方向応力:Δ-10℃]]* (1+(寸法→圧入力!D$29/寸法→圧入力!F$28)^2)/((寸法→圧入力!D$29/寸法→圧入力!F$28)^2-1)</f>
        <v>-4.0365042637183057</v>
      </c>
      <c r="AN44" s="11">
        <f>テーブル4[[#This Row],[半径方向応力:Δ0℃]]* (1+(寸法→圧入力!D$29/寸法→圧入力!F$28)^2)/((寸法→圧入力!D$29/寸法→圧入力!F$28)^2-1)</f>
        <v>-21.890872628079173</v>
      </c>
      <c r="AO44" s="11">
        <f>テーブル4[[#This Row],[半径方向応力:Δ+10℃]]* (1+(寸法→圧入力!D$29/寸法→圧入力!F$28)^2)/((寸法→圧入力!D$29/寸法→圧入力!F$28)^2-1)</f>
        <v>-39.745240992429977</v>
      </c>
      <c r="AP44" s="11">
        <f>テーブル4[[#This Row],[半径方向応力:Δ+20℃]]* (1+(寸法→圧入力!D$29/寸法→圧入力!F$28)^2)/((寸法→圧入力!D$29/寸法→圧入力!F$28)^2-1)</f>
        <v>-57.599609356790836</v>
      </c>
      <c r="AQ44" s="11">
        <f>テーブル4[[#This Row],[半径方向応力:Δ+30℃]]* (1+(寸法→圧入力!D$29/寸法→圧入力!F$28)^2)/((寸法→圧入力!D$29/寸法→圧入力!F$28)^2-1)</f>
        <v>-75.453977721161777</v>
      </c>
      <c r="AR44" s="11">
        <f>寸法→圧入力!$D$34</f>
        <v>150</v>
      </c>
      <c r="AU44" s="152"/>
      <c r="AV44" s="151">
        <f t="shared" si="6"/>
        <v>90</v>
      </c>
      <c r="AW44" s="160">
        <f>(AW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84.411757759639286</v>
      </c>
      <c r="AX44" s="160">
        <f>(AX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80.802704104490829</v>
      </c>
      <c r="AY44" s="160">
        <f>(AY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77.193650449342357</v>
      </c>
      <c r="AZ44" s="160">
        <f>(AZ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73.584596794193871</v>
      </c>
      <c r="BA44" s="160">
        <f>(BA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69.975543139045428</v>
      </c>
      <c r="BB44" s="160">
        <f>(BB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66.36648948389697</v>
      </c>
      <c r="BC44" s="160">
        <f>(BC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62.757435828748498</v>
      </c>
      <c r="BD44" s="160">
        <f>(BD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59.148382173600041</v>
      </c>
      <c r="BE44" s="160">
        <f>(BE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55.539328518451576</v>
      </c>
      <c r="BF44" s="160">
        <f>(BF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51.930274863303119</v>
      </c>
      <c r="BG44" s="160">
        <f>(BG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48.321221208154647</v>
      </c>
      <c r="BH44" s="160">
        <f>(BH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44.712167553006182</v>
      </c>
      <c r="BI44" s="160">
        <f>(BI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41.103113897857725</v>
      </c>
      <c r="BJ44" s="160">
        <f>(BJ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37.494060242709253</v>
      </c>
      <c r="BK44" s="160">
        <f>(BK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33.885006587560795</v>
      </c>
      <c r="BL44" s="160">
        <f>(BL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30.275952932412334</v>
      </c>
      <c r="BM44" s="160">
        <f>(BM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26.666899277263873</v>
      </c>
      <c r="BN44" s="160">
        <f>(BN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23.057845622115412</v>
      </c>
      <c r="BO44" s="160">
        <f>(BO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19.44879196696694</v>
      </c>
      <c r="BP44" s="160">
        <f>(BP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15.839738311818479</v>
      </c>
      <c r="BQ44" s="160">
        <f>(BQ19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12.230684656670016</v>
      </c>
    </row>
    <row r="45" spans="1:69" x14ac:dyDescent="0.7">
      <c r="A45" s="22">
        <f t="shared" si="7"/>
        <v>0.39</v>
      </c>
      <c r="B45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384.4861274450476</v>
      </c>
      <c r="C45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394.26636568848761</v>
      </c>
      <c r="D45" s="11">
        <f>(A45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403.43962653995078</v>
      </c>
      <c r="E45" s="11">
        <f>テーブル3[[#This Row],[半径方向応力min]]*寸法→圧入力!D$43*寸法→圧入力!D$5/1000</f>
        <v>44.717443548125026</v>
      </c>
      <c r="F45" s="11">
        <f>テーブル3[[#This Row],[半径方向応力min]]*寸法→圧入力!E$43*寸法→圧入力!E$5/1000</f>
        <v>57.096998495103833</v>
      </c>
      <c r="G45" s="11">
        <f>テーブル3[[#This Row],[半径方向応力min]]*寸法→圧入力!F$43*寸法→圧入力!F$5/1000</f>
        <v>69.970160136497057</v>
      </c>
      <c r="H45" s="11">
        <f>寸法→圧入力!$D$19</f>
        <v>345</v>
      </c>
      <c r="I45" s="11">
        <f>寸法→圧入力!$D$34</f>
        <v>150</v>
      </c>
      <c r="J45" s="11">
        <f>テーブル3[[#This Row],[半径方向応力nor]]*2*寸法→圧入力!E$13^2/(寸法→圧入力!E$13^2-寸法→圧入力!E$14^2)</f>
        <v>1050.9103705499474</v>
      </c>
      <c r="K45" s="11">
        <f>テーブル3[[#This Row],[半径方向応力nor]]* (1+(寸法→圧入力!E$29/寸法→圧入力!E$28)^2)/((寸法→圧入力!E$29/寸法→圧入力!E$28)^2-1)</f>
        <v>1025.4711790183794</v>
      </c>
      <c r="N45">
        <f t="shared" si="3"/>
        <v>145</v>
      </c>
      <c r="O45" s="22">
        <f>寸法→圧入力!F$13*(1+寸法→圧入力!D$18*10^-6*(テーブル4[[#This Row],[inner温度'[℃']]]-20)) - 寸法→圧入力!D$28*(1+寸法→圧入力!D$33*10^-6*(テーブル4[[#This Row],[inner温度'[℃']]]+O$3-20))</f>
        <v>9.8121875000032333E-3</v>
      </c>
      <c r="P45" s="22">
        <f>寸法→圧入力!F$13*(1+寸法→圧入力!D$18*10^-6*(テーブル4[[#This Row],[inner温度'[℃']]]-20)) - 寸法→圧入力!D$28*(1+寸法→圧入力!D$33*10^-6*(テーブル4[[#This Row],[inner温度'[℃']]]+P$3-20))</f>
        <v>3.5121875000001523E-3</v>
      </c>
      <c r="Q45" s="22">
        <f>寸法→圧入力!F$13*(1+寸法→圧入力!D$18*10^-6*(テーブル4[[#This Row],[inner温度'[℃']]]-20)) - 寸法→圧入力!D$28*(1+寸法→圧入力!D$33*10^-6*(テーブル4[[#This Row],[inner温度'[℃']]]+Q$3-20))</f>
        <v>-2.7878125000029286E-3</v>
      </c>
      <c r="R45" s="22">
        <f>寸法→圧入力!F$13*(1+寸法→圧入力!D$18*10^-6*(テーブル4[[#This Row],[inner温度'[℃']]]-20)) - 寸法→圧入力!D$28*(1+寸法→圧入力!D$33*10^-6*(テーブル4[[#This Row],[inner温度'[℃']]]+R$3-20))</f>
        <v>-9.0878125000024568E-3</v>
      </c>
      <c r="S45" s="22">
        <f>寸法→圧入力!F$13*(1+寸法→圧入力!D$18*10^-6*(テーブル4[[#This Row],[inner温度'[℃']]]-20)) - 寸法→圧入力!D$28*(1+寸法→圧入力!D$33*10^-6*(テーブル4[[#This Row],[inner温度'[℃']]]+S$3-20))</f>
        <v>-1.5387812499998432E-2</v>
      </c>
      <c r="T45" s="22">
        <f>寸法→圧入力!F$13*(1+寸法→圧入力!D$18*10^-6*(テーブル4[[#This Row],[inner温度'[℃']]]-20)) - 寸法→圧入力!D$28*(1+寸法→圧入力!D$33*10^-6*(テーブル4[[#This Row],[inner温度'[℃']]]+T$3-20))</f>
        <v>-2.168781249999796E-2</v>
      </c>
      <c r="U45" s="22">
        <f>寸法→圧入力!F$13*(1+寸法→圧入力!D$18*10^-6*(テーブル4[[#This Row],[inner温度'[℃']]]-20)) - 寸法→圧入力!D$28*(1+寸法→圧入力!D$33*10^-6*(テーブル4[[#This Row],[inner温度'[℃']]]+U$3-20))</f>
        <v>-2.7987812500001041E-2</v>
      </c>
      <c r="V45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10.15032118087507</v>
      </c>
      <c r="W45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3.6332195213803713</v>
      </c>
      <c r="X45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-2.8838821381143278</v>
      </c>
      <c r="Y45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-9.4009837976053525</v>
      </c>
      <c r="Z45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-15.918085457092701</v>
      </c>
      <c r="AA45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-22.435187116583727</v>
      </c>
      <c r="AB45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-28.952288776078422</v>
      </c>
      <c r="AC45" s="11">
        <f>テーブル4[[#This Row],[半径方向応力:Δ-30℃]]*2*寸法→圧入力!D$13^2/(寸法→圧入力!D$13^2-寸法→圧入力!F$14^2)</f>
        <v>27.179549638048659</v>
      </c>
      <c r="AD45" s="11">
        <f>テーブル4[[#This Row],[半径方向応力:Δ-20℃]]*2*寸法→圧入力!D$13^2/(寸法→圧入力!D$13^2-寸法→圧入力!F$14^2)</f>
        <v>9.7286843014727058</v>
      </c>
      <c r="AE45" s="11">
        <f>テーブル4[[#This Row],[半径方向応力:Δ-10℃]]*2*寸法→圧入力!D$13^2/(寸法→圧入力!D$13^2-寸法→圧入力!F$14^2)</f>
        <v>-7.7221810351032483</v>
      </c>
      <c r="AF45" s="11">
        <f>テーブル4[[#This Row],[半径方向応力:Δ0℃]]*2*寸法→圧入力!D$13^2/(寸法→圧入力!D$13^2-寸法→圧入力!F$14^2)</f>
        <v>-25.173046371669365</v>
      </c>
      <c r="AG45" s="11">
        <f>テーブル4[[#This Row],[半径方向応力:Δ+10℃]]*2*寸法→圧入力!D$13^2/(寸法→圧入力!D$13^2-寸法→圧入力!F$14^2)</f>
        <v>-42.623911708225641</v>
      </c>
      <c r="AH45" s="11">
        <f>テーブル4[[#This Row],[半径方向応力:Δ+20℃]]*2*寸法→圧入力!D$13^2/(寸法→圧入力!D$13^2-寸法→圧入力!F$14^2)</f>
        <v>-60.074777044791759</v>
      </c>
      <c r="AI45" s="11">
        <f>テーブル4[[#This Row],[半径方向応力:Δ+30℃]]*2*寸法→圧入力!D$13^2/(寸法→圧入力!D$13^2-寸法→圧入力!F$14^2)</f>
        <v>-77.525642381367703</v>
      </c>
      <c r="AJ45" s="11">
        <f>寸法→圧入力!$D$19</f>
        <v>345</v>
      </c>
      <c r="AK45" s="11">
        <f>テーブル4[[#This Row],[半径方向応力:Δ-30℃]]* (1+(寸法→圧入力!D$29/寸法→圧入力!F$28)^2)/((寸法→圧入力!D$29/寸法→圧入力!F$28)^2-1)</f>
        <v>27.808001600833016</v>
      </c>
      <c r="AL45" s="11">
        <f>テーブル4[[#This Row],[半径方向応力:Δ-20℃]]* (1+(寸法→圧入力!D$29/寸法→圧入力!F$28)^2)/((寸法→圧入力!D$29/寸法→圧入力!F$28)^2-1)</f>
        <v>9.9536332364620801</v>
      </c>
      <c r="AM45" s="11">
        <f>テーブル4[[#This Row],[半径方向応力:Δ-10℃]]* (1+(寸法→圧入力!D$29/寸法→圧入力!F$28)^2)/((寸法→圧入力!D$29/寸法→圧入力!F$28)^2-1)</f>
        <v>-7.9007351279088569</v>
      </c>
      <c r="AN45" s="11">
        <f>テーブル4[[#This Row],[半径方向応力:Δ0℃]]* (1+(寸法→圧入力!D$29/寸法→圧入力!F$28)^2)/((寸法→圧入力!D$29/寸法→圧入力!F$28)^2-1)</f>
        <v>-25.755103492269729</v>
      </c>
      <c r="AO45" s="11">
        <f>テーブル4[[#This Row],[半径方向応力:Δ+10℃]]* (1+(寸法→圧入力!D$29/寸法→圧入力!F$28)^2)/((寸法→圧入力!D$29/寸法→圧入力!F$28)^2-1)</f>
        <v>-43.609471856620523</v>
      </c>
      <c r="AP45" s="11">
        <f>テーブル4[[#This Row],[半径方向応力:Δ+20℃]]* (1+(寸法→圧入力!D$29/寸法→圧入力!F$28)^2)/((寸法→圧入力!D$29/寸法→圧入力!F$28)^2-1)</f>
        <v>-61.463840220981396</v>
      </c>
      <c r="AQ45" s="11">
        <f>テーブル4[[#This Row],[半径方向応力:Δ+30℃]]* (1+(寸法→圧入力!D$29/寸法→圧入力!F$28)^2)/((寸法→圧入力!D$29/寸法→圧入力!F$28)^2-1)</f>
        <v>-79.318208585352323</v>
      </c>
      <c r="AR45" s="11">
        <f>寸法→圧入力!$D$34</f>
        <v>150</v>
      </c>
      <c r="AU45" s="152"/>
      <c r="AV45" s="151">
        <f t="shared" si="6"/>
        <v>100</v>
      </c>
      <c r="AW45" s="160">
        <f>(AW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90.780675974607149</v>
      </c>
      <c r="AX45" s="160">
        <f>(AX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87.171622319458692</v>
      </c>
      <c r="AY45" s="160">
        <f>(AY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83.56256866431022</v>
      </c>
      <c r="AZ45" s="160">
        <f>(AZ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79.953515009161777</v>
      </c>
      <c r="BA45" s="160">
        <f>(BA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76.344461354013305</v>
      </c>
      <c r="BB45" s="160">
        <f>(BB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72.735407698864847</v>
      </c>
      <c r="BC45" s="160">
        <f>(BC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69.126354043716375</v>
      </c>
      <c r="BD45" s="160">
        <f>(BD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65.517300388567918</v>
      </c>
      <c r="BE45" s="160">
        <f>(BE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61.908246733419453</v>
      </c>
      <c r="BF45" s="160">
        <f>(BF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58.299193078270989</v>
      </c>
      <c r="BG45" s="160">
        <f>(BG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54.690139423122524</v>
      </c>
      <c r="BH45" s="160">
        <f>(BH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51.081085767974059</v>
      </c>
      <c r="BI45" s="160">
        <f>(BI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47.472032112825602</v>
      </c>
      <c r="BJ45" s="160">
        <f>(BJ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43.86297845767713</v>
      </c>
      <c r="BK45" s="160">
        <f>(BK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40.253924802528672</v>
      </c>
      <c r="BL45" s="160">
        <f>(BL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36.644871147380208</v>
      </c>
      <c r="BM45" s="160">
        <f>(BM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33.035817492231743</v>
      </c>
      <c r="BN45" s="160">
        <f>(BN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29.426763837083282</v>
      </c>
      <c r="BO45" s="160">
        <f>(BO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25.817710181934814</v>
      </c>
      <c r="BP45" s="160">
        <f>(BP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22.208656526786356</v>
      </c>
      <c r="BQ45" s="160">
        <f>(BQ20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18.599602871637892</v>
      </c>
    </row>
    <row r="46" spans="1:69" x14ac:dyDescent="0.7">
      <c r="A46" s="22">
        <f t="shared" si="7"/>
        <v>0.4</v>
      </c>
      <c r="B46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394.34474609748474</v>
      </c>
      <c r="C46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404.37575968050015</v>
      </c>
      <c r="D46" s="11">
        <f>(A46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413.78423234866744</v>
      </c>
      <c r="E46" s="11">
        <f>テーブル3[[#This Row],[半径方向応力min]]*寸法→圧入力!D$43*寸法→圧入力!D$5/1000</f>
        <v>45.864044664743609</v>
      </c>
      <c r="F46" s="11">
        <f>テーブル3[[#This Row],[半径方向応力min]]*寸法→圧入力!E$43*寸法→圧入力!E$5/1000</f>
        <v>58.561024097542393</v>
      </c>
      <c r="G46" s="11">
        <f>テーブル3[[#This Row],[半径方向応力min]]*寸法→圧入力!F$43*寸法→圧入力!F$5/1000</f>
        <v>71.764266806663642</v>
      </c>
      <c r="H46" s="11">
        <f>寸法→圧入力!$D$19</f>
        <v>345</v>
      </c>
      <c r="I46" s="11">
        <f>寸法→圧入力!$D$34</f>
        <v>150</v>
      </c>
      <c r="J46" s="11">
        <f>テーブル3[[#This Row],[半径方向応力nor]]*2*寸法→圧入力!E$13^2/(寸法→圧入力!E$13^2-寸法→圧入力!E$14^2)</f>
        <v>1077.8567903076384</v>
      </c>
      <c r="K46" s="11">
        <f>テーブル3[[#This Row],[半径方向応力nor]]* (1+(寸法→圧入力!E$29/寸法→圧入力!E$28)^2)/((寸法→圧入力!E$29/寸法→圧入力!E$28)^2-1)</f>
        <v>1051.7653118137225</v>
      </c>
      <c r="N46">
        <f t="shared" si="3"/>
        <v>150</v>
      </c>
      <c r="O46" s="22">
        <f>寸法→圧入力!F$13*(1+寸法→圧入力!D$18*10^-6*(テーブル4[[#This Row],[inner温度'[℃']]]-20)) - 寸法→圧入力!D$28*(1+寸法→圧入力!D$33*10^-6*(テーブル4[[#This Row],[inner温度'[℃']]]+O$3-20))</f>
        <v>8.4486750000003497E-3</v>
      </c>
      <c r="P46" s="22">
        <f>寸法→圧入力!F$13*(1+寸法→圧入力!D$18*10^-6*(テーブル4[[#This Row],[inner温度'[℃']]]-20)) - 寸法→圧入力!D$28*(1+寸法→圧入力!D$33*10^-6*(テーブル4[[#This Row],[inner温度'[℃']]]+P$3-20))</f>
        <v>2.1486749999972687E-3</v>
      </c>
      <c r="Q46" s="22">
        <f>寸法→圧入力!F$13*(1+寸法→圧入力!D$18*10^-6*(テーブル4[[#This Row],[inner温度'[℃']]]-20)) - 寸法→圧入力!D$28*(1+寸法→圧入力!D$33*10^-6*(テーブル4[[#This Row],[inner温度'[℃']]]+Q$3-20))</f>
        <v>-4.1513250000022595E-3</v>
      </c>
      <c r="R46" s="22">
        <f>寸法→圧入力!F$13*(1+寸法→圧入力!D$18*10^-6*(テーブル4[[#This Row],[inner温度'[℃']]]-20)) - 寸法→圧入力!D$28*(1+寸法→圧入力!D$33*10^-6*(テーブル4[[#This Row],[inner温度'[℃']]]+R$3-20))</f>
        <v>-1.0451324999998235E-2</v>
      </c>
      <c r="S46" s="22">
        <f>寸法→圧入力!F$13*(1+寸法→圧入力!D$18*10^-6*(テーブル4[[#This Row],[inner温度'[℃']]]-20)) - 寸法→圧入力!D$28*(1+寸法→圧入力!D$33*10^-6*(テーブル4[[#This Row],[inner温度'[℃']]]+S$3-20))</f>
        <v>-1.6751324999997763E-2</v>
      </c>
      <c r="T46" s="22">
        <f>寸法→圧入力!F$13*(1+寸法→圧入力!D$18*10^-6*(テーブル4[[#This Row],[inner温度'[℃']]]-20)) - 寸法→圧入力!D$28*(1+寸法→圧入力!D$33*10^-6*(テーブル4[[#This Row],[inner温度'[℃']]]+T$3-20))</f>
        <v>-2.3051325000000844E-2</v>
      </c>
      <c r="U46" s="22">
        <f>寸法→圧入力!F$13*(1+寸法→圧入力!D$18*10^-6*(テーブル4[[#This Row],[inner温度'[℃']]]-20)) - 寸法→圧入力!D$28*(1+寸法→圧入力!D$33*10^-6*(テーブル4[[#This Row],[inner温度'[℃']]]+U$3-20))</f>
        <v>-2.9351325000000372E-2</v>
      </c>
      <c r="V46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8.7398212480963053</v>
      </c>
      <c r="W46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2.2227195886016071</v>
      </c>
      <c r="X46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-4.2943820708894176</v>
      </c>
      <c r="Y46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-10.811483730376766</v>
      </c>
      <c r="Z46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-17.32858538986779</v>
      </c>
      <c r="AA46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-23.845687049362489</v>
      </c>
      <c r="AB46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-30.362788708853515</v>
      </c>
      <c r="AC46" s="11">
        <f>テーブル4[[#This Row],[半径方向応力:Δ-30℃]]*2*寸法→圧入力!D$13^2/(寸法→圧入力!D$13^2-寸法→圧入力!F$14^2)</f>
        <v>23.402649158322198</v>
      </c>
      <c r="AD46" s="11">
        <f>テーブル4[[#This Row],[半径方向応力:Δ-20℃]]*2*寸法→圧入力!D$13^2/(寸法→圧入力!D$13^2-寸法→圧入力!F$14^2)</f>
        <v>5.9517838217462451</v>
      </c>
      <c r="AE46" s="11">
        <f>テーブル4[[#This Row],[半径方向応力:Δ-10℃]]*2*寸法→圧入力!D$13^2/(寸法→圧入力!D$13^2-寸法→圧入力!F$14^2)</f>
        <v>-11.499081514819872</v>
      </c>
      <c r="AF46" s="11">
        <f>テーブル4[[#This Row],[半径方向応力:Δ0℃]]*2*寸法→圧入力!D$13^2/(寸法→圧入力!D$13^2-寸法→圧入力!F$14^2)</f>
        <v>-28.949946851376147</v>
      </c>
      <c r="AG46" s="11">
        <f>テーブル4[[#This Row],[半径方向応力:Δ+10℃]]*2*寸法→圧入力!D$13^2/(寸法→圧入力!D$13^2-寸法→圧入力!F$14^2)</f>
        <v>-46.400812187942257</v>
      </c>
      <c r="AH46" s="11">
        <f>テーブル4[[#This Row],[半径方向応力:Δ+20℃]]*2*寸法→圧入力!D$13^2/(寸法→圧入力!D$13^2-寸法→圧入力!F$14^2)</f>
        <v>-63.851677524518209</v>
      </c>
      <c r="AI46" s="11">
        <f>テーブル4[[#This Row],[半径方向応力:Δ+30℃]]*2*寸法→圧入力!D$13^2/(寸法→圧入力!D$13^2-寸法→圧入力!F$14^2)</f>
        <v>-81.302542861084333</v>
      </c>
      <c r="AJ46" s="11">
        <f>寸法→圧入力!$D$19</f>
        <v>345</v>
      </c>
      <c r="AK46" s="11">
        <f>テーブル4[[#This Row],[半径方向応力:Δ-30℃]]* (1+(寸法→圧入力!D$29/寸法→圧入力!F$28)^2)/((寸法→圧入力!D$29/寸法→圧入力!F$28)^2-1)</f>
        <v>23.943770736632395</v>
      </c>
      <c r="AL46" s="11">
        <f>テーブル4[[#This Row],[半径方向応力:Δ-20℃]]* (1+(寸法→圧入力!D$29/寸法→圧入力!F$28)^2)/((寸法→圧入力!D$29/寸法→圧入力!F$28)^2-1)</f>
        <v>6.0894023722614605</v>
      </c>
      <c r="AM46" s="11">
        <f>テーブル4[[#This Row],[半径方向応力:Δ-10℃]]* (1+(寸法→圧入力!D$29/寸法→圧入力!F$28)^2)/((寸法→圧入力!D$29/寸法→圧入力!F$28)^2-1)</f>
        <v>-11.764965992099411</v>
      </c>
      <c r="AN46" s="11">
        <f>テーブル4[[#This Row],[半径方向応力:Δ0℃]]* (1+(寸法→圧入力!D$29/寸法→圧入力!F$28)^2)/((寸法→圧入力!D$29/寸法→圧入力!F$28)^2-1)</f>
        <v>-29.619334356450214</v>
      </c>
      <c r="AO46" s="11">
        <f>テーブル4[[#This Row],[半径方向応力:Δ+10℃]]* (1+(寸法→圧入力!D$29/寸法→圧入力!F$28)^2)/((寸法→圧入力!D$29/寸法→圧入力!F$28)^2-1)</f>
        <v>-47.473702720811076</v>
      </c>
      <c r="AP46" s="11">
        <f>テーブル4[[#This Row],[半径方向応力:Δ+20℃]]* (1+(寸法→圧入力!D$29/寸法→圧入力!F$28)^2)/((寸法→圧入力!D$29/寸法→圧入力!F$28)^2-1)</f>
        <v>-65.328071085182017</v>
      </c>
      <c r="AQ46" s="11">
        <f>テーブル4[[#This Row],[半径方向応力:Δ+30℃]]* (1+(寸法→圧入力!D$29/寸法→圧入力!F$28)^2)/((寸法→圧入力!D$29/寸法→圧入力!F$28)^2-1)</f>
        <v>-83.182439449542898</v>
      </c>
      <c r="AR46" s="11">
        <f>寸法→圧入力!$D$34</f>
        <v>150</v>
      </c>
      <c r="AU46" s="152"/>
      <c r="AV46" s="151">
        <f t="shared" si="6"/>
        <v>110</v>
      </c>
      <c r="AW46" s="160">
        <f>(AW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97.149594189575012</v>
      </c>
      <c r="AX46" s="160">
        <f>(AX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93.540540534426569</v>
      </c>
      <c r="AY46" s="160">
        <f>(AY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89.931486879278111</v>
      </c>
      <c r="AZ46" s="160">
        <f>(AZ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86.322433224129654</v>
      </c>
      <c r="BA46" s="160">
        <f>(BA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82.713379568981182</v>
      </c>
      <c r="BB46" s="160">
        <f>(BB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79.104325913832724</v>
      </c>
      <c r="BC46" s="160">
        <f>(BC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75.495272258684238</v>
      </c>
      <c r="BD46" s="160">
        <f>(BD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71.886218603535795</v>
      </c>
      <c r="BE46" s="160">
        <f>(BE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68.277164948387338</v>
      </c>
      <c r="BF46" s="160">
        <f>(BF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64.668111293238866</v>
      </c>
      <c r="BG46" s="160">
        <f>(BG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61.059057638090408</v>
      </c>
      <c r="BH46" s="160">
        <f>(BH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57.450003982941936</v>
      </c>
      <c r="BI46" s="160">
        <f>(BI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53.840950327793479</v>
      </c>
      <c r="BJ46" s="160">
        <f>(BJ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50.231896672645014</v>
      </c>
      <c r="BK46" s="160">
        <f>(BK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46.62284301749655</v>
      </c>
      <c r="BL46" s="160">
        <f>(BL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43.013789362348092</v>
      </c>
      <c r="BM46" s="160">
        <f>(BM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39.404735707199627</v>
      </c>
      <c r="BN46" s="160">
        <f>(BN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35.795682052051163</v>
      </c>
      <c r="BO46" s="160">
        <f>(BO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32.186628396902705</v>
      </c>
      <c r="BP46" s="160">
        <f>(BP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28.577574741754233</v>
      </c>
      <c r="BQ46" s="160">
        <f>(BQ21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24.968521086605769</v>
      </c>
    </row>
    <row r="47" spans="1:69" x14ac:dyDescent="0.7">
      <c r="A47" s="22">
        <f t="shared" si="7"/>
        <v>0.41000000000000003</v>
      </c>
      <c r="B47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404.20336474992183</v>
      </c>
      <c r="C47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414.48515367251264</v>
      </c>
      <c r="D47" s="11">
        <f>(A47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424.12883815738411</v>
      </c>
      <c r="E47" s="11">
        <f>テーブル3[[#This Row],[半径方向応力min]]*寸法→圧入力!D$43*寸法→圧入力!D$5/1000</f>
        <v>47.010645781362193</v>
      </c>
      <c r="F47" s="11">
        <f>テーブル3[[#This Row],[半径方向応力min]]*寸法→圧入力!E$43*寸法→圧入力!E$5/1000</f>
        <v>60.025049699980947</v>
      </c>
      <c r="G47" s="11">
        <f>テーブル3[[#This Row],[半径方向応力min]]*寸法→圧入力!F$43*寸法→圧入力!F$5/1000</f>
        <v>73.558373476830226</v>
      </c>
      <c r="H47" s="11">
        <f>寸法→圧入力!$D$19</f>
        <v>345</v>
      </c>
      <c r="I47" s="11">
        <f>寸法→圧入力!$D$34</f>
        <v>150</v>
      </c>
      <c r="J47" s="11">
        <f>テーブル3[[#This Row],[半径方向応力nor]]*2*寸法→圧入力!E$13^2/(寸法→圧入力!E$13^2-寸法→圧入力!E$14^2)</f>
        <v>1104.8032100653295</v>
      </c>
      <c r="K47" s="11">
        <f>テーブル3[[#This Row],[半径方向応力nor]]* (1+(寸法→圧入力!E$29/寸法→圧入力!E$28)^2)/((寸法→圧入力!E$29/寸法→圧入力!E$28)^2-1)</f>
        <v>1078.0594446090656</v>
      </c>
      <c r="N47">
        <f t="shared" si="3"/>
        <v>155</v>
      </c>
      <c r="O47" s="22">
        <f>寸法→圧入力!F$13*(1+寸法→圧入力!D$18*10^-6*(テーブル4[[#This Row],[inner温度'[℃']]]-20)) - 寸法→圧入力!D$28*(1+寸法→圧入力!D$33*10^-6*(テーブル4[[#This Row],[inner温度'[℃']]]+O$3-20))</f>
        <v>7.0851625000010188E-3</v>
      </c>
      <c r="P47" s="22">
        <f>寸法→圧入力!F$13*(1+寸法→圧入力!D$18*10^-6*(テーブル4[[#This Row],[inner温度'[℃']]]-20)) - 寸法→圧入力!D$28*(1+寸法→圧入力!D$33*10^-6*(テーブル4[[#This Row],[inner温度'[℃']]]+P$3-20))</f>
        <v>7.8516249999793786E-4</v>
      </c>
      <c r="Q47" s="22">
        <f>寸法→圧入力!F$13*(1+寸法→圧入力!D$18*10^-6*(テーブル4[[#This Row],[inner温度'[℃']]]-20)) - 寸法→圧入力!D$28*(1+寸法→圧入力!D$33*10^-6*(テーブル4[[#This Row],[inner温度'[℃']]]+Q$3-20))</f>
        <v>-5.5148375000015903E-3</v>
      </c>
      <c r="R47" s="22">
        <f>寸法→圧入力!F$13*(1+寸法→圧入力!D$18*10^-6*(テーブル4[[#This Row],[inner温度'[℃']]]-20)) - 寸法→圧入力!D$28*(1+寸法→圧入力!D$33*10^-6*(テーブル4[[#This Row],[inner温度'[℃']]]+R$3-20))</f>
        <v>-1.1814837499997566E-2</v>
      </c>
      <c r="S47" s="22">
        <f>寸法→圧入力!F$13*(1+寸法→圧入力!D$18*10^-6*(テーブル4[[#This Row],[inner温度'[℃']]]-20)) - 寸法→圧入力!D$28*(1+寸法→圧入力!D$33*10^-6*(テーブル4[[#This Row],[inner温度'[℃']]]+S$3-20))</f>
        <v>-1.8114837499997094E-2</v>
      </c>
      <c r="T47" s="22">
        <f>寸法→圧入力!F$13*(1+寸法→圧入力!D$18*10^-6*(テーブル4[[#This Row],[inner温度'[℃']]]-20)) - 寸法→圧入力!D$28*(1+寸法→圧入力!D$33*10^-6*(テーブル4[[#This Row],[inner温度'[℃']]]+T$3-20))</f>
        <v>-2.4414837500000175E-2</v>
      </c>
      <c r="U47" s="22">
        <f>寸法→圧入力!F$13*(1+寸法→圧入力!D$18*10^-6*(テーブル4[[#This Row],[inner温度'[℃']]]-20)) - 寸法→圧入力!D$28*(1+寸法→圧入力!D$33*10^-6*(テーブル4[[#This Row],[inner温度'[℃']]]+U$3-20))</f>
        <v>-3.0714837499999703E-2</v>
      </c>
      <c r="V47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7.3293213153212173</v>
      </c>
      <c r="W47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0.81221965582651823</v>
      </c>
      <c r="X47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-5.7048820036645056</v>
      </c>
      <c r="Y47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-12.221983663151855</v>
      </c>
      <c r="Z47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-18.739085322642879</v>
      </c>
      <c r="AA47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-25.256186982137578</v>
      </c>
      <c r="AB47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-31.773288641628604</v>
      </c>
      <c r="AC47" s="11">
        <f>テーブル4[[#This Row],[半径方向応力:Δ-30℃]]*2*寸法→圧入力!D$13^2/(寸法→圧入力!D$13^2-寸法→圧入力!F$14^2)</f>
        <v>19.625748678605582</v>
      </c>
      <c r="AD47" s="11">
        <f>テーブル4[[#This Row],[半径方向応力:Δ-20℃]]*2*寸法→圧入力!D$13^2/(寸法→圧入力!D$13^2-寸法→圧入力!F$14^2)</f>
        <v>2.1748833420296241</v>
      </c>
      <c r="AE47" s="11">
        <f>テーブル4[[#This Row],[半径方向応力:Δ-10℃]]*2*寸法→圧入力!D$13^2/(寸法→圧入力!D$13^2-寸法→圧入力!F$14^2)</f>
        <v>-15.27598199453649</v>
      </c>
      <c r="AF47" s="11">
        <f>テーブル4[[#This Row],[半径方向応力:Δ0℃]]*2*寸法→圧入力!D$13^2/(寸法→圧入力!D$13^2-寸法→圧入力!F$14^2)</f>
        <v>-32.726847331092763</v>
      </c>
      <c r="AG47" s="11">
        <f>テーブル4[[#This Row],[半径方向応力:Δ+10℃]]*2*寸法→圧入力!D$13^2/(寸法→圧入力!D$13^2-寸法→圧入力!F$14^2)</f>
        <v>-50.177712667658881</v>
      </c>
      <c r="AH47" s="11">
        <f>テーブル4[[#This Row],[半径方向応力:Δ+20℃]]*2*寸法→圧入力!D$13^2/(寸法→圧入力!D$13^2-寸法→圧入力!F$14^2)</f>
        <v>-67.628578004234825</v>
      </c>
      <c r="AI47" s="11">
        <f>テーブル4[[#This Row],[半径方向応力:Δ+30℃]]*2*寸法→圧入力!D$13^2/(寸法→圧入力!D$13^2-寸法→圧入力!F$14^2)</f>
        <v>-85.079443340800964</v>
      </c>
      <c r="AJ47" s="11">
        <f>寸法→圧入力!$D$19</f>
        <v>345</v>
      </c>
      <c r="AK47" s="11">
        <f>テーブル4[[#This Row],[半径方向応力:Δ-30℃]]* (1+(寸法→圧入力!D$29/寸法→圧入力!F$28)^2)/((寸法→圧入力!D$29/寸法→圧入力!F$28)^2-1)</f>
        <v>20.079539872441845</v>
      </c>
      <c r="AL47" s="11">
        <f>テーブル4[[#This Row],[半径方向応力:Δ-20℃]]* (1+(寸法→圧入力!D$29/寸法→圧入力!F$28)^2)/((寸法→圧入力!D$29/寸法→圧入力!F$28)^2-1)</f>
        <v>2.225171508070908</v>
      </c>
      <c r="AM47" s="11">
        <f>テーブル4[[#This Row],[半径方向応力:Δ-10℃]]* (1+(寸法→圧入力!D$29/寸法→圧入力!F$28)^2)/((寸法→圧入力!D$29/寸法→圧入力!F$28)^2-1)</f>
        <v>-15.629196856289958</v>
      </c>
      <c r="AN47" s="11">
        <f>テーブル4[[#This Row],[半径方向応力:Δ0℃]]* (1+(寸法→圧入力!D$29/寸法→圧入力!F$28)^2)/((寸法→圧入力!D$29/寸法→圧入力!F$28)^2-1)</f>
        <v>-33.483565220640763</v>
      </c>
      <c r="AO47" s="11">
        <f>テーブル4[[#This Row],[半径方向応力:Δ+10℃]]* (1+(寸法→圧入力!D$29/寸法→圧入力!F$28)^2)/((寸法→圧入力!D$29/寸法→圧入力!F$28)^2-1)</f>
        <v>-51.337933585001629</v>
      </c>
      <c r="AP47" s="11">
        <f>テーブル4[[#This Row],[半径方向応力:Δ+20℃]]* (1+(寸法→圧入力!D$29/寸法→圧入力!F$28)^2)/((寸法→圧入力!D$29/寸法→圧入力!F$28)^2-1)</f>
        <v>-69.192301949372563</v>
      </c>
      <c r="AQ47" s="11">
        <f>テーブル4[[#This Row],[半径方向応力:Δ+30℃]]* (1+(寸法→圧入力!D$29/寸法→圧入力!F$28)^2)/((寸法→圧入力!D$29/寸法→圧入力!F$28)^2-1)</f>
        <v>-87.046670313733443</v>
      </c>
      <c r="AR47" s="11">
        <f>寸法→圧入力!$D$34</f>
        <v>150</v>
      </c>
      <c r="AU47" s="152"/>
      <c r="AV47" s="151">
        <f t="shared" si="6"/>
        <v>120</v>
      </c>
      <c r="AW47" s="160">
        <f>(AW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103.5185124045429</v>
      </c>
      <c r="AX47" s="160">
        <f>(AX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99.909458749394446</v>
      </c>
      <c r="AY47" s="160">
        <f>(AY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96.300405094245988</v>
      </c>
      <c r="AZ47" s="160">
        <f>(AZ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92.691351439097517</v>
      </c>
      <c r="BA47" s="160">
        <f>(BA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89.082297783949059</v>
      </c>
      <c r="BB47" s="160">
        <f>(BB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85.473244128800587</v>
      </c>
      <c r="BC47" s="160">
        <f>(BC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81.86419047365213</v>
      </c>
      <c r="BD47" s="160">
        <f>(BD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78.255136818503672</v>
      </c>
      <c r="BE47" s="160">
        <f>(BE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74.646083163355186</v>
      </c>
      <c r="BF47" s="160">
        <f>(BF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71.037029508206743</v>
      </c>
      <c r="BG47" s="160">
        <f>(BG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67.427975853058271</v>
      </c>
      <c r="BH47" s="160">
        <f>(BH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63.818922197909821</v>
      </c>
      <c r="BI47" s="160">
        <f>(BI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60.209868542761349</v>
      </c>
      <c r="BJ47" s="160">
        <f>(BJ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56.600814887612884</v>
      </c>
      <c r="BK47" s="160">
        <f>(BK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52.991761232464427</v>
      </c>
      <c r="BL47" s="160">
        <f>(BL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49.382707577315962</v>
      </c>
      <c r="BM47" s="160">
        <f>(BM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45.77365392216749</v>
      </c>
      <c r="BN47" s="160">
        <f>(BN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42.164600267019047</v>
      </c>
      <c r="BO47" s="160">
        <f>(BO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38.555546611870568</v>
      </c>
      <c r="BP47" s="160">
        <f>(BP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34.946492956722103</v>
      </c>
      <c r="BQ47" s="160">
        <f>(BQ22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31.337439301573642</v>
      </c>
    </row>
    <row r="48" spans="1:69" x14ac:dyDescent="0.7">
      <c r="A48" s="22">
        <f t="shared" si="7"/>
        <v>0.42</v>
      </c>
      <c r="B48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414.06198340235892</v>
      </c>
      <c r="C48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424.59454766452512</v>
      </c>
      <c r="D48" s="11">
        <f>(A48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434.47344396610083</v>
      </c>
      <c r="E48" s="11">
        <f>テーブル3[[#This Row],[半径方向応力min]]*寸法→圧入力!D$43*寸法→圧入力!D$5/1000</f>
        <v>48.157246897980791</v>
      </c>
      <c r="F48" s="11">
        <f>テーブル3[[#This Row],[半径方向応力min]]*寸法→圧入力!E$43*寸法→圧入力!E$5/1000</f>
        <v>61.489075302419501</v>
      </c>
      <c r="G48" s="11">
        <f>テーブル3[[#This Row],[半径方向応力min]]*寸法→圧入力!F$43*寸法→圧入力!F$5/1000</f>
        <v>75.352480146996811</v>
      </c>
      <c r="H48" s="11">
        <f>寸法→圧入力!$D$19</f>
        <v>345</v>
      </c>
      <c r="I48" s="11">
        <f>寸法→圧入力!$D$34</f>
        <v>150</v>
      </c>
      <c r="J48" s="11">
        <f>テーブル3[[#This Row],[半径方向応力nor]]*2*寸法→圧入力!E$13^2/(寸法→圧入力!E$13^2-寸法→圧入力!E$14^2)</f>
        <v>1131.7496298230203</v>
      </c>
      <c r="K48" s="11">
        <f>テーブル3[[#This Row],[半径方向応力nor]]* (1+(寸法→圧入力!E$29/寸法→圧入力!E$28)^2)/((寸法→圧入力!E$29/寸法→圧入力!E$28)^2-1)</f>
        <v>1104.3535774044087</v>
      </c>
      <c r="N48">
        <f t="shared" si="3"/>
        <v>160</v>
      </c>
      <c r="O48" s="22">
        <f>寸法→圧入力!F$13*(1+寸法→圧入力!D$18*10^-6*(テーブル4[[#This Row],[inner温度'[℃']]]-20)) - 寸法→圧入力!D$28*(1+寸法→圧入力!D$33*10^-6*(テーブル4[[#This Row],[inner温度'[℃']]]+O$3-20))</f>
        <v>5.7216499999945825E-3</v>
      </c>
      <c r="P48" s="22">
        <f>寸法→圧入力!F$13*(1+寸法→圧入力!D$18*10^-6*(テーブル4[[#This Row],[inner温度'[℃']]]-20)) - 寸法→圧入力!D$28*(1+寸法→圧入力!D$33*10^-6*(テーブル4[[#This Row],[inner温度'[℃']]]+P$3-20))</f>
        <v>-5.7835000000494574E-4</v>
      </c>
      <c r="Q48" s="22">
        <f>寸法→圧入力!F$13*(1+寸法→圧入力!D$18*10^-6*(テーブル4[[#This Row],[inner温度'[℃']]]-20)) - 寸法→圧入力!D$28*(1+寸法→圧入力!D$33*10^-6*(テーブル4[[#This Row],[inner温度'[℃']]]+Q$3-20))</f>
        <v>-6.8783500000009212E-3</v>
      </c>
      <c r="R48" s="22">
        <f>寸法→圧入力!F$13*(1+寸法→圧入力!D$18*10^-6*(テーブル4[[#This Row],[inner温度'[℃']]]-20)) - 寸法→圧入力!D$28*(1+寸法→圧入力!D$33*10^-6*(テーブル4[[#This Row],[inner温度'[℃']]]+R$3-20))</f>
        <v>-1.3178350000000449E-2</v>
      </c>
      <c r="S48" s="22">
        <f>寸法→圧入力!F$13*(1+寸法→圧入力!D$18*10^-6*(テーブル4[[#This Row],[inner温度'[℃']]]-20)) - 寸法→圧入力!D$28*(1+寸法→圧入力!D$33*10^-6*(テーブル4[[#This Row],[inner温度'[℃']]]+S$3-20))</f>
        <v>-1.947835000000353E-2</v>
      </c>
      <c r="T48" s="22">
        <f>寸法→圧入力!F$13*(1+寸法→圧入力!D$18*10^-6*(テーブル4[[#This Row],[inner温度'[℃']]]-20)) - 寸法→圧入力!D$28*(1+寸法→圧入力!D$33*10^-6*(テーブル4[[#This Row],[inner温度'[℃']]]+T$3-20))</f>
        <v>-2.5778350000003059E-2</v>
      </c>
      <c r="U48" s="22">
        <f>寸法→圧入力!F$13*(1+寸法→圧入力!D$18*10^-6*(テーブル4[[#This Row],[inner温度'[℃']]]-20)) - 寸法→圧入力!D$28*(1+寸法→圧入力!D$33*10^-6*(テーブル4[[#This Row],[inner温度'[℃']]]+U$3-20))</f>
        <v>-3.2078350000006139E-2</v>
      </c>
      <c r="V48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5.9188213825387779</v>
      </c>
      <c r="W48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-0.59828027695224573</v>
      </c>
      <c r="X48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-7.1153819364395945</v>
      </c>
      <c r="Y48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-13.632483595930619</v>
      </c>
      <c r="Z48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-20.149585255425318</v>
      </c>
      <c r="AA48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-26.66668691491634</v>
      </c>
      <c r="AB48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-33.183788574411039</v>
      </c>
      <c r="AC48" s="11">
        <f>テーブル4[[#This Row],[半径方向応力:Δ-30℃]]*2*寸法→圧入力!D$13^2/(寸法→圧入力!D$13^2-寸法→圧入力!F$14^2)</f>
        <v>15.848848198869277</v>
      </c>
      <c r="AD48" s="11">
        <f>テーブル4[[#This Row],[半径方向応力:Δ-20℃]]*2*寸法→圧入力!D$13^2/(寸法→圧入力!D$13^2-寸法→圧入力!F$14^2)</f>
        <v>-1.6020171376968373</v>
      </c>
      <c r="AE48" s="11">
        <f>テーブル4[[#This Row],[半径方向応力:Δ-10℃]]*2*寸法→圧入力!D$13^2/(寸法→圧入力!D$13^2-寸法→圧入力!F$14^2)</f>
        <v>-19.052882474253114</v>
      </c>
      <c r="AF48" s="11">
        <f>テーブル4[[#This Row],[半径方向応力:Δ0℃]]*2*寸法→圧入力!D$13^2/(寸法→圧入力!D$13^2-寸法→圧入力!F$14^2)</f>
        <v>-36.503747810819227</v>
      </c>
      <c r="AG48" s="11">
        <f>テーブル4[[#This Row],[半径方向応力:Δ+10℃]]*2*寸法→圧入力!D$13^2/(寸法→圧入力!D$13^2-寸法→圧入力!F$14^2)</f>
        <v>-53.954613147395186</v>
      </c>
      <c r="AH48" s="11">
        <f>テーブル4[[#This Row],[半径方向応力:Δ+20℃]]*2*寸法→圧入力!D$13^2/(寸法→圧入力!D$13^2-寸法→圧入力!F$14^2)</f>
        <v>-71.405478483961289</v>
      </c>
      <c r="AI48" s="11">
        <f>テーブル4[[#This Row],[半径方向応力:Δ+30℃]]*2*寸法→圧入力!D$13^2/(寸法→圧入力!D$13^2-寸法→圧入力!F$14^2)</f>
        <v>-88.856343820537248</v>
      </c>
      <c r="AJ48" s="11">
        <f>寸法→圧入力!$D$19</f>
        <v>345</v>
      </c>
      <c r="AK48" s="11">
        <f>テーブル4[[#This Row],[半径方向応力:Δ-30℃]]* (1+(寸法→圧入力!D$29/寸法→圧入力!F$28)^2)/((寸法→圧入力!D$29/寸法→圧入力!F$28)^2-1)</f>
        <v>16.215309008231156</v>
      </c>
      <c r="AL48" s="11">
        <f>テーブル4[[#This Row],[半径方向応力:Δ-20℃]]* (1+(寸法→圧入力!D$29/寸法→圧入力!F$28)^2)/((寸法→圧入力!D$29/寸法→圧入力!F$28)^2-1)</f>
        <v>-1.639059356129712</v>
      </c>
      <c r="AM48" s="11">
        <f>テーブル4[[#This Row],[半径方向応力:Δ-10℃]]* (1+(寸法→圧入力!D$29/寸法→圧入力!F$28)^2)/((寸法→圧入力!D$29/寸法→圧入力!F$28)^2-1)</f>
        <v>-19.493427720480511</v>
      </c>
      <c r="AN48" s="11">
        <f>テーブル4[[#This Row],[半径方向応力:Δ0℃]]* (1+(寸法→圧入力!D$29/寸法→圧入力!F$28)^2)/((寸法→圧入力!D$29/寸法→圧入力!F$28)^2-1)</f>
        <v>-37.347796084841384</v>
      </c>
      <c r="AO48" s="11">
        <f>テーブル4[[#This Row],[半径方向応力:Δ+10℃]]* (1+(寸法→圧入力!D$29/寸法→圧入力!F$28)^2)/((寸法→圧入力!D$29/寸法→圧入力!F$28)^2-1)</f>
        <v>-55.202164449212319</v>
      </c>
      <c r="AP48" s="11">
        <f>テーブル4[[#This Row],[半径方向応力:Δ+20℃]]* (1+(寸法→圧入力!D$29/寸法→圧入力!F$28)^2)/((寸法→圧入力!D$29/寸法→圧入力!F$28)^2-1)</f>
        <v>-73.056532813573185</v>
      </c>
      <c r="AQ48" s="11">
        <f>テーブル4[[#This Row],[半径方向応力:Δ+30℃]]* (1+(寸法→圧入力!D$29/寸法→圧入力!F$28)^2)/((寸法→圧入力!D$29/寸法→圧入力!F$28)^2-1)</f>
        <v>-90.910901177944126</v>
      </c>
      <c r="AR48" s="11">
        <f>寸法→圧入力!$D$34</f>
        <v>150</v>
      </c>
      <c r="AU48" s="152"/>
      <c r="AV48" s="151">
        <f t="shared" si="6"/>
        <v>130</v>
      </c>
      <c r="AW48" s="160">
        <f>(AW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109.88743061951079</v>
      </c>
      <c r="AX48" s="160">
        <f>(AX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106.27837696436232</v>
      </c>
      <c r="AY48" s="160">
        <f>(AY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102.66932330921387</v>
      </c>
      <c r="AZ48" s="160">
        <f>(AZ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99.060269654065394</v>
      </c>
      <c r="BA48" s="160">
        <f>(BA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95.451215998916936</v>
      </c>
      <c r="BB48" s="160">
        <f>(BB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91.842162343768479</v>
      </c>
      <c r="BC48" s="160">
        <f>(BC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88.233108688620021</v>
      </c>
      <c r="BD48" s="160">
        <f>(BD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84.624055033471549</v>
      </c>
      <c r="BE48" s="160">
        <f>(BE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81.015001378323078</v>
      </c>
      <c r="BF48" s="160">
        <f>(BF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77.405947723174606</v>
      </c>
      <c r="BG48" s="160">
        <f>(BG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73.796894068026162</v>
      </c>
      <c r="BH48" s="160">
        <f>(BH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70.187840412877705</v>
      </c>
      <c r="BI48" s="160">
        <f>(BI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66.578786757729233</v>
      </c>
      <c r="BJ48" s="160">
        <f>(BJ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62.969733102580761</v>
      </c>
      <c r="BK48" s="160">
        <f>(BK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59.360679447432304</v>
      </c>
      <c r="BL48" s="160">
        <f>(BL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55.751625792283839</v>
      </c>
      <c r="BM48" s="160">
        <f>(BM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52.142572137135382</v>
      </c>
      <c r="BN48" s="160">
        <f>(BN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48.533518481986917</v>
      </c>
      <c r="BO48" s="160">
        <f>(BO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44.924464826838452</v>
      </c>
      <c r="BP48" s="160">
        <f>(BP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41.315411171689988</v>
      </c>
      <c r="BQ48" s="160">
        <f>(BQ23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37.706357516541523</v>
      </c>
    </row>
    <row r="49" spans="1:70" x14ac:dyDescent="0.7">
      <c r="A49" s="22">
        <f t="shared" si="7"/>
        <v>0.43</v>
      </c>
      <c r="B49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423.92060205479606</v>
      </c>
      <c r="C49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434.70394165653761</v>
      </c>
      <c r="D49" s="11">
        <f>(A49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444.8180497748175</v>
      </c>
      <c r="E49" s="11">
        <f>テーブル3[[#This Row],[半径方向応力min]]*寸法→圧入力!D$43*寸法→圧入力!D$5/1000</f>
        <v>49.303848014599382</v>
      </c>
      <c r="F49" s="11">
        <f>テーブル3[[#This Row],[半径方向応力min]]*寸法→圧入力!E$43*寸法→圧入力!E$5/1000</f>
        <v>62.953100904858069</v>
      </c>
      <c r="G49" s="11">
        <f>テーブル3[[#This Row],[半径方向応力min]]*寸法→圧入力!F$43*寸法→圧入力!F$5/1000</f>
        <v>77.14658681716341</v>
      </c>
      <c r="H49" s="11">
        <f>寸法→圧入力!$D$19</f>
        <v>345</v>
      </c>
      <c r="I49" s="11">
        <f>寸法→圧入力!$D$34</f>
        <v>150</v>
      </c>
      <c r="J49" s="11">
        <f>テーブル3[[#This Row],[半径方向応力nor]]*2*寸法→圧入力!E$13^2/(寸法→圧入力!E$13^2-寸法→圧入力!E$14^2)</f>
        <v>1158.6960495807111</v>
      </c>
      <c r="K49" s="11">
        <f>テーブル3[[#This Row],[半径方向応力nor]]* (1+(寸法→圧入力!E$29/寸法→圧入力!E$28)^2)/((寸法→圧入力!E$29/寸法→圧入力!E$28)^2-1)</f>
        <v>1130.6477101997516</v>
      </c>
      <c r="N49">
        <f t="shared" si="3"/>
        <v>165</v>
      </c>
      <c r="O49" s="22">
        <f>寸法→圧入力!F$13*(1+寸法→圧入力!D$18*10^-6*(テーブル4[[#This Row],[inner温度'[℃']]]-20)) - 寸法→圧入力!D$28*(1+寸法→圧入力!D$33*10^-6*(テーブル4[[#This Row],[inner温度'[℃']]]+O$3-20))</f>
        <v>4.3581374999952516E-3</v>
      </c>
      <c r="P49" s="22">
        <f>寸法→圧入力!F$13*(1+寸法→圧入力!D$18*10^-6*(テーブル4[[#This Row],[inner温度'[℃']]]-20)) - 寸法→圧入力!D$28*(1+寸法→圧入力!D$33*10^-6*(テーブル4[[#This Row],[inner温度'[℃']]]+P$3-20))</f>
        <v>-1.9418625000042766E-3</v>
      </c>
      <c r="Q49" s="22">
        <f>寸法→圧入力!F$13*(1+寸法→圧入力!D$18*10^-6*(テーブル4[[#This Row],[inner温度'[℃']]]-20)) - 寸法→圧入力!D$28*(1+寸法→圧入力!D$33*10^-6*(テーブル4[[#This Row],[inner温度'[℃']]]+Q$3-20))</f>
        <v>-8.2418625000002521E-3</v>
      </c>
      <c r="R49" s="22">
        <f>寸法→圧入力!F$13*(1+寸法→圧入力!D$18*10^-6*(テーブル4[[#This Row],[inner温度'[℃']]]-20)) - 寸法→圧入力!D$28*(1+寸法→圧入力!D$33*10^-6*(テーブル4[[#This Row],[inner温度'[℃']]]+R$3-20))</f>
        <v>-1.454186249999978E-2</v>
      </c>
      <c r="S49" s="22">
        <f>寸法→圧入力!F$13*(1+寸法→圧入力!D$18*10^-6*(テーブル4[[#This Row],[inner温度'[℃']]]-20)) - 寸法→圧入力!D$28*(1+寸法→圧入力!D$33*10^-6*(テーブル4[[#This Row],[inner温度'[℃']]]+S$3-20))</f>
        <v>-2.0841862500002861E-2</v>
      </c>
      <c r="T49" s="22">
        <f>寸法→圧入力!F$13*(1+寸法→圧入力!D$18*10^-6*(テーブル4[[#This Row],[inner温度'[℃']]]-20)) - 寸法→圧入力!D$28*(1+寸法→圧入力!D$33*10^-6*(テーブル4[[#This Row],[inner温度'[℃']]]+T$3-20))</f>
        <v>-2.7141862500002389E-2</v>
      </c>
      <c r="U49" s="22">
        <f>寸法→圧入力!F$13*(1+寸法→圧入力!D$18*10^-6*(テーブル4[[#This Row],[inner温度'[℃']]]-20)) - 寸法→圧入力!D$28*(1+寸法→圧入力!D$33*10^-6*(テーブル4[[#This Row],[inner温度'[℃']]]+U$3-20))</f>
        <v>-3.344186250000547E-2</v>
      </c>
      <c r="V49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4.5083214497636899</v>
      </c>
      <c r="W49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-2.0087802097273344</v>
      </c>
      <c r="X49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-8.5258818692146825</v>
      </c>
      <c r="Y49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-15.042983528705708</v>
      </c>
      <c r="Z49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-21.560085188200407</v>
      </c>
      <c r="AA49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-28.077186847691429</v>
      </c>
      <c r="AB49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-34.594288507186128</v>
      </c>
      <c r="AC49" s="11">
        <f>テーブル4[[#This Row],[半径方向応力:Δ-30℃]]*2*寸法→圧入力!D$13^2/(寸法→圧入力!D$13^2-寸法→圧入力!F$14^2)</f>
        <v>12.071947719152657</v>
      </c>
      <c r="AD49" s="11">
        <f>テーブル4[[#This Row],[半径方向応力:Δ-20℃]]*2*寸法→圧入力!D$13^2/(寸法→圧入力!D$13^2-寸法→圧入力!F$14^2)</f>
        <v>-5.3789176174134576</v>
      </c>
      <c r="AE49" s="11">
        <f>テーブル4[[#This Row],[半径方向応力:Δ-10℃]]*2*寸法→圧入力!D$13^2/(寸法→圧入力!D$13^2-寸法→圧入力!F$14^2)</f>
        <v>-22.82978295396973</v>
      </c>
      <c r="AF49" s="11">
        <f>テーブル4[[#This Row],[半径方向応力:Δ0℃]]*2*寸法→圧入力!D$13^2/(寸法→圧入力!D$13^2-寸法→圧入力!F$14^2)</f>
        <v>-40.280648290535851</v>
      </c>
      <c r="AG49" s="11">
        <f>テーブル4[[#This Row],[半径方向応力:Δ+10℃]]*2*寸法→圧入力!D$13^2/(寸法→圧入力!D$13^2-寸法→圧入力!F$14^2)</f>
        <v>-57.731513627111802</v>
      </c>
      <c r="AH49" s="11">
        <f>テーブル4[[#This Row],[半径方向応力:Δ+20℃]]*2*寸法→圧入力!D$13^2/(寸法→圧入力!D$13^2-寸法→圧入力!F$14^2)</f>
        <v>-75.182378963677905</v>
      </c>
      <c r="AI49" s="11">
        <f>テーブル4[[#This Row],[半径方向応力:Δ+30℃]]*2*寸法→圧入力!D$13^2/(寸法→圧入力!D$13^2-寸法→圧入力!F$14^2)</f>
        <v>-92.633244300253864</v>
      </c>
      <c r="AJ49" s="11">
        <f>寸法→圧入力!$D$19</f>
        <v>345</v>
      </c>
      <c r="AK49" s="11">
        <f>テーブル4[[#This Row],[半径方向応力:Δ-30℃]]* (1+(寸法→圧入力!D$29/寸法→圧入力!F$28)^2)/((寸法→圧入力!D$29/寸法→圧入力!F$28)^2-1)</f>
        <v>12.351078144040606</v>
      </c>
      <c r="AL49" s="11">
        <f>テーブル4[[#This Row],[半径方向応力:Δ-20℃]]* (1+(寸法→圧入力!D$29/寸法→圧入力!F$28)^2)/((寸法→圧入力!D$29/寸法→圧入力!F$28)^2-1)</f>
        <v>-5.5032902203202632</v>
      </c>
      <c r="AM49" s="11">
        <f>テーブル4[[#This Row],[半径方向応力:Δ-10℃]]* (1+(寸法→圧入力!D$29/寸法→圧入力!F$28)^2)/((寸法→圧入力!D$29/寸法→圧入力!F$28)^2-1)</f>
        <v>-23.357658584671061</v>
      </c>
      <c r="AN49" s="11">
        <f>テーブル4[[#This Row],[半径方向応力:Δ0℃]]* (1+(寸法→圧入力!D$29/寸法→圧入力!F$28)^2)/((寸法→圧入力!D$29/寸法→圧入力!F$28)^2-1)</f>
        <v>-41.212026949031937</v>
      </c>
      <c r="AO49" s="11">
        <f>テーブル4[[#This Row],[半径方向応力:Δ+10℃]]* (1+(寸法→圧入力!D$29/寸法→圧入力!F$28)^2)/((寸法→圧入力!D$29/寸法→圧入力!F$28)^2-1)</f>
        <v>-59.066395313402865</v>
      </c>
      <c r="AP49" s="11">
        <f>テーブル4[[#This Row],[半径方向応力:Δ+20℃]]* (1+(寸法→圧入力!D$29/寸法→圧入力!F$28)^2)/((寸法→圧入力!D$29/寸法→圧入力!F$28)^2-1)</f>
        <v>-76.92076367776373</v>
      </c>
      <c r="AQ49" s="11">
        <f>テーブル4[[#This Row],[半径方向応力:Δ+30℃]]* (1+(寸法→圧入力!D$29/寸法→圧入力!F$28)^2)/((寸法→圧入力!D$29/寸法→圧入力!F$28)^2-1)</f>
        <v>-94.775132042134672</v>
      </c>
      <c r="AR49" s="11">
        <f>寸法→圧入力!$D$34</f>
        <v>150</v>
      </c>
      <c r="AU49" s="152"/>
      <c r="AV49" s="151">
        <f t="shared" si="6"/>
        <v>140</v>
      </c>
      <c r="AW49" s="160">
        <f>(AW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116.25634883447866</v>
      </c>
      <c r="AX49" s="160">
        <f>(AX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112.6472951793302</v>
      </c>
      <c r="AY49" s="160">
        <f>(AY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109.03824152418173</v>
      </c>
      <c r="AZ49" s="160">
        <f>(AZ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105.42918786903327</v>
      </c>
      <c r="BA49" s="160">
        <f>(BA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101.8201342138848</v>
      </c>
      <c r="BB49" s="160">
        <f>(BB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98.211080558736342</v>
      </c>
      <c r="BC49" s="160">
        <f>(BC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94.602026903587884</v>
      </c>
      <c r="BD49" s="160">
        <f>(BD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90.992973248439412</v>
      </c>
      <c r="BE49" s="160">
        <f>(BE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87.38391959329094</v>
      </c>
      <c r="BF49" s="160">
        <f>(BF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83.774865938142483</v>
      </c>
      <c r="BG49" s="160">
        <f>(BG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80.165812282994025</v>
      </c>
      <c r="BH49" s="160">
        <f>(BH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76.556758627845554</v>
      </c>
      <c r="BI49" s="160">
        <f>(BI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72.94770497269711</v>
      </c>
      <c r="BJ49" s="160">
        <f>(BJ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69.338651317548639</v>
      </c>
      <c r="BK49" s="160">
        <f>(BK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65.729597662400167</v>
      </c>
      <c r="BL49" s="160">
        <f>(BL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62.120544007251702</v>
      </c>
      <c r="BM49" s="160">
        <f>(BM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58.511490352103245</v>
      </c>
      <c r="BN49" s="160">
        <f>(BN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54.902436696954787</v>
      </c>
      <c r="BO49" s="160">
        <f>(BO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51.293383041806315</v>
      </c>
      <c r="BP49" s="160">
        <f>(BP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47.684329386657851</v>
      </c>
      <c r="BQ49" s="160">
        <f>(BQ24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44.075275731509393</v>
      </c>
    </row>
    <row r="50" spans="1:70" x14ac:dyDescent="0.7">
      <c r="A50" s="22">
        <f t="shared" si="7"/>
        <v>0.44</v>
      </c>
      <c r="B50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433.77922070723315</v>
      </c>
      <c r="C50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444.81333564855009</v>
      </c>
      <c r="D50" s="11">
        <f>(A50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455.16265558353416</v>
      </c>
      <c r="E50" s="11">
        <f>テーブル3[[#This Row],[半径方向応力min]]*寸法→圧入力!D$43*寸法→圧入力!D$5/1000</f>
        <v>50.450449131217965</v>
      </c>
      <c r="F50" s="11">
        <f>テーブル3[[#This Row],[半径方向応力min]]*寸法→圧入力!E$43*寸法→圧入力!E$5/1000</f>
        <v>64.417126507296615</v>
      </c>
      <c r="G50" s="11">
        <f>テーブル3[[#This Row],[半径方向応力min]]*寸法→圧入力!F$43*寸法→圧入力!F$5/1000</f>
        <v>78.940693487329995</v>
      </c>
      <c r="H50" s="11">
        <f>寸法→圧入力!$D$19</f>
        <v>345</v>
      </c>
      <c r="I50" s="11">
        <f>寸法→圧入力!$D$34</f>
        <v>150</v>
      </c>
      <c r="J50" s="11">
        <f>テーブル3[[#This Row],[半径方向応力nor]]*2*寸法→圧入力!E$13^2/(寸法→圧入力!E$13^2-寸法→圧入力!E$14^2)</f>
        <v>1185.6424693384022</v>
      </c>
      <c r="K50" s="11">
        <f>テーブル3[[#This Row],[半径方向応力nor]]* (1+(寸法→圧入力!E$29/寸法→圧入力!E$28)^2)/((寸法→圧入力!E$29/寸法→圧入力!E$28)^2-1)</f>
        <v>1156.9418429950945</v>
      </c>
      <c r="N50">
        <f t="shared" si="3"/>
        <v>170</v>
      </c>
      <c r="O50" s="22">
        <f>寸法→圧入力!F$13*(1+寸法→圧入力!D$18*10^-6*(テーブル4[[#This Row],[inner温度'[℃']]]-20)) - 寸法→圧入力!D$28*(1+寸法→圧入力!D$33*10^-6*(テーブル4[[#This Row],[inner温度'[℃']]]+O$3-20))</f>
        <v>2.9946249999959207E-3</v>
      </c>
      <c r="P50" s="22">
        <f>寸法→圧入力!F$13*(1+寸法→圧入力!D$18*10^-6*(テーブル4[[#This Row],[inner温度'[℃']]]-20)) - 寸法→圧入力!D$28*(1+寸法→圧入力!D$33*10^-6*(テーブル4[[#This Row],[inner温度'[℃']]]+P$3-20))</f>
        <v>-3.3053750000000548E-3</v>
      </c>
      <c r="Q50" s="22">
        <f>寸法→圧入力!F$13*(1+寸法→圧入力!D$18*10^-6*(テーブル4[[#This Row],[inner温度'[℃']]]-20)) - 寸法→圧入力!D$28*(1+寸法→圧入力!D$33*10^-6*(テーブル4[[#This Row],[inner温度'[℃']]]+Q$3-20))</f>
        <v>-9.605374999999583E-3</v>
      </c>
      <c r="R50" s="22">
        <f>寸法→圧入力!F$13*(1+寸法→圧入力!D$18*10^-6*(テーブル4[[#This Row],[inner温度'[℃']]]-20)) - 寸法→圧入力!D$28*(1+寸法→圧入力!D$33*10^-6*(テーブル4[[#This Row],[inner温度'[℃']]]+R$3-20))</f>
        <v>-1.5905375000002664E-2</v>
      </c>
      <c r="S50" s="22">
        <f>寸法→圧入力!F$13*(1+寸法→圧入力!D$18*10^-6*(テーブル4[[#This Row],[inner温度'[℃']]]-20)) - 寸法→圧入力!D$28*(1+寸法→圧入力!D$33*10^-6*(テーブル4[[#This Row],[inner温度'[℃']]]+S$3-20))</f>
        <v>-2.2205375000002192E-2</v>
      </c>
      <c r="T50" s="22">
        <f>寸法→圧入力!F$13*(1+寸法→圧入力!D$18*10^-6*(テーブル4[[#This Row],[inner温度'[℃']]]-20)) - 寸法→圧入力!D$28*(1+寸法→圧入力!D$33*10^-6*(テーブル4[[#This Row],[inner温度'[℃']]]+T$3-20))</f>
        <v>-2.8505375000005273E-2</v>
      </c>
      <c r="U50" s="22">
        <f>寸法→圧入力!F$13*(1+寸法→圧入力!D$18*10^-6*(テーブル4[[#This Row],[inner温度'[℃']]]-20)) - 寸法→圧入力!D$28*(1+寸法→圧入力!D$33*10^-6*(テーブル4[[#This Row],[inner温度'[℃']]]+U$3-20))</f>
        <v>-3.4805375000001249E-2</v>
      </c>
      <c r="V50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3.0978215169886005</v>
      </c>
      <c r="W50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-3.419280142498748</v>
      </c>
      <c r="X50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-9.9363818019897732</v>
      </c>
      <c r="Y50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-16.45348346148447</v>
      </c>
      <c r="Z50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-22.970585120975496</v>
      </c>
      <c r="AA50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-29.487686780470195</v>
      </c>
      <c r="AB50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-36.004788439957544</v>
      </c>
      <c r="AC50" s="11">
        <f>テーブル4[[#This Row],[半径方向応力:Δ-30℃]]*2*寸法→圧入力!D$13^2/(寸法→圧入力!D$13^2-寸法→圧入力!F$14^2)</f>
        <v>8.2950472394360357</v>
      </c>
      <c r="AD50" s="11">
        <f>テーブル4[[#This Row],[半径方向応力:Δ-20℃]]*2*寸法→圧入力!D$13^2/(寸法→圧入力!D$13^2-寸法→圧入力!F$14^2)</f>
        <v>-9.1558180971202372</v>
      </c>
      <c r="AE50" s="11">
        <f>テーブル4[[#This Row],[半径方向応力:Δ-10℃]]*2*寸法→圧入力!D$13^2/(寸法→圧入力!D$13^2-寸法→圧入力!F$14^2)</f>
        <v>-26.606683433686356</v>
      </c>
      <c r="AF50" s="11">
        <f>テーブル4[[#This Row],[半径方向応力:Δ0℃]]*2*寸法→圧入力!D$13^2/(寸法→圧入力!D$13^2-寸法→圧入力!F$14^2)</f>
        <v>-44.057548770262308</v>
      </c>
      <c r="AG50" s="11">
        <f>テーブル4[[#This Row],[半径方向応力:Δ+10℃]]*2*寸法→圧入力!D$13^2/(寸法→圧入力!D$13^2-寸法→圧入力!F$14^2)</f>
        <v>-61.508414106828425</v>
      </c>
      <c r="AH50" s="11">
        <f>テーブル4[[#This Row],[半径方向応力:Δ+20℃]]*2*寸法→圧入力!D$13^2/(寸法→圧入力!D$13^2-寸法→圧入力!F$14^2)</f>
        <v>-78.959279443404384</v>
      </c>
      <c r="AI50" s="11">
        <f>テーブル4[[#This Row],[半径方向応力:Δ+30℃]]*2*寸法→圧入力!D$13^2/(寸法→圧入力!D$13^2-寸法→圧入力!F$14^2)</f>
        <v>-96.41014477996066</v>
      </c>
      <c r="AJ50" s="11">
        <f>寸法→圧入力!$D$19</f>
        <v>345</v>
      </c>
      <c r="AK50" s="11">
        <f>テーブル4[[#This Row],[半径方向応力:Δ-30℃]]* (1+(寸法→圧入力!D$29/寸法→圧入力!F$28)^2)/((寸法→圧入力!D$29/寸法→圧入力!F$28)^2-1)</f>
        <v>8.4868472798500534</v>
      </c>
      <c r="AL50" s="11">
        <f>テーブル4[[#This Row],[半径方向応力:Δ-20℃]]* (1+(寸法→圧入力!D$29/寸法→圧入力!F$28)^2)/((寸法→圧入力!D$29/寸法→圧入力!F$28)^2-1)</f>
        <v>-9.3675210845007459</v>
      </c>
      <c r="AM50" s="11">
        <f>テーブル4[[#This Row],[半径方向応力:Δ-10℃]]* (1+(寸法→圧入力!D$29/寸法→圧入力!F$28)^2)/((寸法→圧入力!D$29/寸法→圧入力!F$28)^2-1)</f>
        <v>-27.221889448861617</v>
      </c>
      <c r="AN50" s="11">
        <f>テーブル4[[#This Row],[半径方向応力:Δ0℃]]* (1+(寸法→圧入力!D$29/寸法→圧入力!F$28)^2)/((寸法→圧入力!D$29/寸法→圧入力!F$28)^2-1)</f>
        <v>-45.076257813232552</v>
      </c>
      <c r="AO50" s="11">
        <f>テーブル4[[#This Row],[半径方向応力:Δ+10℃]]* (1+(寸法→圧入力!D$29/寸法→圧入力!F$28)^2)/((寸法→圧入力!D$29/寸法→圧入力!F$28)^2-1)</f>
        <v>-62.930626177593425</v>
      </c>
      <c r="AP50" s="11">
        <f>テーブル4[[#This Row],[半径方向応力:Δ+20℃]]* (1+(寸法→圧入力!D$29/寸法→圧入力!F$28)^2)/((寸法→圧入力!D$29/寸法→圧入力!F$28)^2-1)</f>
        <v>-80.784994541964366</v>
      </c>
      <c r="AQ50" s="11">
        <f>テーブル4[[#This Row],[半径方向応力:Δ+30℃]]* (1+(寸法→圧入力!D$29/寸法→圧入力!F$28)^2)/((寸法→圧入力!D$29/寸法→圧入力!F$28)^2-1)</f>
        <v>-98.639362906315156</v>
      </c>
      <c r="AR50" s="11">
        <f>寸法→圧入力!$D$34</f>
        <v>150</v>
      </c>
      <c r="AU50" s="153"/>
      <c r="AV50" s="151">
        <f t="shared" si="6"/>
        <v>150</v>
      </c>
      <c r="AW50" s="160">
        <f>(AW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122.62526704944655</v>
      </c>
      <c r="AX50" s="160">
        <f>(AX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119.01621339429808</v>
      </c>
      <c r="AY50" s="160">
        <f>(AY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115.40715973914962</v>
      </c>
      <c r="AZ50" s="160">
        <f>(AZ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111.79810608400115</v>
      </c>
      <c r="BA50" s="160">
        <f>(BA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108.18905242885269</v>
      </c>
      <c r="BB50" s="160">
        <f>(BB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104.57999877370422</v>
      </c>
      <c r="BC50" s="160">
        <f>(BC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100.97094511855576</v>
      </c>
      <c r="BD50" s="160">
        <f>(BD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97.361891463407304</v>
      </c>
      <c r="BE50" s="160">
        <f>(BE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93.752837808258832</v>
      </c>
      <c r="BF50" s="160">
        <f>(BF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90.143784153110374</v>
      </c>
      <c r="BG50" s="160">
        <f>(BG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86.534730497961903</v>
      </c>
      <c r="BH50" s="160">
        <f>(BH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82.925676842813445</v>
      </c>
      <c r="BI50" s="160">
        <f>(BI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79.316623187664973</v>
      </c>
      <c r="BJ50" s="160">
        <f>(BJ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75.707569532516487</v>
      </c>
      <c r="BK50" s="160">
        <f>(BK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72.098515877368058</v>
      </c>
      <c r="BL50" s="160">
        <f>(BL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68.489462222219601</v>
      </c>
      <c r="BM50" s="160">
        <f>(BM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64.880408567071129</v>
      </c>
      <c r="BN50" s="160">
        <f>(BN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61.271354911922671</v>
      </c>
      <c r="BO50" s="160">
        <f>(BO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57.662301256774192</v>
      </c>
      <c r="BP50" s="160">
        <f>(BP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54.053247601625735</v>
      </c>
      <c r="BQ50" s="160">
        <f>(BQ25/1000/寸法→圧入力!$D$3)*(1/((寸法→圧入力!$D$3^2+寸法→圧入力!$E$14^2)/(寸法→圧入力!$D$3^2-寸法→圧入力!$E$14^2)*(1/寸法→圧入力!$D$31)+(寸法→圧入力!$E$29^2+寸法→圧入力!$D$3^2)/(寸法→圧入力!$E$29^2-寸法→圧入力!$D$3^2)*(1/寸法→圧入力!$D$16)-(寸法→圧入力!$D$32/寸法→圧入力!$D$31)+(寸法→圧入力!$D$17/寸法→圧入力!$D$16)))</f>
        <v>50.44419394647727</v>
      </c>
    </row>
    <row r="51" spans="1:70" x14ac:dyDescent="0.7">
      <c r="A51" s="22">
        <f t="shared" si="7"/>
        <v>0.45</v>
      </c>
      <c r="B51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443.63783935967029</v>
      </c>
      <c r="C51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454.92272964056264</v>
      </c>
      <c r="D51" s="11">
        <f>(A51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465.50726139225088</v>
      </c>
      <c r="E51" s="11">
        <f>テーブル3[[#This Row],[半径方向応力min]]*寸法→圧入力!D$43*寸法→圧入力!D$5/1000</f>
        <v>51.597050247836563</v>
      </c>
      <c r="F51" s="11">
        <f>テーブル3[[#This Row],[半径方向応力min]]*寸法→圧入力!E$43*寸法→圧入力!E$5/1000</f>
        <v>65.881152109735197</v>
      </c>
      <c r="G51" s="11">
        <f>テーブル3[[#This Row],[半径方向応力min]]*寸法→圧入力!F$43*寸法→圧入力!F$5/1000</f>
        <v>80.734800157496593</v>
      </c>
      <c r="H51" s="11">
        <f>寸法→圧入力!$D$19</f>
        <v>345</v>
      </c>
      <c r="I51" s="11">
        <f>寸法→圧入力!$D$34</f>
        <v>150</v>
      </c>
      <c r="J51" s="11">
        <f>テーブル3[[#This Row],[半径方向応力nor]]*2*寸法→圧入力!E$13^2/(寸法→圧入力!E$13^2-寸法→圧入力!E$14^2)</f>
        <v>1212.5888890960932</v>
      </c>
      <c r="K51" s="11">
        <f>テーブル3[[#This Row],[半径方向応力nor]]* (1+(寸法→圧入力!E$29/寸法→圧入力!E$28)^2)/((寸法→圧入力!E$29/寸法→圧入力!E$28)^2-1)</f>
        <v>1183.2359757904378</v>
      </c>
      <c r="N51">
        <f t="shared" si="3"/>
        <v>175</v>
      </c>
      <c r="O51" s="22">
        <f>寸法→圧入力!F$13*(1+寸法→圧入力!D$18*10^-6*(テーブル4[[#This Row],[inner温度'[℃']]]-20)) - 寸法→圧入力!D$28*(1+寸法→圧入力!D$33*10^-6*(テーブル4[[#This Row],[inner温度'[℃']]]+O$3-20))</f>
        <v>1.6311124999965898E-3</v>
      </c>
      <c r="P51" s="22">
        <f>寸法→圧入力!F$13*(1+寸法→圧入力!D$18*10^-6*(テーブル4[[#This Row],[inner温度'[℃']]]-20)) - 寸法→圧入力!D$28*(1+寸法→圧入力!D$33*10^-6*(テーブル4[[#This Row],[inner温度'[℃']]]+P$3-20))</f>
        <v>-4.6688874999993857E-3</v>
      </c>
      <c r="Q51" s="22">
        <f>寸法→圧入力!F$13*(1+寸法→圧入力!D$18*10^-6*(テーブル4[[#This Row],[inner温度'[℃']]]-20)) - 寸法→圧入力!D$28*(1+寸法→圧入力!D$33*10^-6*(テーブル4[[#This Row],[inner温度'[℃']]]+Q$3-20))</f>
        <v>-1.0968887499998914E-2</v>
      </c>
      <c r="R51" s="22">
        <f>寸法→圧入力!F$13*(1+寸法→圧入力!D$18*10^-6*(テーブル4[[#This Row],[inner温度'[℃']]]-20)) - 寸法→圧入力!D$28*(1+寸法→圧入力!D$33*10^-6*(テーブル4[[#This Row],[inner温度'[℃']]]+R$3-20))</f>
        <v>-1.7268887500001995E-2</v>
      </c>
      <c r="S51" s="22">
        <f>寸法→圧入力!F$13*(1+寸法→圧入力!D$18*10^-6*(テーブル4[[#This Row],[inner温度'[℃']]]-20)) - 寸法→圧入力!D$28*(1+寸法→圧入力!D$33*10^-6*(テーブル4[[#This Row],[inner温度'[℃']]]+S$3-20))</f>
        <v>-2.3568887500001523E-2</v>
      </c>
      <c r="T51" s="22">
        <f>寸法→圧入力!F$13*(1+寸法→圧入力!D$18*10^-6*(テーブル4[[#This Row],[inner温度'[℃']]]-20)) - 寸法→圧入力!D$28*(1+寸法→圧入力!D$33*10^-6*(テーブル4[[#This Row],[inner温度'[℃']]]+T$3-20))</f>
        <v>-2.9868887500004604E-2</v>
      </c>
      <c r="U51" s="22">
        <f>寸法→圧入力!F$13*(1+寸法→圧入力!D$18*10^-6*(テーブル4[[#This Row],[inner温度'[℃']]]-20)) - 寸法→圧入力!D$28*(1+寸法→圧入力!D$33*10^-6*(テーブル4[[#This Row],[inner温度'[℃']]]+U$3-20))</f>
        <v>-3.6168887499997027E-2</v>
      </c>
      <c r="V51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1.6873215842135119</v>
      </c>
      <c r="W51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-4.8297800752738365</v>
      </c>
      <c r="X51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-11.34688173476486</v>
      </c>
      <c r="Y51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-17.863983394259559</v>
      </c>
      <c r="Z51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-24.381085053750585</v>
      </c>
      <c r="AA51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-30.898186713245284</v>
      </c>
      <c r="AB51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-37.415288372728959</v>
      </c>
      <c r="AC51" s="11">
        <f>テーブル4[[#This Row],[半径方向応力:Δ-30℃]]*2*寸法→圧入力!D$13^2/(寸法→圧入力!D$13^2-寸法→圧入力!F$14^2)</f>
        <v>4.518146759719416</v>
      </c>
      <c r="AD51" s="11">
        <f>テーブル4[[#This Row],[半径方向応力:Δ-20℃]]*2*寸法→圧入力!D$13^2/(寸法→圧入力!D$13^2-寸法→圧入力!F$14^2)</f>
        <v>-12.932718576836857</v>
      </c>
      <c r="AE51" s="11">
        <f>テーブル4[[#This Row],[半径方向応力:Δ-10℃]]*2*寸法→圧入力!D$13^2/(寸法→圧入力!D$13^2-寸法→圧入力!F$14^2)</f>
        <v>-30.383583913402973</v>
      </c>
      <c r="AF51" s="11">
        <f>テーブル4[[#This Row],[半径方向応力:Δ0℃]]*2*寸法→圧入力!D$13^2/(寸法→圧入力!D$13^2-寸法→圧入力!F$14^2)</f>
        <v>-47.834449249978924</v>
      </c>
      <c r="AG51" s="11">
        <f>テーブル4[[#This Row],[半径方向応力:Δ+10℃]]*2*寸法→圧入力!D$13^2/(寸法→圧入力!D$13^2-寸法→圧入力!F$14^2)</f>
        <v>-65.285314586545041</v>
      </c>
      <c r="AH51" s="11">
        <f>テーブル4[[#This Row],[半径方向応力:Δ+20℃]]*2*寸法→圧入力!D$13^2/(寸法→圧入力!D$13^2-寸法→圧入力!F$14^2)</f>
        <v>-82.736179923121</v>
      </c>
      <c r="AI51" s="11">
        <f>テーブル4[[#This Row],[半径方向応力:Δ+30℃]]*2*寸法→圧入力!D$13^2/(寸法→圧入力!D$13^2-寸法→圧入力!F$14^2)</f>
        <v>-100.18704525966743</v>
      </c>
      <c r="AJ51" s="11">
        <f>寸法→圧入力!$D$19</f>
        <v>345</v>
      </c>
      <c r="AK51" s="11">
        <f>テーブル4[[#This Row],[半径方向応力:Δ-30℃]]* (1+(寸法→圧入力!D$29/寸法→圧入力!F$28)^2)/((寸法→圧入力!D$29/寸法→圧入力!F$28)^2-1)</f>
        <v>4.6226164156595022</v>
      </c>
      <c r="AL51" s="11">
        <f>テーブル4[[#This Row],[半径方向応力:Δ-20℃]]* (1+(寸法→圧入力!D$29/寸法→圧入力!F$28)^2)/((寸法→圧入力!D$29/寸法→圧入力!F$28)^2-1)</f>
        <v>-13.231751948691297</v>
      </c>
      <c r="AM51" s="11">
        <f>テーブル4[[#This Row],[半径方向応力:Δ-10℃]]* (1+(寸法→圧入力!D$29/寸法→圧入力!F$28)^2)/((寸法→圧入力!D$29/寸法→圧入力!F$28)^2-1)</f>
        <v>-31.08612031305217</v>
      </c>
      <c r="AN51" s="11">
        <f>テーブル4[[#This Row],[半径方向応力:Δ0℃]]* (1+(寸法→圧入力!D$29/寸法→圧入力!F$28)^2)/((寸法→圧入力!D$29/寸法→圧入力!F$28)^2-1)</f>
        <v>-48.940488677423104</v>
      </c>
      <c r="AO51" s="11">
        <f>テーブル4[[#This Row],[半径方向応力:Δ+10℃]]* (1+(寸法→圧入力!D$29/寸法→圧入力!F$28)^2)/((寸法→圧入力!D$29/寸法→圧入力!F$28)^2-1)</f>
        <v>-66.79485704178397</v>
      </c>
      <c r="AP51" s="11">
        <f>テーブル4[[#This Row],[半径方向応力:Δ+20℃]]* (1+(寸法→圧入力!D$29/寸法→圧入力!F$28)^2)/((寸法→圧入力!D$29/寸法→圧入力!F$28)^2-1)</f>
        <v>-84.649225406154912</v>
      </c>
      <c r="AQ51" s="11">
        <f>テーブル4[[#This Row],[半径方向応力:Δ+30℃]]* (1+(寸法→圧入力!D$29/寸法→圧入力!F$28)^2)/((寸法→圧入力!D$29/寸法→圧入力!F$28)^2-1)</f>
        <v>-102.50359377049566</v>
      </c>
      <c r="AR51" s="11">
        <f>寸法→圧入力!$D$34</f>
        <v>150</v>
      </c>
    </row>
    <row r="52" spans="1:70" x14ac:dyDescent="0.7">
      <c r="A52" s="22">
        <f t="shared" si="7"/>
        <v>0.46</v>
      </c>
      <c r="B52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453.49645801210744</v>
      </c>
      <c r="C52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465.03212363257512</v>
      </c>
      <c r="D52" s="11">
        <f>(A52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475.85186720096755</v>
      </c>
      <c r="E52" s="11">
        <f>テーブル3[[#This Row],[半径方向応力min]]*寸法→圧入力!D$43*寸法→圧入力!D$5/1000</f>
        <v>52.743651364455154</v>
      </c>
      <c r="F52" s="11">
        <f>テーブル3[[#This Row],[半径方向応力min]]*寸法→圧入力!E$43*寸法→圧入力!E$5/1000</f>
        <v>67.345177712173751</v>
      </c>
      <c r="G52" s="11">
        <f>テーブル3[[#This Row],[半径方向応力min]]*寸法→圧入力!F$43*寸法→圧入力!F$5/1000</f>
        <v>82.528906827663192</v>
      </c>
      <c r="H52" s="11">
        <f>寸法→圧入力!$D$19</f>
        <v>345</v>
      </c>
      <c r="I52" s="11">
        <f>寸法→圧入力!$D$34</f>
        <v>150</v>
      </c>
      <c r="J52" s="11">
        <f>テーブル3[[#This Row],[半径方向応力nor]]*2*寸法→圧入力!E$13^2/(寸法→圧入力!E$13^2-寸法→圧入力!E$14^2)</f>
        <v>1239.535308853784</v>
      </c>
      <c r="K52" s="11">
        <f>テーブル3[[#This Row],[半径方向応力nor]]* (1+(寸法→圧入力!E$29/寸法→圧入力!E$28)^2)/((寸法→圧入力!E$29/寸法→圧入力!E$28)^2-1)</f>
        <v>1209.5301085857809</v>
      </c>
      <c r="N52">
        <f t="shared" si="3"/>
        <v>180</v>
      </c>
      <c r="O52" s="22">
        <f>寸法→圧入力!F$13*(1+寸法→圧入力!D$18*10^-6*(テーブル4[[#This Row],[inner温度'[℃']]]-20)) - 寸法→圧入力!D$28*(1+寸法→圧入力!D$33*10^-6*(テーブル4[[#This Row],[inner温度'[℃']]]+O$3-20))</f>
        <v>2.6759999999725892E-4</v>
      </c>
      <c r="P52" s="22">
        <f>寸法→圧入力!F$13*(1+寸法→圧入力!D$18*10^-6*(テーブル4[[#This Row],[inner温度'[℃']]]-20)) - 寸法→圧入力!D$28*(1+寸法→圧入力!D$33*10^-6*(テーブル4[[#This Row],[inner温度'[℃']]]+P$3-20))</f>
        <v>-6.0324000000022693E-3</v>
      </c>
      <c r="Q52" s="22">
        <f>寸法→圧入力!F$13*(1+寸法→圧入力!D$18*10^-6*(テーブル4[[#This Row],[inner温度'[℃']]]-20)) - 寸法→圧入力!D$28*(1+寸法→圧入力!D$33*10^-6*(テーブル4[[#This Row],[inner温度'[℃']]]+Q$3-20))</f>
        <v>-1.233240000000535E-2</v>
      </c>
      <c r="R52" s="22">
        <f>寸法→圧入力!F$13*(1+寸法→圧入力!D$18*10^-6*(テーブル4[[#This Row],[inner温度'[℃']]]-20)) - 寸法→圧入力!D$28*(1+寸法→圧入力!D$33*10^-6*(テーブル4[[#This Row],[inner温度'[℃']]]+R$3-20))</f>
        <v>-1.8632400000004878E-2</v>
      </c>
      <c r="S52" s="22">
        <f>寸法→圧入力!F$13*(1+寸法→圧入力!D$18*10^-6*(テーブル4[[#This Row],[inner温度'[℃']]]-20)) - 寸法→圧入力!D$28*(1+寸法→圧入力!D$33*10^-6*(テーブル4[[#This Row],[inner温度'[℃']]]+S$3-20))</f>
        <v>-2.4932400000007959E-2</v>
      </c>
      <c r="T52" s="22">
        <f>寸法→圧入力!F$13*(1+寸法→圧入力!D$18*10^-6*(テーブル4[[#This Row],[inner温度'[℃']]]-20)) - 寸法→圧入力!D$28*(1+寸法→圧入力!D$33*10^-6*(テーブル4[[#This Row],[inner温度'[℃']]]+T$3-20))</f>
        <v>-3.1232400000003935E-2</v>
      </c>
      <c r="U52" s="22">
        <f>寸法→圧入力!F$13*(1+寸法→圧入力!D$18*10^-6*(テーブル4[[#This Row],[inner温度'[℃']]]-20)) - 寸法→圧入力!D$28*(1+寸法→圧入力!D$33*10^-6*(テーブル4[[#This Row],[inner温度'[℃']]]+U$3-20))</f>
        <v>-3.7532400000003463E-2</v>
      </c>
      <c r="V52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0.27682165143842297</v>
      </c>
      <c r="W52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-6.2402800080526006</v>
      </c>
      <c r="X52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-12.7573816675473</v>
      </c>
      <c r="Y52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-19.274483327038325</v>
      </c>
      <c r="Z52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-25.791584986533021</v>
      </c>
      <c r="AA52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-32.308686646020369</v>
      </c>
      <c r="AB52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-38.825788305511395</v>
      </c>
      <c r="AC52" s="11">
        <f>テーブル4[[#This Row],[半径方向応力:Δ-30℃]]*2*寸法→圧入力!D$13^2/(寸法→圧入力!D$13^2-寸法→圧入力!F$14^2)</f>
        <v>0.7412462800027948</v>
      </c>
      <c r="AD52" s="11">
        <f>テーブル4[[#This Row],[半径方向応力:Δ-20℃]]*2*寸法→圧入力!D$13^2/(寸法→圧入力!D$13^2-寸法→圧入力!F$14^2)</f>
        <v>-16.709619056563319</v>
      </c>
      <c r="AE52" s="11">
        <f>テーブル4[[#This Row],[半径方向応力:Δ-10℃]]*2*寸法→圧入力!D$13^2/(寸法→圧入力!D$13^2-寸法→圧入力!F$14^2)</f>
        <v>-34.160484393139278</v>
      </c>
      <c r="AF52" s="11">
        <f>テーブル4[[#This Row],[半径方向応力:Δ0℃]]*2*寸法→圧入力!D$13^2/(寸法→圧入力!D$13^2-寸法→圧入力!F$14^2)</f>
        <v>-51.611349729705395</v>
      </c>
      <c r="AG52" s="11">
        <f>テーブル4[[#This Row],[半径方向応力:Δ+10℃]]*2*寸法→圧入力!D$13^2/(寸法→圧入力!D$13^2-寸法→圧入力!F$14^2)</f>
        <v>-69.06221506628134</v>
      </c>
      <c r="AH52" s="11">
        <f>テーブル4[[#This Row],[半径方向応力:Δ+20℃]]*2*寸法→圧入力!D$13^2/(寸法→圧入力!D$13^2-寸法→圧入力!F$14^2)</f>
        <v>-86.513080402837616</v>
      </c>
      <c r="AI52" s="11">
        <f>テーブル4[[#This Row],[半径方向応力:Δ+30℃]]*2*寸法→圧入力!D$13^2/(寸法→圧入力!D$13^2-寸法→圧入力!F$14^2)</f>
        <v>-103.96394573940374</v>
      </c>
      <c r="AJ52" s="11">
        <f>寸法→圧入力!$D$19</f>
        <v>345</v>
      </c>
      <c r="AK52" s="11">
        <f>テーブル4[[#This Row],[半径方向応力:Δ-30℃]]* (1+(寸法→圧入力!D$29/寸法→圧入力!F$28)^2)/((寸法→圧入力!D$29/寸法→圧入力!F$28)^2-1)</f>
        <v>0.75838555146895015</v>
      </c>
      <c r="AL52" s="11">
        <f>テーブル4[[#This Row],[半径方向応力:Δ-20℃]]* (1+(寸法→圧入力!D$29/寸法→圧入力!F$28)^2)/((寸法→圧入力!D$29/寸法→圧入力!F$28)^2-1)</f>
        <v>-17.095982812891918</v>
      </c>
      <c r="AM52" s="11">
        <f>テーブル4[[#This Row],[半径方向応力:Δ-10℃]]* (1+(寸法→圧入力!D$29/寸法→圧入力!F$28)^2)/((寸法→圧入力!D$29/寸法→圧入力!F$28)^2-1)</f>
        <v>-34.95035117726286</v>
      </c>
      <c r="AN52" s="11">
        <f>テーブル4[[#This Row],[半径方向応力:Δ0℃]]* (1+(寸法→圧入力!D$29/寸法→圧入力!F$28)^2)/((寸法→圧入力!D$29/寸法→圧入力!F$28)^2-1)</f>
        <v>-52.804719541623726</v>
      </c>
      <c r="AO52" s="11">
        <f>テーブル4[[#This Row],[半径方向応力:Δ+10℃]]* (1+(寸法→圧入力!D$29/寸法→圧入力!F$28)^2)/((寸法→圧入力!D$29/寸法→圧入力!F$28)^2-1)</f>
        <v>-70.659087905994653</v>
      </c>
      <c r="AP52" s="11">
        <f>テーブル4[[#This Row],[半径方向応力:Δ+20℃]]* (1+(寸法→圧入力!D$29/寸法→圧入力!F$28)^2)/((寸法→圧入力!D$29/寸法→圧入力!F$28)^2-1)</f>
        <v>-88.513456270345458</v>
      </c>
      <c r="AQ52" s="11">
        <f>テーブル4[[#This Row],[半径方向応力:Δ+30℃]]* (1+(寸法→圧入力!D$29/寸法→圧入力!F$28)^2)/((寸法→圧入力!D$29/寸法→圧入力!F$28)^2-1)</f>
        <v>-106.36782463470632</v>
      </c>
      <c r="AR52" s="11">
        <f>寸法→圧入力!$D$34</f>
        <v>150</v>
      </c>
    </row>
    <row r="53" spans="1:70" x14ac:dyDescent="0.7">
      <c r="A53" s="22">
        <f t="shared" si="7"/>
        <v>0.47000000000000003</v>
      </c>
      <c r="B53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463.35507666454458</v>
      </c>
      <c r="C53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475.14151762458766</v>
      </c>
      <c r="D53" s="11">
        <f>(A53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486.19647300968433</v>
      </c>
      <c r="E53" s="11">
        <f>テーブル3[[#This Row],[半径方向応力min]]*寸法→圧入力!D$43*寸法→圧入力!D$5/1000</f>
        <v>53.890252481073745</v>
      </c>
      <c r="F53" s="11">
        <f>テーブル3[[#This Row],[半径方向応力min]]*寸法→圧入力!E$43*寸法→圧入力!E$5/1000</f>
        <v>68.809203314612319</v>
      </c>
      <c r="G53" s="11">
        <f>テーブル3[[#This Row],[半径方向応力min]]*寸法→圧入力!F$43*寸法→圧入力!F$5/1000</f>
        <v>84.323013497829791</v>
      </c>
      <c r="H53" s="11">
        <f>寸法→圧入力!$D$19</f>
        <v>345</v>
      </c>
      <c r="I53" s="11">
        <f>寸法→圧入力!$D$34</f>
        <v>150</v>
      </c>
      <c r="J53" s="11">
        <f>テーブル3[[#This Row],[半径方向応力nor]]*2*寸法→圧入力!E$13^2/(寸法→圧入力!E$13^2-寸法→圧入力!E$14^2)</f>
        <v>1266.4817286114751</v>
      </c>
      <c r="K53" s="11">
        <f>テーブル3[[#This Row],[半径方向応力nor]]* (1+(寸法→圧入力!E$29/寸法→圧入力!E$28)^2)/((寸法→圧入力!E$29/寸法→圧入力!E$28)^2-1)</f>
        <v>1235.824241381124</v>
      </c>
      <c r="N53">
        <f t="shared" si="3"/>
        <v>185</v>
      </c>
      <c r="O53" s="22">
        <f>寸法→圧入力!F$13*(1+寸法→圧入力!D$18*10^-6*(テーブル4[[#This Row],[inner温度'[℃']]]-20)) - 寸法→圧入力!D$28*(1+寸法→圧入力!D$33*10^-6*(テーブル4[[#This Row],[inner温度'[℃']]]+O$3-20))</f>
        <v>-1.0959124999985193E-3</v>
      </c>
      <c r="P53" s="22">
        <f>寸法→圧入力!F$13*(1+寸法→圧入力!D$18*10^-6*(テーブル4[[#This Row],[inner温度'[℃']]]-20)) - 寸法→圧入力!D$28*(1+寸法→圧入力!D$33*10^-6*(テーブル4[[#This Row],[inner温度'[℃']]]+P$3-20))</f>
        <v>-7.3959124999980475E-3</v>
      </c>
      <c r="Q53" s="22">
        <f>寸法→圧入力!F$13*(1+寸法→圧入力!D$18*10^-6*(テーブル4[[#This Row],[inner温度'[℃']]]-20)) - 寸法→圧入力!D$28*(1+寸法→圧入力!D$33*10^-6*(テーブル4[[#This Row],[inner温度'[℃']]]+Q$3-20))</f>
        <v>-1.3695912500001128E-2</v>
      </c>
      <c r="R53" s="22">
        <f>寸法→圧入力!F$13*(1+寸法→圧入力!D$18*10^-6*(テーブル4[[#This Row],[inner温度'[℃']]]-20)) - 寸法→圧入力!D$28*(1+寸法→圧入力!D$33*10^-6*(テーブル4[[#This Row],[inner温度'[℃']]]+R$3-20))</f>
        <v>-1.9995912500000657E-2</v>
      </c>
      <c r="S53" s="22">
        <f>寸法→圧入力!F$13*(1+寸法→圧入力!D$18*10^-6*(テーブル4[[#This Row],[inner温度'[℃']]]-20)) - 寸法→圧入力!D$28*(1+寸法→圧入力!D$33*10^-6*(テーブル4[[#This Row],[inner温度'[℃']]]+S$3-20))</f>
        <v>-2.6295912500003737E-2</v>
      </c>
      <c r="T53" s="22">
        <f>寸法→圧入力!F$13*(1+寸法→圧入力!D$18*10^-6*(テーブル4[[#This Row],[inner温度'[℃']]]-20)) - 寸法→圧入力!D$28*(1+寸法→圧入力!D$33*10^-6*(テーブル4[[#This Row],[inner温度'[℃']]]+T$3-20))</f>
        <v>-3.259591249999616E-2</v>
      </c>
      <c r="U53" s="22">
        <f>寸法→圧入力!F$13*(1+寸法→圧入力!D$18*10^-6*(テーブル4[[#This Row],[inner温度'[℃']]]-20)) - 寸法→圧入力!D$28*(1+寸法→圧入力!D$33*10^-6*(テーブル4[[#This Row],[inner温度'[℃']]]+U$3-20))</f>
        <v>-3.8895912499999241E-2</v>
      </c>
      <c r="V53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-1.1336782813329909</v>
      </c>
      <c r="W53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-7.6507799408240142</v>
      </c>
      <c r="X53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-14.167881600318713</v>
      </c>
      <c r="Y53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-20.684983259809741</v>
      </c>
      <c r="Z53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-27.202084919304436</v>
      </c>
      <c r="AA53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-33.719186578788111</v>
      </c>
      <c r="AB53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-40.23628823828281</v>
      </c>
      <c r="AC53" s="11">
        <f>テーブル4[[#This Row],[半径方向応力:Δ-30℃]]*2*寸法→圧入力!D$13^2/(寸法→圧入力!D$13^2-寸法→圧入力!F$14^2)</f>
        <v>-3.0356541997039854</v>
      </c>
      <c r="AD53" s="11">
        <f>テーブル4[[#This Row],[半径方向応力:Δ-20℃]]*2*寸法→圧入力!D$13^2/(寸法→圧入力!D$13^2-寸法→圧入力!F$14^2)</f>
        <v>-20.486519536270098</v>
      </c>
      <c r="AE53" s="11">
        <f>テーブル4[[#This Row],[半径方向応力:Δ-10℃]]*2*寸法→圧入力!D$13^2/(寸法→圧入力!D$13^2-寸法→圧入力!F$14^2)</f>
        <v>-37.937384872846053</v>
      </c>
      <c r="AF53" s="11">
        <f>テーブル4[[#This Row],[半径方向応力:Δ0℃]]*2*寸法→圧入力!D$13^2/(寸法→圧入力!D$13^2-寸法→圧入力!F$14^2)</f>
        <v>-55.388250209412178</v>
      </c>
      <c r="AG53" s="11">
        <f>テーブル4[[#This Row],[半径方向応力:Δ+10℃]]*2*寸法→圧入力!D$13^2/(寸法→圧入力!D$13^2-寸法→圧入力!F$14^2)</f>
        <v>-72.839115545988122</v>
      </c>
      <c r="AH53" s="11">
        <f>テーブル4[[#This Row],[半径方向応力:Δ+20℃]]*2*寸法→圧入力!D$13^2/(寸法→圧入力!D$13^2-寸法→圧入力!F$14^2)</f>
        <v>-90.289980882534564</v>
      </c>
      <c r="AI53" s="11">
        <f>テーブル4[[#This Row],[半径方向応力:Δ+30℃]]*2*寸法→圧入力!D$13^2/(寸法→圧入力!D$13^2-寸法→圧入力!F$14^2)</f>
        <v>-107.74084621911051</v>
      </c>
      <c r="AJ53" s="11">
        <f>寸法→圧入力!$D$19</f>
        <v>345</v>
      </c>
      <c r="AK53" s="11">
        <f>テーブル4[[#This Row],[半径方向応力:Δ-30℃]]* (1+(寸法→圧入力!D$29/寸法→圧入力!F$28)^2)/((寸法→圧入力!D$29/寸法→圧入力!F$28)^2-1)</f>
        <v>-3.1058453127115335</v>
      </c>
      <c r="AL53" s="11">
        <f>テーブル4[[#This Row],[半径方向応力:Δ-20℃]]* (1+(寸法→圧入力!D$29/寸法→圧入力!F$28)^2)/((寸法→圧入力!D$29/寸法→圧入力!F$28)^2-1)</f>
        <v>-20.960213677072399</v>
      </c>
      <c r="AM53" s="11">
        <f>テーブル4[[#This Row],[半径方向応力:Δ-10℃]]* (1+(寸法→圧入力!D$29/寸法→圧入力!F$28)^2)/((寸法→圧入力!D$29/寸法→圧入力!F$28)^2-1)</f>
        <v>-38.814582041443337</v>
      </c>
      <c r="AN53" s="11">
        <f>テーブル4[[#This Row],[半径方向応力:Δ0℃]]* (1+(寸法→圧入力!D$29/寸法→圧入力!F$28)^2)/((寸法→圧入力!D$29/寸法→圧入力!F$28)^2-1)</f>
        <v>-56.668950405804217</v>
      </c>
      <c r="AO53" s="11">
        <f>テーブル4[[#This Row],[半径方向応力:Δ+10℃]]* (1+(寸法→圧入力!D$29/寸法→圧入力!F$28)^2)/((寸法→圧入力!D$29/寸法→圧入力!F$28)^2-1)</f>
        <v>-74.523318770175138</v>
      </c>
      <c r="AP53" s="11">
        <f>テーブル4[[#This Row],[半径方向応力:Δ+20℃]]* (1+(寸法→圧入力!D$29/寸法→圧入力!F$28)^2)/((寸法→圧入力!D$29/寸法→圧入力!F$28)^2-1)</f>
        <v>-92.377687134515881</v>
      </c>
      <c r="AQ53" s="11">
        <f>テーブル4[[#This Row],[半径方向応力:Δ+30℃]]* (1+(寸法→圧入力!D$29/寸法→圧入力!F$28)^2)/((寸法→圧入力!D$29/寸法→圧入力!F$28)^2-1)</f>
        <v>-110.23205549888682</v>
      </c>
      <c r="AR53" s="11">
        <f>寸法→圧入力!$D$34</f>
        <v>150</v>
      </c>
      <c r="AU53" s="155" t="s">
        <v>230</v>
      </c>
      <c r="AV53" s="156"/>
      <c r="AW53" s="154" t="s">
        <v>235</v>
      </c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</row>
    <row r="54" spans="1:70" x14ac:dyDescent="0.7">
      <c r="A54" s="22">
        <f t="shared" si="7"/>
        <v>0.48</v>
      </c>
      <c r="B54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473.21369531698167</v>
      </c>
      <c r="C54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485.25091161660015</v>
      </c>
      <c r="D54" s="11">
        <f>(A54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496.54107881840093</v>
      </c>
      <c r="E54" s="11">
        <f>テーブル3[[#This Row],[半径方向応力min]]*寸法→圧入力!D$43*寸法→圧入力!D$5/1000</f>
        <v>55.036853597692328</v>
      </c>
      <c r="F54" s="11">
        <f>テーブル3[[#This Row],[半径方向応力min]]*寸法→圧入力!E$43*寸法→圧入力!E$5/1000</f>
        <v>70.273228917050872</v>
      </c>
      <c r="G54" s="11">
        <f>テーブル3[[#This Row],[半径方向応力min]]*寸法→圧入力!F$43*寸法→圧入力!F$5/1000</f>
        <v>86.117120167996376</v>
      </c>
      <c r="H54" s="11">
        <f>寸法→圧入力!$D$19</f>
        <v>345</v>
      </c>
      <c r="I54" s="11">
        <f>寸法→圧入力!$D$34</f>
        <v>150</v>
      </c>
      <c r="J54" s="11">
        <f>テーブル3[[#This Row],[半径方向応力nor]]*2*寸法→圧入力!E$13^2/(寸法→圧入力!E$13^2-寸法→圧入力!E$14^2)</f>
        <v>1293.4281483691661</v>
      </c>
      <c r="K54" s="11">
        <f>テーブル3[[#This Row],[半径方向応力nor]]* (1+(寸法→圧入力!E$29/寸法→圧入力!E$28)^2)/((寸法→圧入力!E$29/寸法→圧入力!E$28)^2-1)</f>
        <v>1262.1183741764671</v>
      </c>
      <c r="N54">
        <f t="shared" si="3"/>
        <v>190</v>
      </c>
      <c r="O54" s="22">
        <f>寸法→圧入力!F$13*(1+寸法→圧入力!D$18*10^-6*(テーブル4[[#This Row],[inner温度'[℃']]]-20)) - 寸法→圧入力!D$28*(1+寸法→圧入力!D$33*10^-6*(テーブル4[[#This Row],[inner温度'[℃']]]+O$3-20))</f>
        <v>-2.4594249999942974E-3</v>
      </c>
      <c r="P54" s="22">
        <f>寸法→圧入力!F$13*(1+寸法→圧入力!D$18*10^-6*(テーブル4[[#This Row],[inner温度'[℃']]]-20)) - 寸法→圧入力!D$28*(1+寸法→圧入力!D$33*10^-6*(テーブル4[[#This Row],[inner温度'[℃']]]+P$3-20))</f>
        <v>-8.7594249999973783E-3</v>
      </c>
      <c r="Q54" s="22">
        <f>寸法→圧入力!F$13*(1+寸法→圧入力!D$18*10^-6*(テーブル4[[#This Row],[inner温度'[℃']]]-20)) - 寸法→圧入力!D$28*(1+寸法→圧入力!D$33*10^-6*(テーブル4[[#This Row],[inner温度'[℃']]]+Q$3-20))</f>
        <v>-1.5059424999996907E-2</v>
      </c>
      <c r="R54" s="22">
        <f>寸法→圧入力!F$13*(1+寸法→圧入力!D$18*10^-6*(テーブル4[[#This Row],[inner温度'[℃']]]-20)) - 寸法→圧入力!D$28*(1+寸法→圧入力!D$33*10^-6*(テーブル4[[#This Row],[inner温度'[℃']]]+R$3-20))</f>
        <v>-2.1359424999999987E-2</v>
      </c>
      <c r="S54" s="22">
        <f>寸法→圧入力!F$13*(1+寸法→圧入力!D$18*10^-6*(テーブル4[[#This Row],[inner温度'[℃']]]-20)) - 寸法→圧入力!D$28*(1+寸法→圧入力!D$33*10^-6*(テーブル4[[#This Row],[inner温度'[℃']]]+S$3-20))</f>
        <v>-2.7659424999995963E-2</v>
      </c>
      <c r="T54" s="22">
        <f>寸法→圧入力!F$13*(1+寸法→圧入力!D$18*10^-6*(テーブル4[[#This Row],[inner温度'[℃']]]-20)) - 寸法→圧入力!D$28*(1+寸法→圧入力!D$33*10^-6*(テーブル4[[#This Row],[inner温度'[℃']]]+T$3-20))</f>
        <v>-3.3959424999995491E-2</v>
      </c>
      <c r="U54" s="22">
        <f>寸法→圧入力!F$13*(1+寸法→圧入力!D$18*10^-6*(テーブル4[[#This Row],[inner温度'[℃']]]-20)) - 寸法→圧入力!D$28*(1+寸法→圧入力!D$33*10^-6*(テーブル4[[#This Row],[inner温度'[℃']]]+U$3-20))</f>
        <v>-4.0259424999995019E-2</v>
      </c>
      <c r="V54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-2.5441782141044045</v>
      </c>
      <c r="W54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-9.0612798735991031</v>
      </c>
      <c r="X54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-15.578381533090127</v>
      </c>
      <c r="Y54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-22.095483192584826</v>
      </c>
      <c r="Z54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-28.612584852072175</v>
      </c>
      <c r="AA54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-35.129686511563193</v>
      </c>
      <c r="AB54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-41.646788171054219</v>
      </c>
      <c r="AC54" s="11">
        <f>テーブル4[[#This Row],[半径方向応力:Δ-30℃]]*2*寸法→圧入力!D$13^2/(寸法→圧入力!D$13^2-寸法→圧入力!F$14^2)</f>
        <v>-6.8125546794107645</v>
      </c>
      <c r="AD54" s="11">
        <f>テーブル4[[#This Row],[半径方向応力:Δ-20℃]]*2*寸法→圧入力!D$13^2/(寸法→圧入力!D$13^2-寸法→圧入力!F$14^2)</f>
        <v>-24.263420015986718</v>
      </c>
      <c r="AE54" s="11">
        <f>テーブル4[[#This Row],[半径方向応力:Δ-10℃]]*2*寸法→圧入力!D$13^2/(寸法→圧入力!D$13^2-寸法→圧入力!F$14^2)</f>
        <v>-41.714285352552828</v>
      </c>
      <c r="AF54" s="11">
        <f>テーブル4[[#This Row],[半径方向応力:Δ0℃]]*2*寸法→圧入力!D$13^2/(寸法→圧入力!D$13^2-寸法→圧入力!F$14^2)</f>
        <v>-59.165150689128787</v>
      </c>
      <c r="AG54" s="11">
        <f>テーブル4[[#This Row],[半径方向応力:Δ+10℃]]*2*寸法→圧入力!D$13^2/(寸法→圧入力!D$13^2-寸法→圧入力!F$14^2)</f>
        <v>-76.616016025685056</v>
      </c>
      <c r="AH54" s="11">
        <f>テーブル4[[#This Row],[半径方向応力:Δ+20℃]]*2*寸法→圧入力!D$13^2/(寸法→圧入力!D$13^2-寸法→圧入力!F$14^2)</f>
        <v>-94.066881362251152</v>
      </c>
      <c r="AI54" s="11">
        <f>テーブル4[[#This Row],[半径方向応力:Δ+30℃]]*2*寸法→圧入力!D$13^2/(寸法→圧入力!D$13^2-寸法→圧入力!F$14^2)</f>
        <v>-111.51774669881728</v>
      </c>
      <c r="AJ54" s="11">
        <f>寸法→圧入力!$D$19</f>
        <v>345</v>
      </c>
      <c r="AK54" s="11">
        <f>テーブル4[[#This Row],[半径方向応力:Δ-30℃]]* (1+(寸法→圧入力!D$29/寸法→圧入力!F$28)^2)/((寸法→圧入力!D$29/寸法→圧入力!F$28)^2-1)</f>
        <v>-6.9700761768920172</v>
      </c>
      <c r="AL54" s="11">
        <f>テーブル4[[#This Row],[半径方向応力:Δ-20℃]]* (1+(寸法→圧入力!D$29/寸法→圧入力!F$28)^2)/((寸法→圧入力!D$29/寸法→圧入力!F$28)^2-1)</f>
        <v>-24.824444541262952</v>
      </c>
      <c r="AM54" s="11">
        <f>テーブル4[[#This Row],[半径方向応力:Δ-10℃]]* (1+(寸法→圧入力!D$29/寸法→圧入力!F$28)^2)/((寸法→圧入力!D$29/寸法→圧入力!F$28)^2-1)</f>
        <v>-42.678812905623822</v>
      </c>
      <c r="AN54" s="11">
        <f>テーブル4[[#This Row],[半径方向応力:Δ0℃]]* (1+(寸法→圧入力!D$29/寸法→圧入力!F$28)^2)/((寸法→圧入力!D$29/寸法→圧入力!F$28)^2-1)</f>
        <v>-60.533181269994763</v>
      </c>
      <c r="AO54" s="11">
        <f>テーブル4[[#This Row],[半径方向応力:Δ+10℃]]* (1+(寸法→圧入力!D$29/寸法→圧入力!F$28)^2)/((寸法→圧入力!D$29/寸法→圧入力!F$28)^2-1)</f>
        <v>-78.387549634345561</v>
      </c>
      <c r="AP54" s="11">
        <f>テーブル4[[#This Row],[半径方向応力:Δ+20℃]]* (1+(寸法→圧入力!D$29/寸法→圧入力!F$28)^2)/((寸法→圧入力!D$29/寸法→圧入力!F$28)^2-1)</f>
        <v>-96.241917998706413</v>
      </c>
      <c r="AQ54" s="11">
        <f>テーブル4[[#This Row],[半径方向応力:Δ+30℃]]* (1+(寸法→圧入力!D$29/寸法→圧入力!F$28)^2)/((寸法→圧入力!D$29/寸法→圧入力!F$28)^2-1)</f>
        <v>-114.09628636306729</v>
      </c>
      <c r="AR54" s="11">
        <f>寸法→圧入力!$D$34</f>
        <v>150</v>
      </c>
      <c r="AU54" s="157"/>
      <c r="AV54" s="158"/>
      <c r="AW54" s="151">
        <v>-50</v>
      </c>
      <c r="AX54" s="151">
        <f>AW54+10</f>
        <v>-40</v>
      </c>
      <c r="AY54" s="151">
        <f t="shared" ref="AY54:BQ54" si="8">AX54+10</f>
        <v>-30</v>
      </c>
      <c r="AZ54" s="151">
        <f t="shared" si="8"/>
        <v>-20</v>
      </c>
      <c r="BA54" s="151">
        <f t="shared" si="8"/>
        <v>-10</v>
      </c>
      <c r="BB54" s="151">
        <f t="shared" si="8"/>
        <v>0</v>
      </c>
      <c r="BC54" s="151">
        <f t="shared" si="8"/>
        <v>10</v>
      </c>
      <c r="BD54" s="151">
        <f t="shared" si="8"/>
        <v>20</v>
      </c>
      <c r="BE54" s="151">
        <f t="shared" si="8"/>
        <v>30</v>
      </c>
      <c r="BF54" s="151">
        <f t="shared" si="8"/>
        <v>40</v>
      </c>
      <c r="BG54" s="151">
        <f t="shared" si="8"/>
        <v>50</v>
      </c>
      <c r="BH54" s="151">
        <f t="shared" si="8"/>
        <v>60</v>
      </c>
      <c r="BI54" s="151">
        <f t="shared" si="8"/>
        <v>70</v>
      </c>
      <c r="BJ54" s="151">
        <f t="shared" si="8"/>
        <v>80</v>
      </c>
      <c r="BK54" s="151">
        <f t="shared" si="8"/>
        <v>90</v>
      </c>
      <c r="BL54" s="151">
        <f t="shared" si="8"/>
        <v>100</v>
      </c>
      <c r="BM54" s="151">
        <f t="shared" si="8"/>
        <v>110</v>
      </c>
      <c r="BN54" s="151">
        <f t="shared" si="8"/>
        <v>120</v>
      </c>
      <c r="BO54" s="151">
        <f t="shared" si="8"/>
        <v>130</v>
      </c>
      <c r="BP54" s="151">
        <f>BO54+10</f>
        <v>140</v>
      </c>
      <c r="BQ54" s="151">
        <f t="shared" ref="BQ54" si="9">BP54+10</f>
        <v>150</v>
      </c>
    </row>
    <row r="55" spans="1:70" x14ac:dyDescent="0.7">
      <c r="A55" s="22">
        <f t="shared" si="7"/>
        <v>0.49</v>
      </c>
      <c r="B55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483.0723139694187</v>
      </c>
      <c r="C55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495.36030560861258</v>
      </c>
      <c r="D55" s="11">
        <f>(A55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506.88568462711754</v>
      </c>
      <c r="E55" s="11">
        <f>テーブル3[[#This Row],[半径方向応力min]]*寸法→圧入力!D$43*寸法→圧入力!D$5/1000</f>
        <v>56.183454714310919</v>
      </c>
      <c r="F55" s="11">
        <f>テーブル3[[#This Row],[半径方向応力min]]*寸法→圧入力!E$43*寸法→圧入力!E$5/1000</f>
        <v>71.737254519489426</v>
      </c>
      <c r="G55" s="11">
        <f>テーブル3[[#This Row],[半径方向応力min]]*寸法→圧入力!F$43*寸法→圧入力!F$5/1000</f>
        <v>87.911226838162946</v>
      </c>
      <c r="H55" s="11">
        <f>寸法→圧入力!$D$19</f>
        <v>345</v>
      </c>
      <c r="I55" s="11">
        <f>寸法→圧入力!$D$34</f>
        <v>150</v>
      </c>
      <c r="J55" s="11">
        <f>テーブル3[[#This Row],[半径方向応力nor]]*2*寸法→圧入力!E$13^2/(寸法→圧入力!E$13^2-寸法→圧入力!E$14^2)</f>
        <v>1320.3745681268567</v>
      </c>
      <c r="K55" s="11">
        <f>テーブル3[[#This Row],[半径方向応力nor]]* (1+(寸法→圧入力!E$29/寸法→圧入力!E$28)^2)/((寸法→圧入力!E$29/寸法→圧入力!E$28)^2-1)</f>
        <v>1288.4125069718098</v>
      </c>
      <c r="N55">
        <f t="shared" si="3"/>
        <v>195</v>
      </c>
      <c r="O55" s="22">
        <f>寸法→圧入力!F$13*(1+寸法→圧入力!D$18*10^-6*(テーブル4[[#This Row],[inner温度'[℃']]]-20)) - 寸法→圧入力!D$28*(1+寸法→圧入力!D$33*10^-6*(テーブル4[[#This Row],[inner温度'[℃']]]+O$3-20))</f>
        <v>-3.8229375000007337E-3</v>
      </c>
      <c r="P55" s="22">
        <f>寸法→圧入力!F$13*(1+寸法→圧入力!D$18*10^-6*(テーブル4[[#This Row],[inner温度'[℃']]]-20)) - 寸法→圧入力!D$28*(1+寸法→圧入力!D$33*10^-6*(テーブル4[[#This Row],[inner温度'[℃']]]+P$3-20))</f>
        <v>-1.0122937500003815E-2</v>
      </c>
      <c r="Q55" s="22">
        <f>寸法→圧入力!F$13*(1+寸法→圧入力!D$18*10^-6*(テーブル4[[#This Row],[inner温度'[℃']]]-20)) - 寸法→圧入力!D$28*(1+寸法→圧入力!D$33*10^-6*(テーブル4[[#This Row],[inner温度'[℃']]]+Q$3-20))</f>
        <v>-1.6422937500003343E-2</v>
      </c>
      <c r="R55" s="22">
        <f>寸法→圧入力!F$13*(1+寸法→圧入力!D$18*10^-6*(テーブル4[[#This Row],[inner温度'[℃']]]-20)) - 寸法→圧入力!D$28*(1+寸法→圧入力!D$33*10^-6*(テーブル4[[#This Row],[inner温度'[℃']]]+R$3-20))</f>
        <v>-2.2722937500006424E-2</v>
      </c>
      <c r="S55" s="22">
        <f>寸法→圧入力!F$13*(1+寸法→圧入力!D$18*10^-6*(テーブル4[[#This Row],[inner温度'[℃']]]-20)) - 寸法→圧入力!D$28*(1+寸法→圧入力!D$33*10^-6*(テーブル4[[#This Row],[inner温度'[℃']]]+S$3-20))</f>
        <v>-2.9022937499998847E-2</v>
      </c>
      <c r="T55" s="22">
        <f>寸法→圧入力!F$13*(1+寸法→圧入力!D$18*10^-6*(テーブル4[[#This Row],[inner温度'[℃']]]-20)) - 寸法→圧入力!D$28*(1+寸法→圧入力!D$33*10^-6*(テーブル4[[#This Row],[inner温度'[℃']]]+T$3-20))</f>
        <v>-3.5322937500001927E-2</v>
      </c>
      <c r="U55" s="22">
        <f>寸法→圧入力!F$13*(1+寸法→圧入力!D$18*10^-6*(テーブル4[[#This Row],[inner温度'[℃']]]-20)) - 寸法→圧入力!D$28*(1+寸法→圧入力!D$33*10^-6*(テーブル4[[#This Row],[inner温度'[℃']]]+U$3-20))</f>
        <v>-4.1622937500001456E-2</v>
      </c>
      <c r="V55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-3.9546781468868435</v>
      </c>
      <c r="W55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-10.471779806381543</v>
      </c>
      <c r="X55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-16.988881465872566</v>
      </c>
      <c r="Y55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-23.505983125367266</v>
      </c>
      <c r="Z55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-30.023084784850937</v>
      </c>
      <c r="AA55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-36.540186444345643</v>
      </c>
      <c r="AB55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-43.057288103836662</v>
      </c>
      <c r="AC55" s="11">
        <f>テーブル4[[#This Row],[半径方向応力:Δ-30℃]]*2*寸法→圧入力!D$13^2/(寸法→圧入力!D$13^2-寸法→圧入力!F$14^2)</f>
        <v>-10.589455159147068</v>
      </c>
      <c r="AD55" s="11">
        <f>テーブル4[[#This Row],[半径方向応力:Δ-20℃]]*2*寸法→圧入力!D$13^2/(寸法→圧入力!D$13^2-寸法→圧入力!F$14^2)</f>
        <v>-28.040320495723023</v>
      </c>
      <c r="AE55" s="11">
        <f>テーブル4[[#This Row],[半径方向応力:Δ-10℃]]*2*寸法→圧入力!D$13^2/(寸法→圧入力!D$13^2-寸法→圧入力!F$14^2)</f>
        <v>-45.491185832289133</v>
      </c>
      <c r="AF55" s="11">
        <f>テーブル4[[#This Row],[半径方向応力:Δ0℃]]*2*寸法→圧入力!D$13^2/(寸法→圧入力!D$13^2-寸法→圧入力!F$14^2)</f>
        <v>-62.942051168865092</v>
      </c>
      <c r="AG55" s="11">
        <f>テーブル4[[#This Row],[半径方向応力:Δ+10℃]]*2*寸法→圧入力!D$13^2/(寸法→圧入力!D$13^2-寸法→圧入力!F$14^2)</f>
        <v>-80.39291650541152</v>
      </c>
      <c r="AH55" s="11">
        <f>テーブル4[[#This Row],[半径方向応力:Δ+20℃]]*2*寸法→圧入力!D$13^2/(寸法→圧入力!D$13^2-寸法→圧入力!F$14^2)</f>
        <v>-97.843781841987493</v>
      </c>
      <c r="AI55" s="11">
        <f>テーブル4[[#This Row],[半径方向応力:Δ+30℃]]*2*寸法→圧入力!D$13^2/(寸法→圧入力!D$13^2-寸法→圧入力!F$14^2)</f>
        <v>-115.29464717855359</v>
      </c>
      <c r="AJ55" s="11">
        <f>寸法→圧入力!$D$19</f>
        <v>345</v>
      </c>
      <c r="AK55" s="11">
        <f>テーブル4[[#This Row],[半径方向応力:Δ-30℃]]* (1+(寸法→圧入力!D$29/寸法→圧入力!F$28)^2)/((寸法→圧入力!D$29/寸法→圧入力!F$28)^2-1)</f>
        <v>-10.834307041102706</v>
      </c>
      <c r="AL55" s="11">
        <f>テーブル4[[#This Row],[半径方向応力:Δ-20℃]]* (1+(寸法→圧入力!D$29/寸法→圧入力!F$28)^2)/((寸法→圧入力!D$29/寸法→圧入力!F$28)^2-1)</f>
        <v>-28.688675405473646</v>
      </c>
      <c r="AM55" s="11">
        <f>テーブル4[[#This Row],[半径方向応力:Δ-10℃]]* (1+(寸法→圧入力!D$29/寸法→圧入力!F$28)^2)/((寸法→圧入力!D$29/寸法→圧入力!F$28)^2-1)</f>
        <v>-46.543043769834512</v>
      </c>
      <c r="AN55" s="11">
        <f>テーブル4[[#This Row],[半径方向応力:Δ0℃]]* (1+(寸法→圧入力!D$29/寸法→圧入力!F$28)^2)/((寸法→圧入力!D$29/寸法→圧入力!F$28)^2-1)</f>
        <v>-64.397412134205439</v>
      </c>
      <c r="AO55" s="11">
        <f>テーブル4[[#This Row],[半径方向応力:Δ+10℃]]* (1+(寸法→圧入力!D$29/寸法→圧入力!F$28)^2)/((寸法→圧入力!D$29/寸法→圧入力!F$28)^2-1)</f>
        <v>-82.251780498546168</v>
      </c>
      <c r="AP55" s="11">
        <f>テーブル4[[#This Row],[半径方向応力:Δ+20℃]]* (1+(寸法→圧入力!D$29/寸法→圧入力!F$28)^2)/((寸法→圧入力!D$29/寸法→圧入力!F$28)^2-1)</f>
        <v>-100.10614886291714</v>
      </c>
      <c r="AQ55" s="11">
        <f>テーブル4[[#This Row],[半径方向応力:Δ+30℃]]* (1+(寸法→圧入力!D$29/寸法→圧入力!F$28)^2)/((寸法→圧入力!D$29/寸法→圧入力!F$28)^2-1)</f>
        <v>-117.96051722727799</v>
      </c>
      <c r="AR55" s="11">
        <f>寸法→圧入力!$D$34</f>
        <v>150</v>
      </c>
      <c r="AU55" s="150" t="s">
        <v>234</v>
      </c>
      <c r="AV55" s="151">
        <v>-50</v>
      </c>
      <c r="AW55" s="159">
        <f>AW30*寸法→圧入力!$E$43*寸法→圧入力!$E$6/1000</f>
        <v>-0.56467594985265113</v>
      </c>
      <c r="AX55" s="159">
        <f>AX30*寸法→圧入力!$E$43*寸法→圧入力!$E$6/1000</f>
        <v>-0.99343759592002467</v>
      </c>
      <c r="AY55" s="159">
        <f>AY30*寸法→圧入力!$E$43*寸法→圧入力!$E$6/1000</f>
        <v>-1.4221992419873983</v>
      </c>
      <c r="AZ55" s="159">
        <f>AZ30*寸法→圧入力!$E$43*寸法→圧入力!$E$6/1000</f>
        <v>-1.8509608880547725</v>
      </c>
      <c r="BA55" s="159">
        <f>BA30*寸法→圧入力!$E$43*寸法→圧入力!$E$6/1000</f>
        <v>-2.2797225341221452</v>
      </c>
      <c r="BB55" s="159">
        <f>BB30*寸法→圧入力!$E$43*寸法→圧入力!$E$6/1000</f>
        <v>-2.7084841801895201</v>
      </c>
      <c r="BC55" s="159">
        <f>BC30*寸法→圧入力!$E$43*寸法→圧入力!$E$6/1000</f>
        <v>-3.1372458262568932</v>
      </c>
      <c r="BD55" s="159">
        <f>BD30*寸法→圧入力!$E$43*寸法→圧入力!$E$6/1000</f>
        <v>-3.5660074723242672</v>
      </c>
      <c r="BE55" s="159">
        <f>BE30*寸法→圧入力!$E$43*寸法→圧入力!$E$6/1000</f>
        <v>-3.9947691183916407</v>
      </c>
      <c r="BF55" s="159">
        <f>BF30*寸法→圧入力!$E$43*寸法→圧入力!$E$6/1000</f>
        <v>-4.4235307644590138</v>
      </c>
      <c r="BG55" s="159">
        <f>BG30*寸法→圧入力!$E$43*寸法→圧入力!$E$6/1000</f>
        <v>-4.8522924105263883</v>
      </c>
      <c r="BH55" s="159">
        <f>BH30*寸法→圧入力!$E$43*寸法→圧入力!$E$6/1000</f>
        <v>-5.2810540565937618</v>
      </c>
      <c r="BI55" s="159">
        <f>BI30*寸法→圧入力!$E$43*寸法→圧入力!$E$6/1000</f>
        <v>-5.7098157026611362</v>
      </c>
      <c r="BJ55" s="159">
        <f>BJ30*寸法→圧入力!$E$43*寸法→圧入力!$E$6/1000</f>
        <v>-6.1385773487285107</v>
      </c>
      <c r="BK55" s="159">
        <f>BK30*寸法→圧入力!$E$43*寸法→圧入力!$E$6/1000</f>
        <v>-6.5673389947958833</v>
      </c>
      <c r="BL55" s="159">
        <f>BL30*寸法→圧入力!$E$43*寸法→圧入力!$E$6/1000</f>
        <v>-6.996100640863256</v>
      </c>
      <c r="BM55" s="159">
        <f>BM30*寸法→圧入力!$E$43*寸法→圧入力!$E$6/1000</f>
        <v>-7.4248622869306313</v>
      </c>
      <c r="BN55" s="159">
        <f>BN30*寸法→圧入力!$E$43*寸法→圧入力!$E$6/1000</f>
        <v>-7.8536239329980058</v>
      </c>
      <c r="BO55" s="159">
        <f>BO30*寸法→圧入力!$E$43*寸法→圧入力!$E$6/1000</f>
        <v>-8.2823855790653766</v>
      </c>
      <c r="BP55" s="159">
        <f>BP30*寸法→圧入力!$E$43*寸法→圧入力!$E$6/1000</f>
        <v>-8.7111472251327502</v>
      </c>
      <c r="BQ55" s="159">
        <f>BQ30*寸法→圧入力!$E$43*寸法→圧入力!$E$6/1000</f>
        <v>-9.1399088712001255</v>
      </c>
      <c r="BR55" s="11"/>
    </row>
    <row r="56" spans="1:70" x14ac:dyDescent="0.7">
      <c r="A56" s="22">
        <f t="shared" si="7"/>
        <v>0.5</v>
      </c>
      <c r="B56" s="11">
        <f>(テーブル3[[#This Row],[締め代]]/寸法→圧入力!$D$3)*(1/((寸法→圧入力!$D$3^2+寸法→圧入力!F$14^2)/(寸法→圧入力!$D$3^2-寸法→圧入力!F$14^2)*(1/寸法→圧入力!$D$31)+(寸法→圧入力!D$29^2+寸法→圧入力!$D$3^2)/(寸法→圧入力!D$29^2-寸法→圧入力!$D$3^2)*(1/寸法→圧入力!$D$16)-(寸法→圧入力!$D$32/寸法→圧入力!$D$31)+(寸法→圧入力!$D$17/寸法→圧入力!$D$16)))</f>
        <v>492.93093262185585</v>
      </c>
      <c r="C56" s="11">
        <f>(テーブル3[[#This Row],[締め代]]/寸法→圧入力!$D$3)*(1/((寸法→圧入力!$D$3^2+寸法→圧入力!E$14^2)/(寸法→圧入力!$D$3^2-寸法→圧入力!E$14^2)*(1/寸法→圧入力!$D$31)+(寸法→圧入力!E$29^2+寸法→圧入力!$D$3^2)/(寸法→圧入力!E$29^2-寸法→圧入力!$D$3^2)*(1/寸法→圧入力!$D$16)-(寸法→圧入力!$D$32/寸法→圧入力!$D$31)+(寸法→圧入力!$D$17/寸法→圧入力!$D$16)))</f>
        <v>505.46969960062512</v>
      </c>
      <c r="D56" s="11">
        <f>(A56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517.23029043583426</v>
      </c>
      <c r="E56" s="11">
        <f>テーブル3[[#This Row],[半径方向応力min]]*寸法→圧入力!D$43*寸法→圧入力!D$5/1000</f>
        <v>57.33005583092951</v>
      </c>
      <c r="F56" s="11">
        <f>テーブル3[[#This Row],[半径方向応力min]]*寸法→圧入力!E$43*寸法→圧入力!E$5/1000</f>
        <v>73.201280121927979</v>
      </c>
      <c r="G56" s="11">
        <f>テーブル3[[#This Row],[半径方向応力min]]*寸法→圧入力!F$43*寸法→圧入力!F$5/1000</f>
        <v>89.705333508329545</v>
      </c>
      <c r="H56" s="11">
        <f>寸法→圧入力!$D$19</f>
        <v>345</v>
      </c>
      <c r="I56" s="11">
        <f>寸法→圧入力!$D$34</f>
        <v>150</v>
      </c>
      <c r="J56" s="11">
        <f>テーブル3[[#This Row],[半径方向応力nor]]*2*寸法→圧入力!E$13^2/(寸法→圧入力!E$13^2-寸法→圧入力!E$14^2)</f>
        <v>1347.3209878845478</v>
      </c>
      <c r="K56" s="11">
        <f>テーブル3[[#This Row],[半径方向応力nor]]* (1+(寸法→圧入力!E$29/寸法→圧入力!E$28)^2)/((寸法→圧入力!E$29/寸法→圧入力!E$28)^2-1)</f>
        <v>1314.7066397671531</v>
      </c>
      <c r="N56">
        <f t="shared" si="3"/>
        <v>200</v>
      </c>
      <c r="O56" s="22">
        <f>寸法→圧入力!F$13*(1+寸法→圧入力!D$18*10^-6*(テーブル4[[#This Row],[inner温度'[℃']]]-20)) - 寸法→圧入力!D$28*(1+寸法→圧入力!D$33*10^-6*(テーブル4[[#This Row],[inner温度'[℃']]]+O$3-20))</f>
        <v>-5.1864500000000646E-3</v>
      </c>
      <c r="P56" s="22">
        <f>寸法→圧入力!F$13*(1+寸法→圧入力!D$18*10^-6*(テーブル4[[#This Row],[inner温度'[℃']]]-20)) - 寸法→圧入力!D$28*(1+寸法→圧入力!D$33*10^-6*(テーブル4[[#This Row],[inner温度'[℃']]]+P$3-20))</f>
        <v>-1.1486449999999593E-2</v>
      </c>
      <c r="Q56" s="22">
        <f>寸法→圧入力!F$13*(1+寸法→圧入力!D$18*10^-6*(テーブル4[[#This Row],[inner温度'[℃']]]-20)) - 寸法→圧入力!D$28*(1+寸法→圧入力!D$33*10^-6*(テーブル4[[#This Row],[inner温度'[℃']]]+Q$3-20))</f>
        <v>-1.7786450000002674E-2</v>
      </c>
      <c r="R56" s="22">
        <f>寸法→圧入力!F$13*(1+寸法→圧入力!D$18*10^-6*(テーブル4[[#This Row],[inner温度'[℃']]]-20)) - 寸法→圧入力!D$28*(1+寸法→圧入力!D$33*10^-6*(テーブル4[[#This Row],[inner温度'[℃']]]+R$3-20))</f>
        <v>-2.4086449999998649E-2</v>
      </c>
      <c r="S56" s="22">
        <f>寸法→圧入力!F$13*(1+寸法→圧入力!D$18*10^-6*(テーブル4[[#This Row],[inner温度'[℃']]]-20)) - 寸法→圧入力!D$28*(1+寸法→圧入力!D$33*10^-6*(テーブル4[[#This Row],[inner温度'[℃']]]+S$3-20))</f>
        <v>-3.0386449999998177E-2</v>
      </c>
      <c r="T56" s="22">
        <f>寸法→圧入力!F$13*(1+寸法→圧入力!D$18*10^-6*(テーブル4[[#This Row],[inner温度'[℃']]]-20)) - 寸法→圧入力!D$28*(1+寸法→圧入力!D$33*10^-6*(テーブル4[[#This Row],[inner温度'[℃']]]+T$3-20))</f>
        <v>-3.6686449999997706E-2</v>
      </c>
      <c r="U56" s="22">
        <f>寸法→圧入力!F$13*(1+寸法→圧入力!D$18*10^-6*(テーブル4[[#This Row],[inner温度'[℃']]]-20)) - 寸法→圧入力!D$28*(1+寸法→圧入力!D$33*10^-6*(テーブル4[[#This Row],[inner温度'[℃']]]+U$3-20))</f>
        <v>-4.2986450000000787E-2</v>
      </c>
      <c r="V56" s="11">
        <f>(テーブル4[[#This Row],[締め代：Δ-30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-5.3651780796619324</v>
      </c>
      <c r="W56" s="11">
        <f>(テーブル4[[#This Row],[締め代：Δ-20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-11.882279739152956</v>
      </c>
      <c r="X56" s="11">
        <f>(テーブル4[[#This Row],[締め代：Δ-10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-18.399381398647655</v>
      </c>
      <c r="Y56" s="11">
        <f>(テーブル4[[#This Row],[締め代：Δ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-24.916483058135004</v>
      </c>
      <c r="Z56" s="11">
        <f>(テーブル4[[#This Row],[締め代：Δ+10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-31.433584717626029</v>
      </c>
      <c r="AA56" s="11">
        <f>(テーブル4[[#This Row],[締め代：Δ+20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-37.950686377117052</v>
      </c>
      <c r="AB56" s="11">
        <f>(テーブル4[[#This Row],[締め代：Δ+30℃]]/寸法→圧入力!$D$3)*(1/((寸法→圧入力!$D$3^2+寸法→圧入力!D$14^2)/(寸法→圧入力!$D$3^2-寸法→圧入力!D$14^2)*(1/寸法→圧入力!$D$31)+(寸法→圧入力!F$29^2+寸法→圧入力!$D$3^2)/(寸法→圧入力!F$29^2-寸法→圧入力!$D$3^2)*(1/寸法→圧入力!$D$16)-(寸法→圧入力!$D$32/寸法→圧入力!$D$31)+(寸法→圧入力!$D$17/寸法→圧入力!$D$16)))</f>
        <v>-44.467788036611758</v>
      </c>
      <c r="AC56" s="11">
        <f>テーブル4[[#This Row],[半径方向応力:Δ-30℃]]*2*寸法→圧入力!D$13^2/(寸法→圧入力!D$13^2-寸法→圧入力!F$14^2)</f>
        <v>-14.366355638863688</v>
      </c>
      <c r="AD56" s="11">
        <f>テーブル4[[#This Row],[半径方向応力:Δ-20℃]]*2*寸法→圧入力!D$13^2/(寸法→圧入力!D$13^2-寸法→圧入力!F$14^2)</f>
        <v>-31.817220975429805</v>
      </c>
      <c r="AE56" s="11">
        <f>テーブル4[[#This Row],[半径方向応力:Δ-10℃]]*2*寸法→圧入力!D$13^2/(寸法→圧入力!D$13^2-寸法→圧入力!F$14^2)</f>
        <v>-49.268086312005757</v>
      </c>
      <c r="AF56" s="11">
        <f>テーブル4[[#This Row],[半径方向応力:Δ0℃]]*2*寸法→圧入力!D$13^2/(寸法→圧入力!D$13^2-寸法→圧入力!F$14^2)</f>
        <v>-66.71895164856204</v>
      </c>
      <c r="AG56" s="11">
        <f>テーブル4[[#This Row],[半径方向応力:Δ+10℃]]*2*寸法→圧入力!D$13^2/(寸法→圧入力!D$13^2-寸法→圧入力!F$14^2)</f>
        <v>-84.169816985128151</v>
      </c>
      <c r="AH56" s="11">
        <f>テーブル4[[#This Row],[半径方向応力:Δ+20℃]]*2*寸法→圧入力!D$13^2/(寸法→圧入力!D$13^2-寸法→圧入力!F$14^2)</f>
        <v>-101.62068232169426</v>
      </c>
      <c r="AI56" s="11">
        <f>テーブル4[[#This Row],[半径方向応力:Δ+30℃]]*2*寸法→圧入力!D$13^2/(寸法→圧入力!D$13^2-寸法→圧入力!F$14^2)</f>
        <v>-119.07154765827023</v>
      </c>
      <c r="AJ56" s="11">
        <f>寸法→圧入力!$D$19</f>
        <v>345</v>
      </c>
      <c r="AK56" s="11">
        <f>テーブル4[[#This Row],[半径方向応力:Δ-30℃]]* (1+(寸法→圧入力!D$29/寸法→圧入力!F$28)^2)/((寸法→圧入力!D$29/寸法→圧入力!F$28)^2-1)</f>
        <v>-14.698537905293255</v>
      </c>
      <c r="AL56" s="11">
        <f>テーブル4[[#This Row],[半径方向応力:Δ-20℃]]* (1+(寸法→圧入力!D$29/寸法→圧入力!F$28)^2)/((寸法→圧入力!D$29/寸法→圧入力!F$28)^2-1)</f>
        <v>-32.552906269654123</v>
      </c>
      <c r="AM56" s="11">
        <f>テーブル4[[#This Row],[半径方向応力:Δ-10℃]]* (1+(寸法→圧入力!D$29/寸法→圧入力!F$28)^2)/((寸法→圧入力!D$29/寸法→圧入力!F$28)^2-1)</f>
        <v>-50.407274634025065</v>
      </c>
      <c r="AN56" s="11">
        <f>テーブル4[[#This Row],[半径方向応力:Δ0℃]]* (1+(寸法→圧入力!D$29/寸法→圧入力!F$28)^2)/((寸法→圧入力!D$29/寸法→圧入力!F$28)^2-1)</f>
        <v>-68.261642998375862</v>
      </c>
      <c r="AO56" s="11">
        <f>テーブル4[[#This Row],[半径方向応力:Δ+10℃]]* (1+(寸法→圧入力!D$29/寸法→圧入力!F$28)^2)/((寸法→圧入力!D$29/寸法→圧入力!F$28)^2-1)</f>
        <v>-86.116011362736728</v>
      </c>
      <c r="AP56" s="11">
        <f>テーブル4[[#This Row],[半径方向応力:Δ+20℃]]* (1+(寸法→圧入力!D$29/寸法→圧入力!F$28)^2)/((寸法→圧入力!D$29/寸法→圧入力!F$28)^2-1)</f>
        <v>-103.97037972709759</v>
      </c>
      <c r="AQ56" s="11">
        <f>テーブル4[[#This Row],[半径方向応力:Δ+30℃]]* (1+(寸法→圧入力!D$29/寸法→圧入力!F$28)^2)/((寸法→圧入力!D$29/寸法→圧入力!F$28)^2-1)</f>
        <v>-121.82474809146856</v>
      </c>
      <c r="AR56" s="11">
        <f>寸法→圧入力!$D$34</f>
        <v>150</v>
      </c>
      <c r="AU56" s="152"/>
      <c r="AV56" s="151">
        <f>AV55+10</f>
        <v>-40</v>
      </c>
      <c r="AW56" s="159">
        <f>AW31*寸法→圧入力!$E$43*寸法→圧入力!$E$6/1000</f>
        <v>0.19196224908977344</v>
      </c>
      <c r="AX56" s="159">
        <f>AX31*寸法→圧入力!$E$43*寸法→圧入力!$E$6/1000</f>
        <v>-0.23679939697760027</v>
      </c>
      <c r="AY56" s="159">
        <f>AY31*寸法→圧入力!$E$43*寸法→圧入力!$E$6/1000</f>
        <v>-0.66556104304497388</v>
      </c>
      <c r="AZ56" s="159">
        <f>AZ31*寸法→圧入力!$E$43*寸法→圧入力!$E$6/1000</f>
        <v>-1.0943226891123476</v>
      </c>
      <c r="BA56" s="159">
        <f>BA31*寸法→圧入力!$E$43*寸法→圧入力!$E$6/1000</f>
        <v>-1.5230843351797214</v>
      </c>
      <c r="BB56" s="159">
        <f>BB31*寸法→圧入力!$E$43*寸法→圧入力!$E$6/1000</f>
        <v>-1.9518459812470956</v>
      </c>
      <c r="BC56" s="159">
        <f>BC31*寸法→圧入力!$E$43*寸法→圧入力!$E$6/1000</f>
        <v>-2.3806076273144692</v>
      </c>
      <c r="BD56" s="159">
        <f>BD31*寸法→圧入力!$E$43*寸法→圧入力!$E$6/1000</f>
        <v>-2.8093692733818418</v>
      </c>
      <c r="BE56" s="159">
        <f>BE31*寸法→圧入力!$E$43*寸法→圧入力!$E$6/1000</f>
        <v>-3.2381309194492163</v>
      </c>
      <c r="BF56" s="159">
        <f>BF31*寸法→圧入力!$E$43*寸法→圧入力!$E$6/1000</f>
        <v>-3.6668925655165898</v>
      </c>
      <c r="BG56" s="159">
        <f>BG31*寸法→圧入力!$E$43*寸法→圧入力!$E$6/1000</f>
        <v>-4.0956542115839643</v>
      </c>
      <c r="BH56" s="159">
        <f>BH31*寸法→圧入力!$E$43*寸法→圧入力!$E$6/1000</f>
        <v>-4.524415857651336</v>
      </c>
      <c r="BI56" s="159">
        <f>BI31*寸法→圧入力!$E$43*寸法→圧入力!$E$6/1000</f>
        <v>-4.9531775037187105</v>
      </c>
      <c r="BJ56" s="159">
        <f>BJ31*寸法→圧入力!$E$43*寸法→圧入力!$E$6/1000</f>
        <v>-5.3819391497860849</v>
      </c>
      <c r="BK56" s="159">
        <f>BK31*寸法→圧入力!$E$43*寸法→圧入力!$E$6/1000</f>
        <v>-5.8107007958534593</v>
      </c>
      <c r="BL56" s="159">
        <f>BL31*寸法→圧入力!$E$43*寸法→圧入力!$E$6/1000</f>
        <v>-6.2394624419208311</v>
      </c>
      <c r="BM56" s="159">
        <f>BM31*寸法→圧入力!$E$43*寸法→圧入力!$E$6/1000</f>
        <v>-6.6682240879882047</v>
      </c>
      <c r="BN56" s="159">
        <f>BN31*寸法→圧入力!$E$43*寸法→圧入力!$E$6/1000</f>
        <v>-7.09698573405558</v>
      </c>
      <c r="BO56" s="159">
        <f>BO31*寸法→圧入力!$E$43*寸法→圧入力!$E$6/1000</f>
        <v>-7.5257473801229535</v>
      </c>
      <c r="BP56" s="159">
        <f>BP31*寸法→圧入力!$E$43*寸法→圧入力!$E$6/1000</f>
        <v>-7.9545090261903262</v>
      </c>
      <c r="BQ56" s="159">
        <f>BQ31*寸法→圧入力!$E$43*寸法→圧入力!$E$6/1000</f>
        <v>-8.383270672257698</v>
      </c>
      <c r="BR56" s="11"/>
    </row>
    <row r="57" spans="1:70" x14ac:dyDescent="0.7">
      <c r="AU57" s="152"/>
      <c r="AV57" s="151">
        <f t="shared" ref="AV57:AV75" si="10">AV56+10</f>
        <v>-30</v>
      </c>
      <c r="AW57" s="159">
        <f>AW32*寸法→圧入力!$E$43*寸法→圧入力!$E$6/1000</f>
        <v>0.94860044803219712</v>
      </c>
      <c r="AX57" s="159">
        <f>AX32*寸法→圧入力!$E$43*寸法→圧入力!$E$6/1000</f>
        <v>0.51983880196482346</v>
      </c>
      <c r="AY57" s="159">
        <f>AY32*寸法→圧入力!$E$43*寸法→圧入力!$E$6/1000</f>
        <v>9.1077155897449552E-2</v>
      </c>
      <c r="AZ57" s="159">
        <f>AZ32*寸法→圧入力!$E$43*寸法→圧入力!$E$6/1000</f>
        <v>-0.33768449016992397</v>
      </c>
      <c r="BA57" s="159">
        <f>BA32*寸法→圧入力!$E$43*寸法→圧入力!$E$6/1000</f>
        <v>-0.76644613623729763</v>
      </c>
      <c r="BB57" s="159">
        <f>BB32*寸法→圧入力!$E$43*寸法→圧入力!$E$6/1000</f>
        <v>-1.1952077823046716</v>
      </c>
      <c r="BC57" s="159">
        <f>BC32*寸法→圧入力!$E$43*寸法→圧入力!$E$6/1000</f>
        <v>-1.6239694283720454</v>
      </c>
      <c r="BD57" s="159">
        <f>BD32*寸法→圧入力!$E$43*寸法→圧入力!$E$6/1000</f>
        <v>-2.0527310744394192</v>
      </c>
      <c r="BE57" s="159">
        <f>BE32*寸法→圧入力!$E$43*寸法→圧入力!$E$6/1000</f>
        <v>-2.4814927205067923</v>
      </c>
      <c r="BF57" s="159">
        <f>BF32*寸法→圧入力!$E$43*寸法→圧入力!$E$6/1000</f>
        <v>-2.9102543665741649</v>
      </c>
      <c r="BG57" s="159">
        <f>BG32*寸法→圧入力!$E$43*寸法→圧入力!$E$6/1000</f>
        <v>-3.3390160126415398</v>
      </c>
      <c r="BH57" s="159">
        <f>BH32*寸法→圧入力!$E$43*寸法→圧入力!$E$6/1000</f>
        <v>-3.7677776587089133</v>
      </c>
      <c r="BI57" s="159">
        <f>BI32*寸法→圧入力!$E$43*寸法→圧入力!$E$6/1000</f>
        <v>-4.1965393047762864</v>
      </c>
      <c r="BJ57" s="159">
        <f>BJ32*寸法→圧入力!$E$43*寸法→圧入力!$E$6/1000</f>
        <v>-4.62530095084366</v>
      </c>
      <c r="BK57" s="159">
        <f>BK32*寸法→圧入力!$E$43*寸法→圧入力!$E$6/1000</f>
        <v>-5.0540625969110344</v>
      </c>
      <c r="BL57" s="159">
        <f>BL32*寸法→圧入力!$E$43*寸法→圧入力!$E$6/1000</f>
        <v>-5.4828242429784089</v>
      </c>
      <c r="BM57" s="159">
        <f>BM32*寸法→圧入力!$E$43*寸法→圧入力!$E$6/1000</f>
        <v>-5.9115858890457815</v>
      </c>
      <c r="BN57" s="159">
        <f>BN32*寸法→圧入力!$E$43*寸法→圧入力!$E$6/1000</f>
        <v>-6.3403475351131551</v>
      </c>
      <c r="BO57" s="159">
        <f>BO32*寸法→圧入力!$E$43*寸法→圧入力!$E$6/1000</f>
        <v>-6.7691091811805304</v>
      </c>
      <c r="BP57" s="159">
        <f>BP32*寸法→圧入力!$E$43*寸法→圧入力!$E$6/1000</f>
        <v>-7.1978708272479031</v>
      </c>
      <c r="BQ57" s="159">
        <f>BQ32*寸法→圧入力!$E$43*寸法→圧入力!$E$6/1000</f>
        <v>-7.6266324733152766</v>
      </c>
      <c r="BR57" s="11"/>
    </row>
    <row r="58" spans="1:70" x14ac:dyDescent="0.7">
      <c r="AU58" s="152"/>
      <c r="AV58" s="151">
        <f t="shared" si="10"/>
        <v>-20</v>
      </c>
      <c r="AW58" s="159">
        <f>AW33*寸法→圧入力!$E$43*寸法→圧入力!$E$6/1000</f>
        <v>1.7052386469746215</v>
      </c>
      <c r="AX58" s="159">
        <f>AX33*寸法→圧入力!$E$43*寸法→圧入力!$E$6/1000</f>
        <v>1.2764770009072477</v>
      </c>
      <c r="AY58" s="159">
        <f>AY33*寸法→圧入力!$E$43*寸法→圧入力!$E$6/1000</f>
        <v>0.84771535483987381</v>
      </c>
      <c r="AZ58" s="159">
        <f>AZ33*寸法→圧入力!$E$43*寸法→圧入力!$E$6/1000</f>
        <v>0.41895370877250021</v>
      </c>
      <c r="BA58" s="159">
        <f>BA33*寸法→圧入力!$E$43*寸法→圧入力!$E$6/1000</f>
        <v>-9.8079372948733055E-3</v>
      </c>
      <c r="BB58" s="159">
        <f>BB33*寸法→圧入力!$E$43*寸法→圧入力!$E$6/1000</f>
        <v>-0.43856958336224688</v>
      </c>
      <c r="BC58" s="159">
        <f>BC33*寸法→圧入力!$E$43*寸法→圧入力!$E$6/1000</f>
        <v>-0.86733122942962093</v>
      </c>
      <c r="BD58" s="159">
        <f>BD33*寸法→圧入力!$E$43*寸法→圧入力!$E$6/1000</f>
        <v>-1.296092875496994</v>
      </c>
      <c r="BE58" s="159">
        <f>BE33*寸法→圧入力!$E$43*寸法→圧入力!$E$6/1000</f>
        <v>-1.7248545215643678</v>
      </c>
      <c r="BF58" s="159">
        <f>BF33*寸法→圧入力!$E$43*寸法→圧入力!$E$6/1000</f>
        <v>-2.1536161676317422</v>
      </c>
      <c r="BG58" s="159">
        <f>BG33*寸法→圧入力!$E$43*寸法→圧入力!$E$6/1000</f>
        <v>-2.5823778136991153</v>
      </c>
      <c r="BH58" s="159">
        <f>BH33*寸法→圧入力!$E$43*寸法→圧入力!$E$6/1000</f>
        <v>-3.0111394597664889</v>
      </c>
      <c r="BI58" s="159">
        <f>BI33*寸法→圧入力!$E$43*寸法→圧入力!$E$6/1000</f>
        <v>-3.4399011058338633</v>
      </c>
      <c r="BJ58" s="159">
        <f>BJ33*寸法→圧入力!$E$43*寸法→圧入力!$E$6/1000</f>
        <v>-3.868662751901236</v>
      </c>
      <c r="BK58" s="159">
        <f>BK33*寸法→圧入力!$E$43*寸法→圧入力!$E$6/1000</f>
        <v>-4.2974243979686104</v>
      </c>
      <c r="BL58" s="159">
        <f>BL33*寸法→圧入力!$E$43*寸法→圧入力!$E$6/1000</f>
        <v>-4.726186044035984</v>
      </c>
      <c r="BM58" s="159">
        <f>BM33*寸法→圧入力!$E$43*寸法→圧入力!$E$6/1000</f>
        <v>-5.1549476901033575</v>
      </c>
      <c r="BN58" s="159">
        <f>BN33*寸法→圧入力!$E$43*寸法→圧入力!$E$6/1000</f>
        <v>-5.5837093361707302</v>
      </c>
      <c r="BO58" s="159">
        <f>BO33*寸法→圧入力!$E$43*寸法→圧入力!$E$6/1000</f>
        <v>-6.0124709822381055</v>
      </c>
      <c r="BP58" s="159">
        <f>BP33*寸法→圧入力!$E$43*寸法→圧入力!$E$6/1000</f>
        <v>-6.4412326283054799</v>
      </c>
      <c r="BQ58" s="159">
        <f>BQ33*寸法→圧入力!$E$43*寸法→圧入力!$E$6/1000</f>
        <v>-6.8699942743728517</v>
      </c>
      <c r="BR58" s="11"/>
    </row>
    <row r="59" spans="1:70" x14ac:dyDescent="0.7">
      <c r="AU59" s="152"/>
      <c r="AV59" s="151">
        <f t="shared" si="10"/>
        <v>-10</v>
      </c>
      <c r="AW59" s="159">
        <f>AW34*寸法→圧入力!$E$43*寸法→圧入力!$E$6/1000</f>
        <v>2.4618768459170455</v>
      </c>
      <c r="AX59" s="159">
        <f>AX34*寸法→圧入力!$E$43*寸法→圧入力!$E$6/1000</f>
        <v>2.0331151998496719</v>
      </c>
      <c r="AY59" s="159">
        <f>AY34*寸法→圧入力!$E$43*寸法→圧入力!$E$6/1000</f>
        <v>1.6043535537822979</v>
      </c>
      <c r="AZ59" s="159">
        <f>AZ34*寸法→圧入力!$E$43*寸法→圧入力!$E$6/1000</f>
        <v>1.1755919077149244</v>
      </c>
      <c r="BA59" s="159">
        <f>BA34*寸法→圧入力!$E$43*寸法→圧入力!$E$6/1000</f>
        <v>0.74683026164755095</v>
      </c>
      <c r="BB59" s="159">
        <f>BB34*寸法→圧入力!$E$43*寸法→圧入力!$E$6/1000</f>
        <v>0.31806861558017713</v>
      </c>
      <c r="BC59" s="159">
        <f>BC34*寸法→圧入力!$E$43*寸法→圧入力!$E$6/1000</f>
        <v>-0.1106930304871966</v>
      </c>
      <c r="BD59" s="159">
        <f>BD34*寸法→圧入力!$E$43*寸法→圧入力!$E$6/1000</f>
        <v>-0.53945467655457013</v>
      </c>
      <c r="BE59" s="159">
        <f>BE34*寸法→圧入力!$E$43*寸法→圧入力!$E$6/1000</f>
        <v>-0.96821632262194379</v>
      </c>
      <c r="BF59" s="159">
        <f>BF34*寸法→圧入力!$E$43*寸法→圧入力!$E$6/1000</f>
        <v>-1.3969779686893171</v>
      </c>
      <c r="BG59" s="159">
        <f>BG34*寸法→圧入力!$E$43*寸法→圧入力!$E$6/1000</f>
        <v>-1.8257396147566918</v>
      </c>
      <c r="BH59" s="159">
        <f>BH34*寸法→圧入力!$E$43*寸法→圧入力!$E$6/1000</f>
        <v>-2.2545012608240644</v>
      </c>
      <c r="BI59" s="159">
        <f>BI34*寸法→圧入力!$E$43*寸法→圧入力!$E$6/1000</f>
        <v>-2.6832629068914389</v>
      </c>
      <c r="BJ59" s="159">
        <f>BJ34*寸法→圧入力!$E$43*寸法→圧入力!$E$6/1000</f>
        <v>-3.112024552958812</v>
      </c>
      <c r="BK59" s="159">
        <f>BK34*寸法→圧入力!$E$43*寸法→圧入力!$E$6/1000</f>
        <v>-3.540786199026186</v>
      </c>
      <c r="BL59" s="159">
        <f>BL34*寸法→圧入力!$E$43*寸法→圧入力!$E$6/1000</f>
        <v>-3.9695478450935595</v>
      </c>
      <c r="BM59" s="159">
        <f>BM34*寸法→圧入力!$E$43*寸法→圧入力!$E$6/1000</f>
        <v>-4.3983094911609335</v>
      </c>
      <c r="BN59" s="159">
        <f>BN34*寸法→圧入力!$E$43*寸法→圧入力!$E$6/1000</f>
        <v>-4.8270711372283071</v>
      </c>
      <c r="BO59" s="159">
        <f>BO34*寸法→圧入力!$E$43*寸法→圧入力!$E$6/1000</f>
        <v>-5.2558327832956815</v>
      </c>
      <c r="BP59" s="159">
        <f>BP34*寸法→圧入力!$E$43*寸法→圧入力!$E$6/1000</f>
        <v>-5.6845944293630541</v>
      </c>
      <c r="BQ59" s="159">
        <f>BQ34*寸法→圧入力!$E$43*寸法→圧入力!$E$6/1000</f>
        <v>-6.1133560754304295</v>
      </c>
      <c r="BR59" s="11"/>
    </row>
    <row r="60" spans="1:70" x14ac:dyDescent="0.7">
      <c r="AU60" s="152"/>
      <c r="AV60" s="151">
        <f t="shared" si="10"/>
        <v>0</v>
      </c>
      <c r="AW60" s="159">
        <f>AW35*寸法→圧入力!$E$43*寸法→圧入力!$E$6/1000</f>
        <v>3.2185150448594695</v>
      </c>
      <c r="AX60" s="159">
        <f>AX35*寸法→圧入力!$E$43*寸法→圧入力!$E$6/1000</f>
        <v>2.7897533987920959</v>
      </c>
      <c r="AY60" s="159">
        <f>AY35*寸法→圧入力!$E$43*寸法→圧入力!$E$6/1000</f>
        <v>2.3609917527247219</v>
      </c>
      <c r="AZ60" s="159">
        <f>AZ35*寸法→圧入力!$E$43*寸法→圧入力!$E$6/1000</f>
        <v>1.9322301066573486</v>
      </c>
      <c r="BA60" s="159">
        <f>BA35*寸法→圧入力!$E$43*寸法→圧入力!$E$6/1000</f>
        <v>1.5034684605899749</v>
      </c>
      <c r="BB60" s="159">
        <f>BB35*寸法→圧入力!$E$43*寸法→圧入力!$E$6/1000</f>
        <v>1.0747068145226011</v>
      </c>
      <c r="BC60" s="159">
        <f>BC35*寸法→圧入力!$E$43*寸法→圧入力!$E$6/1000</f>
        <v>0.64594516845522754</v>
      </c>
      <c r="BD60" s="159">
        <f>BD35*寸法→圧入力!$E$43*寸法→圧入力!$E$6/1000</f>
        <v>0.21718352238785385</v>
      </c>
      <c r="BE60" s="159">
        <f>BE35*寸法→圧入力!$E$43*寸法→圧入力!$E$6/1000</f>
        <v>-0.21157812367952006</v>
      </c>
      <c r="BF60" s="159">
        <f>BF35*寸法→圧入力!$E$43*寸法→圧入力!$E$6/1000</f>
        <v>-0.64033976974689333</v>
      </c>
      <c r="BG60" s="159">
        <f>BG35*寸法→圧入力!$E$43*寸法→圧入力!$E$6/1000</f>
        <v>-1.0691014158142673</v>
      </c>
      <c r="BH60" s="159">
        <f>BH35*寸法→圧入力!$E$43*寸法→圧入力!$E$6/1000</f>
        <v>-1.4978630618816411</v>
      </c>
      <c r="BI60" s="159">
        <f>BI35*寸法→圧入力!$E$43*寸法→圧入力!$E$6/1000</f>
        <v>-1.9266247079490142</v>
      </c>
      <c r="BJ60" s="159">
        <f>BJ35*寸法→圧入力!$E$43*寸法→圧入力!$E$6/1000</f>
        <v>-2.3553863540163884</v>
      </c>
      <c r="BK60" s="159">
        <f>BK35*寸法→圧入力!$E$43*寸法→圧入力!$E$6/1000</f>
        <v>-2.7841480000837624</v>
      </c>
      <c r="BL60" s="159">
        <f>BL35*寸法→圧入力!$E$43*寸法→圧入力!$E$6/1000</f>
        <v>-3.2129096461511364</v>
      </c>
      <c r="BM60" s="159">
        <f>BM35*寸法→圧入力!$E$43*寸法→圧入力!$E$6/1000</f>
        <v>-3.6416712922185095</v>
      </c>
      <c r="BN60" s="159">
        <f>BN35*寸法→圧入力!$E$43*寸法→圧入力!$E$6/1000</f>
        <v>-4.070432938285883</v>
      </c>
      <c r="BO60" s="159">
        <f>BO35*寸法→圧入力!$E$43*寸法→圧入力!$E$6/1000</f>
        <v>-4.4991945843532575</v>
      </c>
      <c r="BP60" s="159">
        <f>BP35*寸法→圧入力!$E$43*寸法→圧入力!$E$6/1000</f>
        <v>-4.9279562304206301</v>
      </c>
      <c r="BQ60" s="159">
        <f>BQ35*寸法→圧入力!$E$43*寸法→圧入力!$E$6/1000</f>
        <v>-5.3567178764880046</v>
      </c>
      <c r="BR60" s="11"/>
    </row>
    <row r="61" spans="1:70" x14ac:dyDescent="0.7">
      <c r="AU61" s="152"/>
      <c r="AV61" s="151">
        <f t="shared" si="10"/>
        <v>10</v>
      </c>
      <c r="AW61" s="159">
        <f>AW36*寸法→圧入力!$E$43*寸法→圧入力!$E$6/1000</f>
        <v>3.9751532438018935</v>
      </c>
      <c r="AX61" s="159">
        <f>AX36*寸法→圧入力!$E$43*寸法→圧入力!$E$6/1000</f>
        <v>3.54639159773452</v>
      </c>
      <c r="AY61" s="159">
        <f>AY36*寸法→圧入力!$E$43*寸法→圧入力!$E$6/1000</f>
        <v>3.117629951667146</v>
      </c>
      <c r="AZ61" s="159">
        <f>AZ36*寸法→圧入力!$E$43*寸法→圧入力!$E$6/1000</f>
        <v>2.6888683055997729</v>
      </c>
      <c r="BA61" s="159">
        <f>BA36*寸法→圧入力!$E$43*寸法→圧入力!$E$6/1000</f>
        <v>2.2601066595323989</v>
      </c>
      <c r="BB61" s="159">
        <f>BB36*寸法→圧入力!$E$43*寸法→圧入力!$E$6/1000</f>
        <v>1.8313450134650255</v>
      </c>
      <c r="BC61" s="159">
        <f>BC36*寸法→圧入力!$E$43*寸法→圧入力!$E$6/1000</f>
        <v>1.4025833673976518</v>
      </c>
      <c r="BD61" s="159">
        <f>BD36*寸法→圧入力!$E$43*寸法→圧入力!$E$6/1000</f>
        <v>0.97382172133027778</v>
      </c>
      <c r="BE61" s="159">
        <f>BE36*寸法→圧入力!$E$43*寸法→圧入力!$E$6/1000</f>
        <v>0.54506007526290434</v>
      </c>
      <c r="BF61" s="159">
        <f>BF36*寸法→圧入力!$E$43*寸法→圧入力!$E$6/1000</f>
        <v>0.11629842919553059</v>
      </c>
      <c r="BG61" s="159">
        <f>BG36*寸法→圧入力!$E$43*寸法→圧入力!$E$6/1000</f>
        <v>-0.31246321687184336</v>
      </c>
      <c r="BH61" s="159">
        <f>BH36*寸法→圧入力!$E$43*寸法→圧入力!$E$6/1000</f>
        <v>-0.74122486293921708</v>
      </c>
      <c r="BI61" s="159">
        <f>BI36*寸法→圧入力!$E$43*寸法→圧入力!$E$6/1000</f>
        <v>-1.1699865090065902</v>
      </c>
      <c r="BJ61" s="159">
        <f>BJ36*寸法→圧入力!$E$43*寸法→圧入力!$E$6/1000</f>
        <v>-1.5987481550739646</v>
      </c>
      <c r="BK61" s="159">
        <f>BK36*寸法→圧入力!$E$43*寸法→圧入力!$E$6/1000</f>
        <v>-2.0275098011413379</v>
      </c>
      <c r="BL61" s="159">
        <f>BL36*寸法→圧入力!$E$43*寸法→圧入力!$E$6/1000</f>
        <v>-2.4562714472087115</v>
      </c>
      <c r="BM61" s="159">
        <f>BM36*寸法→圧入力!$E$43*寸法→圧入力!$E$6/1000</f>
        <v>-2.8850330932760846</v>
      </c>
      <c r="BN61" s="159">
        <f>BN36*寸法→圧入力!$E$43*寸法→圧入力!$E$6/1000</f>
        <v>-3.3137947393434586</v>
      </c>
      <c r="BO61" s="159">
        <f>BO36*寸法→圧入力!$E$43*寸法→圧入力!$E$6/1000</f>
        <v>-3.7425563854108326</v>
      </c>
      <c r="BP61" s="159">
        <f>BP36*寸法→圧入力!$E$43*寸法→圧入力!$E$6/1000</f>
        <v>-4.171318031478207</v>
      </c>
      <c r="BQ61" s="159">
        <f>BQ36*寸法→圧入力!$E$43*寸法→圧入力!$E$6/1000</f>
        <v>-4.6000796775455779</v>
      </c>
      <c r="BR61" s="11"/>
    </row>
    <row r="62" spans="1:70" x14ac:dyDescent="0.7">
      <c r="AU62" s="152"/>
      <c r="AV62" s="151">
        <f t="shared" si="10"/>
        <v>20</v>
      </c>
      <c r="AW62" s="159">
        <f>AW37*寸法→圧入力!$E$43*寸法→圧入力!$E$6/1000</f>
        <v>4.7317914427443171</v>
      </c>
      <c r="AX62" s="159">
        <f>AX37*寸法→圧入力!$E$43*寸法→圧入力!$E$6/1000</f>
        <v>4.3030297966769444</v>
      </c>
      <c r="AY62" s="159">
        <f>AY37*寸法→圧入力!$E$43*寸法→圧入力!$E$6/1000</f>
        <v>3.87426815060957</v>
      </c>
      <c r="AZ62" s="159">
        <f>AZ37*寸法→圧入力!$E$43*寸法→圧入力!$E$6/1000</f>
        <v>3.4455065045421969</v>
      </c>
      <c r="BA62" s="159">
        <f>BA37*寸法→圧入力!$E$43*寸法→圧入力!$E$6/1000</f>
        <v>3.0167448584748233</v>
      </c>
      <c r="BB62" s="159">
        <f>BB37*寸法→圧入力!$E$43*寸法→圧入力!$E$6/1000</f>
        <v>2.5879832124074493</v>
      </c>
      <c r="BC62" s="159">
        <f>BC37*寸法→圧入力!$E$43*寸法→圧入力!$E$6/1000</f>
        <v>2.1592215663400758</v>
      </c>
      <c r="BD62" s="159">
        <f>BD37*寸法→圧入力!$E$43*寸法→圧入力!$E$6/1000</f>
        <v>1.7304599202727018</v>
      </c>
      <c r="BE62" s="159">
        <f>BE37*寸法→圧入力!$E$43*寸法→圧入力!$E$6/1000</f>
        <v>1.3016982742053282</v>
      </c>
      <c r="BF62" s="159">
        <f>BF37*寸法→圧入力!$E$43*寸法→圧入力!$E$6/1000</f>
        <v>0.8729366281379547</v>
      </c>
      <c r="BG62" s="159">
        <f>BG37*寸法→圧入力!$E$43*寸法→圧入力!$E$6/1000</f>
        <v>0.44417498207058081</v>
      </c>
      <c r="BH62" s="159">
        <f>BH37*寸法→圧入力!$E$43*寸法→圧入力!$E$6/1000</f>
        <v>1.5413336003207302E-2</v>
      </c>
      <c r="BI62" s="159">
        <f>BI37*寸法→圧入力!$E$43*寸法→圧入力!$E$6/1000</f>
        <v>-0.41334831006416617</v>
      </c>
      <c r="BJ62" s="159">
        <f>BJ37*寸法→圧入力!$E$43*寸法→圧入力!$E$6/1000</f>
        <v>-0.84210995613154049</v>
      </c>
      <c r="BK62" s="159">
        <f>BK37*寸法→圧入力!$E$43*寸法→圧入力!$E$6/1000</f>
        <v>-1.2708716021989137</v>
      </c>
      <c r="BL62" s="159">
        <f>BL37*寸法→圧入力!$E$43*寸法→圧入力!$E$6/1000</f>
        <v>-1.6996332482662873</v>
      </c>
      <c r="BM62" s="159">
        <f>BM37*寸法→圧入力!$E$43*寸法→圧入力!$E$6/1000</f>
        <v>-2.1283948943336615</v>
      </c>
      <c r="BN62" s="159">
        <f>BN37*寸法→圧入力!$E$43*寸法→圧入力!$E$6/1000</f>
        <v>-2.5571565404010346</v>
      </c>
      <c r="BO62" s="159">
        <f>BO37*寸法→圧入力!$E$43*寸法→圧入力!$E$6/1000</f>
        <v>-2.9859181864684081</v>
      </c>
      <c r="BP62" s="159">
        <f>BP37*寸法→圧入力!$E$43*寸法→圧入力!$E$6/1000</f>
        <v>-3.4146798325357826</v>
      </c>
      <c r="BQ62" s="159">
        <f>BQ37*寸法→圧入力!$E$43*寸法→圧入力!$E$6/1000</f>
        <v>-3.8434414786031561</v>
      </c>
      <c r="BR62" s="11"/>
    </row>
    <row r="63" spans="1:70" x14ac:dyDescent="0.7">
      <c r="AU63" s="152"/>
      <c r="AV63" s="151">
        <f t="shared" si="10"/>
        <v>30</v>
      </c>
      <c r="AW63" s="159">
        <f>AW38*寸法→圧入力!$E$43*寸法→圧入力!$E$6/1000</f>
        <v>5.488429641686742</v>
      </c>
      <c r="AX63" s="159">
        <f>AX38*寸法→圧入力!$E$43*寸法→圧入力!$E$6/1000</f>
        <v>5.0596679956193684</v>
      </c>
      <c r="AY63" s="159">
        <f>AY38*寸法→圧入力!$E$43*寸法→圧入力!$E$6/1000</f>
        <v>4.630906349551994</v>
      </c>
      <c r="AZ63" s="159">
        <f>AZ38*寸法→圧入力!$E$43*寸法→圧入力!$E$6/1000</f>
        <v>4.2021447034846213</v>
      </c>
      <c r="BA63" s="159">
        <f>BA38*寸法→圧入力!$E$43*寸法→圧入力!$E$6/1000</f>
        <v>3.7733830574172469</v>
      </c>
      <c r="BB63" s="159">
        <f>BB38*寸法→圧入力!$E$43*寸法→圧入力!$E$6/1000</f>
        <v>3.3446214113498742</v>
      </c>
      <c r="BC63" s="159">
        <f>BC38*寸法→圧入力!$E$43*寸法→圧入力!$E$6/1000</f>
        <v>2.9158597652824998</v>
      </c>
      <c r="BD63" s="159">
        <f>BD38*寸法→圧入力!$E$43*寸法→圧入力!$E$6/1000</f>
        <v>2.4870981192151262</v>
      </c>
      <c r="BE63" s="159">
        <f>BE38*寸法→圧入力!$E$43*寸法→圧入力!$E$6/1000</f>
        <v>2.0583364731477527</v>
      </c>
      <c r="BF63" s="159">
        <f>BF38*寸法→圧入力!$E$43*寸法→圧入力!$E$6/1000</f>
        <v>1.6295748270803785</v>
      </c>
      <c r="BG63" s="159">
        <f>BG38*寸法→圧入力!$E$43*寸法→圧入力!$E$6/1000</f>
        <v>1.2008131810130049</v>
      </c>
      <c r="BH63" s="159">
        <f>BH38*寸法→圧入力!$E$43*寸法→圧入力!$E$6/1000</f>
        <v>0.7720515349456315</v>
      </c>
      <c r="BI63" s="159">
        <f>BI38*寸法→圧入力!$E$43*寸法→圧入力!$E$6/1000</f>
        <v>0.34328988887825795</v>
      </c>
      <c r="BJ63" s="159">
        <f>BJ38*寸法→圧入力!$E$43*寸法→圧入力!$E$6/1000</f>
        <v>-8.5471757189115982E-2</v>
      </c>
      <c r="BK63" s="159">
        <f>BK38*寸法→圧入力!$E$43*寸法→圧入力!$E$6/1000</f>
        <v>-0.51423340325648947</v>
      </c>
      <c r="BL63" s="159">
        <f>BL38*寸法→圧入力!$E$43*寸法→圧入力!$E$6/1000</f>
        <v>-0.94299504932386313</v>
      </c>
      <c r="BM63" s="159">
        <f>BM38*寸法→圧入力!$E$43*寸法→圧入力!$E$6/1000</f>
        <v>-1.3717566953912366</v>
      </c>
      <c r="BN63" s="159">
        <f>BN38*寸法→圧入力!$E$43*寸法→圧入力!$E$6/1000</f>
        <v>-1.8005183414586108</v>
      </c>
      <c r="BO63" s="159">
        <f>BO38*寸法→圧入力!$E$43*寸法→圧入力!$E$6/1000</f>
        <v>-2.2292799875259859</v>
      </c>
      <c r="BP63" s="159">
        <f>BP38*寸法→圧入力!$E$43*寸法→圧入力!$E$6/1000</f>
        <v>-2.6580416335933581</v>
      </c>
      <c r="BQ63" s="159">
        <f>BQ38*寸法→圧入力!$E$43*寸法→圧入力!$E$6/1000</f>
        <v>-3.0868032796607321</v>
      </c>
      <c r="BR63" s="11"/>
    </row>
    <row r="64" spans="1:70" x14ac:dyDescent="0.7">
      <c r="AU64" s="152"/>
      <c r="AV64" s="151">
        <f t="shared" si="10"/>
        <v>40</v>
      </c>
      <c r="AW64" s="159">
        <f>AW39*寸法→圧入力!$E$43*寸法→圧入力!$E$6/1000</f>
        <v>6.245067840629166</v>
      </c>
      <c r="AX64" s="159">
        <f>AX39*寸法→圧入力!$E$43*寸法→圧入力!$E$6/1000</f>
        <v>5.8163061945617924</v>
      </c>
      <c r="AY64" s="159">
        <f>AY39*寸法→圧入力!$E$43*寸法→圧入力!$E$6/1000</f>
        <v>5.3875445484944171</v>
      </c>
      <c r="AZ64" s="159">
        <f>AZ39*寸法→圧入力!$E$43*寸法→圧入力!$E$6/1000</f>
        <v>4.9587829024270462</v>
      </c>
      <c r="BA64" s="159">
        <f>BA39*寸法→圧入力!$E$43*寸法→圧入力!$E$6/1000</f>
        <v>4.5300212563596718</v>
      </c>
      <c r="BB64" s="159">
        <f>BB39*寸法→圧入力!$E$43*寸法→圧入力!$E$6/1000</f>
        <v>4.1012596102922965</v>
      </c>
      <c r="BC64" s="159">
        <f>BC39*寸法→圧入力!$E$43*寸法→圧入力!$E$6/1000</f>
        <v>3.6724979642249242</v>
      </c>
      <c r="BD64" s="159">
        <f>BD39*寸法→圧入力!$E$43*寸法→圧入力!$E$6/1000</f>
        <v>3.2437363181575507</v>
      </c>
      <c r="BE64" s="159">
        <f>BE39*寸法→圧入力!$E$43*寸法→圧入力!$E$6/1000</f>
        <v>2.8149746720901758</v>
      </c>
      <c r="BF64" s="159">
        <f>BF39*寸法→圧入力!$E$43*寸法→圧入力!$E$6/1000</f>
        <v>2.3862130260228032</v>
      </c>
      <c r="BG64" s="159">
        <f>BG39*寸法→圧入力!$E$43*寸法→圧入力!$E$6/1000</f>
        <v>1.9574513799554292</v>
      </c>
      <c r="BH64" s="159">
        <f>BH39*寸法→圧入力!$E$43*寸法→圧入力!$E$6/1000</f>
        <v>1.5286897338880556</v>
      </c>
      <c r="BI64" s="159">
        <f>BI39*寸法→圧入力!$E$43*寸法→圧入力!$E$6/1000</f>
        <v>1.0999280878206821</v>
      </c>
      <c r="BJ64" s="159">
        <f>BJ39*寸法→圧入力!$E$43*寸法→圧入力!$E$6/1000</f>
        <v>0.67116644175330797</v>
      </c>
      <c r="BK64" s="159">
        <f>BK39*寸法→圧入力!$E$43*寸法→圧入力!$E$6/1000</f>
        <v>0.24240479568593451</v>
      </c>
      <c r="BL64" s="159">
        <f>BL39*寸法→圧入力!$E$43*寸法→圧入力!$E$6/1000</f>
        <v>-0.18635685038143901</v>
      </c>
      <c r="BM64" s="159">
        <f>BM39*寸法→圧入力!$E$43*寸法→圧入力!$E$6/1000</f>
        <v>-0.61511849644881234</v>
      </c>
      <c r="BN64" s="159">
        <f>BN39*寸法→圧入力!$E$43*寸法→圧入力!$E$6/1000</f>
        <v>-1.0438801425161859</v>
      </c>
      <c r="BO64" s="159">
        <f>BO39*寸法→圧入力!$E$43*寸法→圧入力!$E$6/1000</f>
        <v>-1.4726417885835603</v>
      </c>
      <c r="BP64" s="159">
        <f>BP39*寸法→圧入力!$E$43*寸法→圧入力!$E$6/1000</f>
        <v>-1.9014034346509341</v>
      </c>
      <c r="BQ64" s="159">
        <f>BQ39*寸法→圧入力!$E$43*寸法→圧入力!$E$6/1000</f>
        <v>-2.3301650807183076</v>
      </c>
      <c r="BR64" s="11"/>
    </row>
    <row r="65" spans="47:70" x14ac:dyDescent="0.7">
      <c r="AU65" s="152"/>
      <c r="AV65" s="151">
        <f t="shared" si="10"/>
        <v>50</v>
      </c>
      <c r="AW65" s="159">
        <f>AW40*寸法→圧入力!$E$43*寸法→圧入力!$E$6/1000</f>
        <v>7.00170603957159</v>
      </c>
      <c r="AX65" s="159">
        <f>AX40*寸法→圧入力!$E$43*寸法→圧入力!$E$6/1000</f>
        <v>6.5729443935042164</v>
      </c>
      <c r="AY65" s="159">
        <f>AY40*寸法→圧入力!$E$43*寸法→圧入力!$E$6/1000</f>
        <v>6.1441827474368429</v>
      </c>
      <c r="AZ65" s="159">
        <f>AZ40*寸法→圧入力!$E$43*寸法→圧入力!$E$6/1000</f>
        <v>5.7154211013694685</v>
      </c>
      <c r="BA65" s="159">
        <f>BA40*寸法→圧入力!$E$43*寸法→圧入力!$E$6/1000</f>
        <v>5.2866594553020949</v>
      </c>
      <c r="BB65" s="159">
        <f>BB40*寸法→圧入力!$E$43*寸法→圧入力!$E$6/1000</f>
        <v>4.8578978092347214</v>
      </c>
      <c r="BC65" s="159">
        <f>BC40*寸法→圧入力!$E$43*寸法→圧入力!$E$6/1000</f>
        <v>4.4291361631673478</v>
      </c>
      <c r="BD65" s="159">
        <f>BD40*寸法→圧入力!$E$43*寸法→圧入力!$E$6/1000</f>
        <v>4.0003745170999743</v>
      </c>
      <c r="BE65" s="159">
        <f>BE40*寸法→圧入力!$E$43*寸法→圧入力!$E$6/1000</f>
        <v>3.5716128710326007</v>
      </c>
      <c r="BF65" s="159">
        <f>BF40*寸法→圧入力!$E$43*寸法→圧入力!$E$6/1000</f>
        <v>3.1428512249652272</v>
      </c>
      <c r="BG65" s="159">
        <f>BG40*寸法→圧入力!$E$43*寸法→圧入力!$E$6/1000</f>
        <v>2.7140895788978532</v>
      </c>
      <c r="BH65" s="159">
        <f>BH40*寸法→圧入力!$E$43*寸法→圧入力!$E$6/1000</f>
        <v>2.2853279328304796</v>
      </c>
      <c r="BI65" s="159">
        <f>BI40*寸法→圧入力!$E$43*寸法→圧入力!$E$6/1000</f>
        <v>1.8565662867631061</v>
      </c>
      <c r="BJ65" s="159">
        <f>BJ40*寸法→圧入力!$E$43*寸法→圧入力!$E$6/1000</f>
        <v>1.4278046406957319</v>
      </c>
      <c r="BK65" s="159">
        <f>BK40*寸法→圧入力!$E$43*寸法→圧入力!$E$6/1000</f>
        <v>0.99904299462835844</v>
      </c>
      <c r="BL65" s="159">
        <f>BL40*寸法→圧入力!$E$43*寸法→圧入力!$E$6/1000</f>
        <v>0.570281348560985</v>
      </c>
      <c r="BM65" s="159">
        <f>BM40*寸法→圧入力!$E$43*寸法→圧入力!$E$6/1000</f>
        <v>0.1415197024936114</v>
      </c>
      <c r="BN65" s="159">
        <f>BN40*寸法→圧入力!$E$43*寸法→圧入力!$E$6/1000</f>
        <v>-0.28724194357376232</v>
      </c>
      <c r="BO65" s="159">
        <f>BO40*寸法→圧入力!$E$43*寸法→圧入力!$E$6/1000</f>
        <v>-0.71600358964113642</v>
      </c>
      <c r="BP65" s="159">
        <f>BP40*寸法→圧入力!$E$43*寸法→圧入力!$E$6/1000</f>
        <v>-1.1447652357085101</v>
      </c>
      <c r="BQ65" s="159">
        <f>BQ40*寸法→圧入力!$E$43*寸法→圧入力!$E$6/1000</f>
        <v>-1.5735268817758841</v>
      </c>
      <c r="BR65" s="11"/>
    </row>
    <row r="66" spans="47:70" x14ac:dyDescent="0.7">
      <c r="AU66" s="152"/>
      <c r="AV66" s="151">
        <f t="shared" si="10"/>
        <v>60</v>
      </c>
      <c r="AW66" s="159">
        <f>AW41*寸法→圧入力!$E$43*寸法→圧入力!$E$6/1000</f>
        <v>7.758344238514014</v>
      </c>
      <c r="AX66" s="159">
        <f>AX41*寸法→圧入力!$E$43*寸法→圧入力!$E$6/1000</f>
        <v>7.3295825924466405</v>
      </c>
      <c r="AY66" s="159">
        <f>AY41*寸法→圧入力!$E$43*寸法→圧入力!$E$6/1000</f>
        <v>6.9008209463792669</v>
      </c>
      <c r="AZ66" s="159">
        <f>AZ41*寸法→圧入力!$E$43*寸法→圧入力!$E$6/1000</f>
        <v>6.4720593003118925</v>
      </c>
      <c r="BA66" s="159">
        <f>BA41*寸法→圧入力!$E$43*寸法→圧入力!$E$6/1000</f>
        <v>6.0432976542445198</v>
      </c>
      <c r="BB66" s="159">
        <f>BB41*寸法→圧入力!$E$43*寸法→圧入力!$E$6/1000</f>
        <v>5.6145360081771472</v>
      </c>
      <c r="BC66" s="159">
        <f>BC41*寸法→圧入力!$E$43*寸法→圧入力!$E$6/1000</f>
        <v>5.1857743621097727</v>
      </c>
      <c r="BD66" s="159">
        <f>BD41*寸法→圧入力!$E$43*寸法→圧入力!$E$6/1000</f>
        <v>4.7570127160423992</v>
      </c>
      <c r="BE66" s="159">
        <f>BE41*寸法→圧入力!$E$43*寸法→圧入力!$E$6/1000</f>
        <v>4.3282510699750247</v>
      </c>
      <c r="BF66" s="159">
        <f>BF41*寸法→圧入力!$E$43*寸法→圧入力!$E$6/1000</f>
        <v>3.8994894239076499</v>
      </c>
      <c r="BG66" s="159">
        <f>BG41*寸法→圧入力!$E$43*寸法→圧入力!$E$6/1000</f>
        <v>3.4707277778402772</v>
      </c>
      <c r="BH66" s="159">
        <f>BH41*寸法→圧入力!$E$43*寸法→圧入力!$E$6/1000</f>
        <v>3.0419661317729036</v>
      </c>
      <c r="BI66" s="159">
        <f>BI41*寸法→圧入力!$E$43*寸法→圧入力!$E$6/1000</f>
        <v>2.6132044857055301</v>
      </c>
      <c r="BJ66" s="159">
        <f>BJ41*寸法→圧入力!$E$43*寸法→圧入力!$E$6/1000</f>
        <v>2.1844428396381557</v>
      </c>
      <c r="BK66" s="159">
        <f>BK41*寸法→圧入力!$E$43*寸法→圧入力!$E$6/1000</f>
        <v>1.7556811935707826</v>
      </c>
      <c r="BL66" s="159">
        <f>BL41*寸法→圧入力!$E$43*寸法→圧入力!$E$6/1000</f>
        <v>1.326919547503409</v>
      </c>
      <c r="BM66" s="159">
        <f>BM41*寸法→圧入力!$E$43*寸法→圧入力!$E$6/1000</f>
        <v>0.89815790143603558</v>
      </c>
      <c r="BN66" s="159">
        <f>BN41*寸法→圧入力!$E$43*寸法→圧入力!$E$6/1000</f>
        <v>0.46939625536866186</v>
      </c>
      <c r="BO66" s="159">
        <f>BO41*寸法→圧入力!$E$43*寸法→圧入力!$E$6/1000</f>
        <v>4.0634609301287497E-2</v>
      </c>
      <c r="BP66" s="159">
        <f>BP41*寸法→圧入力!$E$43*寸法→圧入力!$E$6/1000</f>
        <v>-0.38812703676608606</v>
      </c>
      <c r="BQ66" s="159">
        <f>BQ41*寸法→圧入力!$E$43*寸法→圧入力!$E$6/1000</f>
        <v>-0.81688868283345972</v>
      </c>
      <c r="BR66" s="11"/>
    </row>
    <row r="67" spans="47:70" x14ac:dyDescent="0.7">
      <c r="AU67" s="152"/>
      <c r="AV67" s="151">
        <f t="shared" si="10"/>
        <v>70</v>
      </c>
      <c r="AW67" s="159">
        <f>AW42*寸法→圧入力!$E$43*寸法→圧入力!$E$6/1000</f>
        <v>8.5149824374564371</v>
      </c>
      <c r="AX67" s="159">
        <f>AX42*寸法→圧入力!$E$43*寸法→圧入力!$E$6/1000</f>
        <v>8.0862207913890636</v>
      </c>
      <c r="AY67" s="159">
        <f>AY42*寸法→圧入力!$E$43*寸法→圧入力!$E$6/1000</f>
        <v>7.6574591453216909</v>
      </c>
      <c r="AZ67" s="159">
        <f>AZ42*寸法→圧入力!$E$43*寸法→圧入力!$E$6/1000</f>
        <v>7.2286974992543183</v>
      </c>
      <c r="BA67" s="159">
        <f>BA42*寸法→圧入力!$E$43*寸法→圧入力!$E$6/1000</f>
        <v>6.7999358531869429</v>
      </c>
      <c r="BB67" s="159">
        <f>BB42*寸法→圧入力!$E$43*寸法→圧入力!$E$6/1000</f>
        <v>6.3711742071195694</v>
      </c>
      <c r="BC67" s="159">
        <f>BC42*寸法→圧入力!$E$43*寸法→圧入力!$E$6/1000</f>
        <v>5.9424125610521967</v>
      </c>
      <c r="BD67" s="159">
        <f>BD42*寸法→圧入力!$E$43*寸法→圧入力!$E$6/1000</f>
        <v>5.5136509149848223</v>
      </c>
      <c r="BE67" s="159">
        <f>BE42*寸法→圧入力!$E$43*寸法→圧入力!$E$6/1000</f>
        <v>5.0848892689174479</v>
      </c>
      <c r="BF67" s="159">
        <f>BF42*寸法→圧入力!$E$43*寸法→圧入力!$E$6/1000</f>
        <v>4.6561276228500761</v>
      </c>
      <c r="BG67" s="159">
        <f>BG42*寸法→圧入力!$E$43*寸法→圧入力!$E$6/1000</f>
        <v>4.2273659767827017</v>
      </c>
      <c r="BH67" s="159">
        <f>BH42*寸法→圧入力!$E$43*寸法→圧入力!$E$6/1000</f>
        <v>3.7986043307153285</v>
      </c>
      <c r="BI67" s="159">
        <f>BI42*寸法→圧入力!$E$43*寸法→圧入力!$E$6/1000</f>
        <v>3.3698426846479546</v>
      </c>
      <c r="BJ67" s="159">
        <f>BJ42*寸法→圧入力!$E$43*寸法→圧入力!$E$6/1000</f>
        <v>2.9410810385805801</v>
      </c>
      <c r="BK67" s="159">
        <f>BK42*寸法→圧入力!$E$43*寸法→圧入力!$E$6/1000</f>
        <v>2.512319392513207</v>
      </c>
      <c r="BL67" s="159">
        <f>BL42*寸法→圧入力!$E$43*寸法→圧入力!$E$6/1000</f>
        <v>2.0835577464458326</v>
      </c>
      <c r="BM67" s="159">
        <f>BM42*寸法→圧入力!$E$43*寸法→圧入力!$E$6/1000</f>
        <v>1.6547961003784597</v>
      </c>
      <c r="BN67" s="159">
        <f>BN42*寸法→圧入力!$E$43*寸法→圧入力!$E$6/1000</f>
        <v>1.2260344543110862</v>
      </c>
      <c r="BO67" s="159">
        <f>BO42*寸法→圧入力!$E$43*寸法→圧入力!$E$6/1000</f>
        <v>0.79727280824371183</v>
      </c>
      <c r="BP67" s="159">
        <f>BP42*寸法→圧入力!$E$43*寸法→圧入力!$E$6/1000</f>
        <v>0.36851116217633817</v>
      </c>
      <c r="BQ67" s="159">
        <f>BQ42*寸法→圧入力!$E$43*寸法→圧入力!$E$6/1000</f>
        <v>-6.0250483891035364E-2</v>
      </c>
      <c r="BR67" s="11"/>
    </row>
    <row r="68" spans="47:70" x14ac:dyDescent="0.7">
      <c r="AU68" s="152"/>
      <c r="AV68" s="151">
        <f t="shared" si="10"/>
        <v>80</v>
      </c>
      <c r="AW68" s="159">
        <f>AW43*寸法→圧入力!$E$43*寸法→圧入力!$E$6/1000</f>
        <v>9.2716206363988647</v>
      </c>
      <c r="AX68" s="159">
        <f>AX43*寸法→圧入力!$E$43*寸法→圧入力!$E$6/1000</f>
        <v>8.8428589903314876</v>
      </c>
      <c r="AY68" s="159">
        <f>AY43*寸法→圧入力!$E$43*寸法→圧入力!$E$6/1000</f>
        <v>8.4140973442641176</v>
      </c>
      <c r="AZ68" s="159">
        <f>AZ43*寸法→圧入力!$E$43*寸法→圧入力!$E$6/1000</f>
        <v>7.9853356981967405</v>
      </c>
      <c r="BA68" s="159">
        <f>BA43*寸法→圧入力!$E$43*寸法→圧入力!$E$6/1000</f>
        <v>7.5565740521293669</v>
      </c>
      <c r="BB68" s="159">
        <f>BB43*寸法→圧入力!$E$43*寸法→圧入力!$E$6/1000</f>
        <v>7.1278124060619943</v>
      </c>
      <c r="BC68" s="159">
        <f>BC43*寸法→圧入力!$E$43*寸法→圧入力!$E$6/1000</f>
        <v>6.6990507599946199</v>
      </c>
      <c r="BD68" s="159">
        <f>BD43*寸法→圧入力!$E$43*寸法→圧入力!$E$6/1000</f>
        <v>6.2702891139272472</v>
      </c>
      <c r="BE68" s="159">
        <f>BE43*寸法→圧入力!$E$43*寸法→圧入力!$E$6/1000</f>
        <v>5.8415274678598728</v>
      </c>
      <c r="BF68" s="159">
        <f>BF43*寸法→圧入力!$E$43*寸法→圧入力!$E$6/1000</f>
        <v>5.4127658217924983</v>
      </c>
      <c r="BG68" s="159">
        <f>BG43*寸法→圧入力!$E$43*寸法→圧入力!$E$6/1000</f>
        <v>4.9840041757251257</v>
      </c>
      <c r="BH68" s="159">
        <f>BH43*寸法→圧入力!$E$43*寸法→圧入力!$E$6/1000</f>
        <v>4.5552425296577521</v>
      </c>
      <c r="BI68" s="159">
        <f>BI43*寸法→圧入力!$E$43*寸法→圧入力!$E$6/1000</f>
        <v>4.1264808835903777</v>
      </c>
      <c r="BJ68" s="159">
        <f>BJ43*寸法→圧入力!$E$43*寸法→圧入力!$E$6/1000</f>
        <v>3.6977192375230041</v>
      </c>
      <c r="BK68" s="159">
        <f>BK43*寸法→圧入力!$E$43*寸法→圧入力!$E$6/1000</f>
        <v>3.2689575914556306</v>
      </c>
      <c r="BL68" s="159">
        <f>BL43*寸法→圧入力!$E$43*寸法→圧入力!$E$6/1000</f>
        <v>2.8401959453882575</v>
      </c>
      <c r="BM68" s="159">
        <f>BM43*寸法→圧入力!$E$43*寸法→圧入力!$E$6/1000</f>
        <v>2.4114342993208835</v>
      </c>
      <c r="BN68" s="159">
        <f>BN43*寸法→圧入力!$E$43*寸法→圧入力!$E$6/1000</f>
        <v>1.9826726532535104</v>
      </c>
      <c r="BO68" s="159">
        <f>BO43*寸法→圧入力!$E$43*寸法→圧入力!$E$6/1000</f>
        <v>1.5539110071861355</v>
      </c>
      <c r="BP68" s="159">
        <f>BP43*寸法→圧入力!$E$43*寸法→圧入力!$E$6/1000</f>
        <v>1.1251493611187615</v>
      </c>
      <c r="BQ68" s="159">
        <f>BQ43*寸法→圧入力!$E$43*寸法→圧入力!$E$6/1000</f>
        <v>0.69638771505138819</v>
      </c>
      <c r="BR68" s="11"/>
    </row>
    <row r="69" spans="47:70" x14ac:dyDescent="0.7">
      <c r="AU69" s="152"/>
      <c r="AV69" s="151">
        <f t="shared" si="10"/>
        <v>90</v>
      </c>
      <c r="AW69" s="159">
        <f>AW44*寸法→圧入力!$E$43*寸法→圧入力!$E$6/1000</f>
        <v>10.028258835341287</v>
      </c>
      <c r="AX69" s="159">
        <f>AX44*寸法→圧入力!$E$43*寸法→圧入力!$E$6/1000</f>
        <v>9.5994971892739134</v>
      </c>
      <c r="AY69" s="159">
        <f>AY44*寸法→圧入力!$E$43*寸法→圧入力!$E$6/1000</f>
        <v>9.1707355432065398</v>
      </c>
      <c r="AZ69" s="159">
        <f>AZ44*寸法→圧入力!$E$43*寸法→圧入力!$E$6/1000</f>
        <v>8.7419738971391627</v>
      </c>
      <c r="BA69" s="159">
        <f>BA44*寸法→圧入力!$E$43*寸法→圧入力!$E$6/1000</f>
        <v>8.3132122510717927</v>
      </c>
      <c r="BB69" s="159">
        <f>BB44*寸法→圧入力!$E$43*寸法→圧入力!$E$6/1000</f>
        <v>7.8844506050044192</v>
      </c>
      <c r="BC69" s="159">
        <f>BC44*寸法→圧入力!$E$43*寸法→圧入力!$E$6/1000</f>
        <v>7.4556889589370439</v>
      </c>
      <c r="BD69" s="159">
        <f>BD44*寸法→圧入力!$E$43*寸法→圧入力!$E$6/1000</f>
        <v>7.0269273128696703</v>
      </c>
      <c r="BE69" s="159">
        <f>BE44*寸法→圧入力!$E$43*寸法→圧入力!$E$6/1000</f>
        <v>6.5981656668022977</v>
      </c>
      <c r="BF69" s="159">
        <f>BF44*寸法→圧入力!$E$43*寸法→圧入力!$E$6/1000</f>
        <v>6.1694040207349241</v>
      </c>
      <c r="BG69" s="159">
        <f>BG44*寸法→圧入力!$E$43*寸法→圧入力!$E$6/1000</f>
        <v>5.7406423746675488</v>
      </c>
      <c r="BH69" s="159">
        <f>BH44*寸法→圧入力!$E$43*寸法→圧入力!$E$6/1000</f>
        <v>5.3118807286001752</v>
      </c>
      <c r="BI69" s="159">
        <f>BI44*寸法→圧入力!$E$43*寸法→圧入力!$E$6/1000</f>
        <v>4.8831190825328035</v>
      </c>
      <c r="BJ69" s="159">
        <f>BJ44*寸法→圧入力!$E$43*寸法→圧入力!$E$6/1000</f>
        <v>4.4543574364654281</v>
      </c>
      <c r="BK69" s="159">
        <f>BK44*寸法→圧入力!$E$43*寸法→圧入力!$E$6/1000</f>
        <v>4.0255957903980546</v>
      </c>
      <c r="BL69" s="159">
        <f>BL44*寸法→圧入力!$E$43*寸法→圧入力!$E$6/1000</f>
        <v>3.5968341443306819</v>
      </c>
      <c r="BM69" s="159">
        <f>BM44*寸法→圧入力!$E$43*寸法→圧入力!$E$6/1000</f>
        <v>3.1680724982633084</v>
      </c>
      <c r="BN69" s="159">
        <f>BN44*寸法→圧入力!$E$43*寸法→圧入力!$E$6/1000</f>
        <v>2.7393108521959348</v>
      </c>
      <c r="BO69" s="159">
        <f>BO44*寸法→圧入力!$E$43*寸法→圧入力!$E$6/1000</f>
        <v>2.31054920612856</v>
      </c>
      <c r="BP69" s="159">
        <f>BP44*寸法→圧入力!$E$43*寸法→圧入力!$E$6/1000</f>
        <v>1.8817875600611864</v>
      </c>
      <c r="BQ69" s="159">
        <f>BQ44*寸法→圧入力!$E$43*寸法→圧入力!$E$6/1000</f>
        <v>1.4530259139938131</v>
      </c>
      <c r="BR69" s="11"/>
    </row>
    <row r="70" spans="47:70" x14ac:dyDescent="0.7">
      <c r="AU70" s="152"/>
      <c r="AV70" s="151">
        <f t="shared" si="10"/>
        <v>100</v>
      </c>
      <c r="AW70" s="159">
        <f>AW45*寸法→圧入力!$E$43*寸法→圧入力!$E$6/1000</f>
        <v>10.784897034283711</v>
      </c>
      <c r="AX70" s="159">
        <f>AX45*寸法→圧入力!$E$43*寸法→圧入力!$E$6/1000</f>
        <v>10.356135388216337</v>
      </c>
      <c r="AY70" s="159">
        <f>AY45*寸法→圧入力!$E$43*寸法→圧入力!$E$6/1000</f>
        <v>9.9273737421489621</v>
      </c>
      <c r="AZ70" s="159">
        <f>AZ45*寸法→圧入力!$E$43*寸法→圧入力!$E$6/1000</f>
        <v>9.4986120960815903</v>
      </c>
      <c r="BA70" s="159">
        <f>BA45*寸法→圧入力!$E$43*寸法→圧入力!$E$6/1000</f>
        <v>9.069850450014215</v>
      </c>
      <c r="BB70" s="159">
        <f>BB45*寸法→圧入力!$E$43*寸法→圧入力!$E$6/1000</f>
        <v>8.6410888039468432</v>
      </c>
      <c r="BC70" s="159">
        <f>BC45*寸法→圧入力!$E$43*寸法→圧入力!$E$6/1000</f>
        <v>8.2123271578794679</v>
      </c>
      <c r="BD70" s="159">
        <f>BD45*寸法→圧入力!$E$43*寸法→圧入力!$E$6/1000</f>
        <v>7.7835655118120952</v>
      </c>
      <c r="BE70" s="159">
        <f>BE45*寸法→圧入力!$E$43*寸法→圧入力!$E$6/1000</f>
        <v>7.3548038657447226</v>
      </c>
      <c r="BF70" s="159">
        <f>BF45*寸法→圧入力!$E$43*寸法→圧入力!$E$6/1000</f>
        <v>6.9260422196773481</v>
      </c>
      <c r="BG70" s="159">
        <f>BG45*寸法→圧入力!$E$43*寸法→圧入力!$E$6/1000</f>
        <v>6.4972805736099737</v>
      </c>
      <c r="BH70" s="159">
        <f>BH45*寸法→圧入力!$E$43*寸法→圧入力!$E$6/1000</f>
        <v>6.0685189275426001</v>
      </c>
      <c r="BI70" s="159">
        <f>BI45*寸法→圧入力!$E$43*寸法→圧入力!$E$6/1000</f>
        <v>5.6397572814752275</v>
      </c>
      <c r="BJ70" s="159">
        <f>BJ45*寸法→圧入力!$E$43*寸法→圧入力!$E$6/1000</f>
        <v>5.2109956354078522</v>
      </c>
      <c r="BK70" s="159">
        <f>BK45*寸法→圧入力!$E$43*寸法→圧入力!$E$6/1000</f>
        <v>4.7822339893404786</v>
      </c>
      <c r="BL70" s="159">
        <f>BL45*寸法→圧入力!$E$43*寸法→圧入力!$E$6/1000</f>
        <v>4.3534723432731051</v>
      </c>
      <c r="BM70" s="159">
        <f>BM45*寸法→圧入力!$E$43*寸法→圧入力!$E$6/1000</f>
        <v>3.9247106972057315</v>
      </c>
      <c r="BN70" s="159">
        <f>BN45*寸法→圧入力!$E$43*寸法→圧入力!$E$6/1000</f>
        <v>3.4959490511383584</v>
      </c>
      <c r="BO70" s="159">
        <f>BO45*寸法→圧入力!$E$43*寸法→圧入力!$E$6/1000</f>
        <v>3.067187405070984</v>
      </c>
      <c r="BP70" s="159">
        <f>BP45*寸法→圧入力!$E$43*寸法→圧入力!$E$6/1000</f>
        <v>2.6384257590036109</v>
      </c>
      <c r="BQ70" s="159">
        <f>BQ45*寸法→圧入力!$E$43*寸法→圧入力!$E$6/1000</f>
        <v>2.2096641129362369</v>
      </c>
      <c r="BR70" s="11"/>
    </row>
    <row r="71" spans="47:70" x14ac:dyDescent="0.7">
      <c r="AU71" s="152"/>
      <c r="AV71" s="151">
        <f t="shared" si="10"/>
        <v>110</v>
      </c>
      <c r="AW71" s="159">
        <f>AW46*寸法→圧入力!$E$43*寸法→圧入力!$E$6/1000</f>
        <v>11.541535233226131</v>
      </c>
      <c r="AX71" s="159">
        <f>AX46*寸法→圧入力!$E$43*寸法→圧入力!$E$6/1000</f>
        <v>11.112773587158761</v>
      </c>
      <c r="AY71" s="159">
        <f>AY46*寸法→圧入力!$E$43*寸法→圧入力!$E$6/1000</f>
        <v>10.684011941091388</v>
      </c>
      <c r="AZ71" s="159">
        <f>AZ46*寸法→圧入力!$E$43*寸法→圧入力!$E$6/1000</f>
        <v>10.255250295024016</v>
      </c>
      <c r="BA71" s="159">
        <f>BA46*寸法→圧入力!$E$43*寸法→圧入力!$E$6/1000</f>
        <v>9.826488648956639</v>
      </c>
      <c r="BB71" s="159">
        <f>BB46*寸法→圧入力!$E$43*寸法→圧入力!$E$6/1000</f>
        <v>9.3977270028892672</v>
      </c>
      <c r="BC71" s="159">
        <f>BC46*寸法→圧入力!$E$43*寸法→圧入力!$E$6/1000</f>
        <v>8.9689653568218901</v>
      </c>
      <c r="BD71" s="159">
        <f>BD46*寸法→圧入力!$E$43*寸法→圧入力!$E$6/1000</f>
        <v>8.5402037107545183</v>
      </c>
      <c r="BE71" s="159">
        <f>BE46*寸法→圧入力!$E$43*寸法→圧入力!$E$6/1000</f>
        <v>8.1114420646871466</v>
      </c>
      <c r="BF71" s="159">
        <f>BF46*寸法→圧入力!$E$43*寸法→圧入力!$E$6/1000</f>
        <v>7.6826804186197721</v>
      </c>
      <c r="BG71" s="159">
        <f>BG46*寸法→圧入力!$E$43*寸法→圧入力!$E$6/1000</f>
        <v>7.2539187725523986</v>
      </c>
      <c r="BH71" s="159">
        <f>BH46*寸法→圧入力!$E$43*寸法→圧入力!$E$6/1000</f>
        <v>6.8251571264850233</v>
      </c>
      <c r="BI71" s="159">
        <f>BI46*寸法→圧入力!$E$43*寸法→圧入力!$E$6/1000</f>
        <v>6.3963954804176506</v>
      </c>
      <c r="BJ71" s="159">
        <f>BJ46*寸法→圧入力!$E$43*寸法→圧入力!$E$6/1000</f>
        <v>5.9676338343502779</v>
      </c>
      <c r="BK71" s="159">
        <f>BK46*寸法→圧入力!$E$43*寸法→圧入力!$E$6/1000</f>
        <v>5.5388721882829035</v>
      </c>
      <c r="BL71" s="159">
        <f>BL46*寸法→圧入力!$E$43*寸法→圧入力!$E$6/1000</f>
        <v>5.11011054221553</v>
      </c>
      <c r="BM71" s="159">
        <f>BM46*寸法→圧入力!$E$43*寸法→圧入力!$E$6/1000</f>
        <v>4.6813488961481573</v>
      </c>
      <c r="BN71" s="159">
        <f>BN46*寸法→圧入力!$E$43*寸法→圧入力!$E$6/1000</f>
        <v>4.2525872500807829</v>
      </c>
      <c r="BO71" s="159">
        <f>BO46*寸法→圧入力!$E$43*寸法→圧入力!$E$6/1000</f>
        <v>3.8238256040134098</v>
      </c>
      <c r="BP71" s="159">
        <f>BP46*寸法→圧入力!$E$43*寸法→圧入力!$E$6/1000</f>
        <v>3.3950639579460353</v>
      </c>
      <c r="BQ71" s="159">
        <f>BQ46*寸法→圧入力!$E$43*寸法→圧入力!$E$6/1000</f>
        <v>2.9663023118786613</v>
      </c>
      <c r="BR71" s="11"/>
    </row>
    <row r="72" spans="47:70" x14ac:dyDescent="0.7">
      <c r="AU72" s="152"/>
      <c r="AV72" s="151">
        <f t="shared" si="10"/>
        <v>120</v>
      </c>
      <c r="AW72" s="159">
        <f>AW47*寸法→圧入力!$E$43*寸法→圧入力!$E$6/1000</f>
        <v>12.298173432168557</v>
      </c>
      <c r="AX72" s="159">
        <f>AX47*寸法→圧入力!$E$43*寸法→圧入力!$E$6/1000</f>
        <v>11.869411786101185</v>
      </c>
      <c r="AY72" s="159">
        <f>AY47*寸法→圧入力!$E$43*寸法→圧入力!$E$6/1000</f>
        <v>11.440650140033814</v>
      </c>
      <c r="AZ72" s="159">
        <f>AZ47*寸法→圧入力!$E$43*寸法→圧入力!$E$6/1000</f>
        <v>11.011888493966437</v>
      </c>
      <c r="BA72" s="159">
        <f>BA47*寸法→圧入力!$E$43*寸法→圧入力!$E$6/1000</f>
        <v>10.583126847899065</v>
      </c>
      <c r="BB72" s="159">
        <f>BB47*寸法→圧入力!$E$43*寸法→圧入力!$E$6/1000</f>
        <v>10.154365201831691</v>
      </c>
      <c r="BC72" s="159">
        <f>BC47*寸法→圧入力!$E$43*寸法→圧入力!$E$6/1000</f>
        <v>9.7256035557643177</v>
      </c>
      <c r="BD72" s="159">
        <f>BD47*寸法→圧入力!$E$43*寸法→圧入力!$E$6/1000</f>
        <v>9.2968419096969441</v>
      </c>
      <c r="BE72" s="159">
        <f>BE47*寸法→圧入力!$E$43*寸法→圧入力!$E$6/1000</f>
        <v>8.8680802636295688</v>
      </c>
      <c r="BF72" s="159">
        <f>BF47*寸法→圧入力!$E$43*寸法→圧入力!$E$6/1000</f>
        <v>8.4393186175621953</v>
      </c>
      <c r="BG72" s="159">
        <f>BG47*寸法→圧入力!$E$43*寸法→圧入力!$E$6/1000</f>
        <v>8.0105569714948217</v>
      </c>
      <c r="BH72" s="159">
        <f>BH47*寸法→圧入力!$E$43*寸法→圧入力!$E$6/1000</f>
        <v>7.5817953254274499</v>
      </c>
      <c r="BI72" s="159">
        <f>BI47*寸法→圧入力!$E$43*寸法→圧入力!$E$6/1000</f>
        <v>7.1530336793600746</v>
      </c>
      <c r="BJ72" s="159">
        <f>BJ47*寸法→圧入力!$E$43*寸法→圧入力!$E$6/1000</f>
        <v>6.7242720332927011</v>
      </c>
      <c r="BK72" s="159">
        <f>BK47*寸法→圧入力!$E$43*寸法→圧入力!$E$6/1000</f>
        <v>6.2955103872253275</v>
      </c>
      <c r="BL72" s="159">
        <f>BL47*寸法→圧入力!$E$43*寸法→圧入力!$E$6/1000</f>
        <v>5.866748741157954</v>
      </c>
      <c r="BM72" s="159">
        <f>BM47*寸法→圧入力!$E$43*寸法→圧入力!$E$6/1000</f>
        <v>5.4379870950905795</v>
      </c>
      <c r="BN72" s="159">
        <f>BN47*寸法→圧入力!$E$43*寸法→圧入力!$E$6/1000</f>
        <v>5.0092254490232078</v>
      </c>
      <c r="BO72" s="159">
        <f>BO47*寸法→圧入力!$E$43*寸法→圧入力!$E$6/1000</f>
        <v>4.5804638029558316</v>
      </c>
      <c r="BP72" s="159">
        <f>BP47*寸法→圧入力!$E$43*寸法→圧入力!$E$6/1000</f>
        <v>4.1517021568884589</v>
      </c>
      <c r="BQ72" s="159">
        <f>BQ47*寸法→圧入力!$E$43*寸法→圧入力!$E$6/1000</f>
        <v>3.7229405108210853</v>
      </c>
      <c r="BR72" s="11"/>
    </row>
    <row r="73" spans="47:70" x14ac:dyDescent="0.7">
      <c r="AU73" s="152"/>
      <c r="AV73" s="151">
        <f t="shared" si="10"/>
        <v>130</v>
      </c>
      <c r="AW73" s="159">
        <f>AW48*寸法→圧入力!$E$43*寸法→圧入力!$E$6/1000</f>
        <v>13.054811631110985</v>
      </c>
      <c r="AX73" s="159">
        <f>AX48*寸法→圧入力!$E$43*寸法→圧入力!$E$6/1000</f>
        <v>12.626049985043609</v>
      </c>
      <c r="AY73" s="159">
        <f>AY48*寸法→圧入力!$E$43*寸法→圧入力!$E$6/1000</f>
        <v>12.197288338976238</v>
      </c>
      <c r="AZ73" s="159">
        <f>AZ48*寸法→圧入力!$E$43*寸法→圧入力!$E$6/1000</f>
        <v>11.768526692908862</v>
      </c>
      <c r="BA73" s="159">
        <f>BA48*寸法→圧入力!$E$43*寸法→圧入力!$E$6/1000</f>
        <v>11.339765046841489</v>
      </c>
      <c r="BB73" s="159">
        <f>BB48*寸法→圧入力!$E$43*寸法→圧入力!$E$6/1000</f>
        <v>10.911003400774115</v>
      </c>
      <c r="BC73" s="159">
        <f>BC48*寸法→圧入力!$E$43*寸法→圧入力!$E$6/1000</f>
        <v>10.482241754706743</v>
      </c>
      <c r="BD73" s="159">
        <f>BD48*寸法→圧入力!$E$43*寸法→圧入力!$E$6/1000</f>
        <v>10.053480108639366</v>
      </c>
      <c r="BE73" s="159">
        <f>BE48*寸法→圧入力!$E$43*寸法→圧入力!$E$6/1000</f>
        <v>9.6247184625719928</v>
      </c>
      <c r="BF73" s="159">
        <f>BF48*寸法→圧入力!$E$43*寸法→圧入力!$E$6/1000</f>
        <v>9.195956816504621</v>
      </c>
      <c r="BG73" s="159">
        <f>BG48*寸法→圧入力!$E$43*寸法→圧入力!$E$6/1000</f>
        <v>8.7671951704372475</v>
      </c>
      <c r="BH73" s="159">
        <f>BH48*寸法→圧入力!$E$43*寸法→圧入力!$E$6/1000</f>
        <v>8.3384335243698757</v>
      </c>
      <c r="BI73" s="159">
        <f>BI48*寸法→圧入力!$E$43*寸法→圧入力!$E$6/1000</f>
        <v>7.9096718783024995</v>
      </c>
      <c r="BJ73" s="159">
        <f>BJ48*寸法→圧入力!$E$43*寸法→圧入力!$E$6/1000</f>
        <v>7.4809102322351242</v>
      </c>
      <c r="BK73" s="159">
        <f>BK48*寸法→圧入力!$E$43*寸法→圧入力!$E$6/1000</f>
        <v>7.0521485861677524</v>
      </c>
      <c r="BL73" s="159">
        <f>BL48*寸法→圧入力!$E$43*寸法→圧入力!$E$6/1000</f>
        <v>6.6233869401003789</v>
      </c>
      <c r="BM73" s="159">
        <f>BM48*寸法→圧入力!$E$43*寸法→圧入力!$E$6/1000</f>
        <v>6.1946252940330053</v>
      </c>
      <c r="BN73" s="159">
        <f>BN48*寸法→圧入力!$E$43*寸法→圧入力!$E$6/1000</f>
        <v>5.7658636479656318</v>
      </c>
      <c r="BO73" s="159">
        <f>BO48*寸法→圧入力!$E$43*寸法→圧入力!$E$6/1000</f>
        <v>5.3371020018982573</v>
      </c>
      <c r="BP73" s="159">
        <f>BP48*寸法→圧入力!$E$43*寸法→圧入力!$E$6/1000</f>
        <v>4.9083403558308838</v>
      </c>
      <c r="BQ73" s="159">
        <f>BQ48*寸法→圧入力!$E$43*寸法→圧入力!$E$6/1000</f>
        <v>4.4795787097635102</v>
      </c>
      <c r="BR73" s="11"/>
    </row>
    <row r="74" spans="47:70" x14ac:dyDescent="0.7">
      <c r="AU74" s="152"/>
      <c r="AV74" s="151">
        <f t="shared" si="10"/>
        <v>140</v>
      </c>
      <c r="AW74" s="159">
        <f>AW49*寸法→圧入力!$E$43*寸法→圧入力!$E$6/1000</f>
        <v>13.811449830053407</v>
      </c>
      <c r="AX74" s="159">
        <f>AX49*寸法→圧入力!$E$43*寸法→圧入力!$E$6/1000</f>
        <v>13.382688183986035</v>
      </c>
      <c r="AY74" s="159">
        <f>AY49*寸法→圧入力!$E$43*寸法→圧入力!$E$6/1000</f>
        <v>12.953926537918658</v>
      </c>
      <c r="AZ74" s="159">
        <f>AZ49*寸法→圧入力!$E$43*寸法→圧入力!$E$6/1000</f>
        <v>12.525164891851286</v>
      </c>
      <c r="BA74" s="159">
        <f>BA49*寸法→圧入力!$E$43*寸法→圧入力!$E$6/1000</f>
        <v>12.096403245783913</v>
      </c>
      <c r="BB74" s="159">
        <f>BB49*寸法→圧入力!$E$43*寸法→圧入力!$E$6/1000</f>
        <v>11.667641599716539</v>
      </c>
      <c r="BC74" s="159">
        <f>BC49*寸法→圧入力!$E$43*寸法→圧入力!$E$6/1000</f>
        <v>11.238879953649166</v>
      </c>
      <c r="BD74" s="159">
        <f>BD49*寸法→圧入力!$E$43*寸法→圧入力!$E$6/1000</f>
        <v>10.810118307581792</v>
      </c>
      <c r="BE74" s="159">
        <f>BE49*寸法→圧入力!$E$43*寸法→圧入力!$E$6/1000</f>
        <v>10.381356661514415</v>
      </c>
      <c r="BF74" s="159">
        <f>BF49*寸法→圧入力!$E$43*寸法→圧入力!$E$6/1000</f>
        <v>9.9525950154470433</v>
      </c>
      <c r="BG74" s="159">
        <f>BG49*寸法→圧入力!$E$43*寸法→圧入力!$E$6/1000</f>
        <v>9.5238333693796697</v>
      </c>
      <c r="BH74" s="159">
        <f>BH49*寸法→圧入力!$E$43*寸法→圧入力!$E$6/1000</f>
        <v>9.0950717233122944</v>
      </c>
      <c r="BI74" s="159">
        <f>BI49*寸法→圧入力!$E$43*寸法→圧入力!$E$6/1000</f>
        <v>8.6663100772449226</v>
      </c>
      <c r="BJ74" s="159">
        <f>BJ49*寸法→圧入力!$E$43*寸法→圧入力!$E$6/1000</f>
        <v>8.2375484311775509</v>
      </c>
      <c r="BK74" s="159">
        <f>BK49*寸法→圧入力!$E$43*寸法→圧入力!$E$6/1000</f>
        <v>7.8087867851101747</v>
      </c>
      <c r="BL74" s="159">
        <f>BL49*寸法→圧入力!$E$43*寸法→圧入力!$E$6/1000</f>
        <v>7.3800251390428011</v>
      </c>
      <c r="BM74" s="159">
        <f>BM49*寸法→圧入力!$E$43*寸法→圧入力!$E$6/1000</f>
        <v>6.9512634929754276</v>
      </c>
      <c r="BN74" s="159">
        <f>BN49*寸法→圧入力!$E$43*寸法→圧入力!$E$6/1000</f>
        <v>6.522501846908054</v>
      </c>
      <c r="BO74" s="159">
        <f>BO49*寸法→圧入力!$E$43*寸法→圧入力!$E$6/1000</f>
        <v>6.0937402008406805</v>
      </c>
      <c r="BP74" s="159">
        <f>BP49*寸法→圧入力!$E$43*寸法→圧入力!$E$6/1000</f>
        <v>5.664978554773306</v>
      </c>
      <c r="BQ74" s="159">
        <f>BQ49*寸法→圧入力!$E$43*寸法→圧入力!$E$6/1000</f>
        <v>5.2362169087059325</v>
      </c>
      <c r="BR74" s="11"/>
    </row>
    <row r="75" spans="47:70" x14ac:dyDescent="0.7">
      <c r="AU75" s="153"/>
      <c r="AV75" s="151">
        <f t="shared" si="10"/>
        <v>150</v>
      </c>
      <c r="AW75" s="159">
        <f>AW50*寸法→圧入力!$E$43*寸法→圧入力!$E$6/1000</f>
        <v>14.568088028995831</v>
      </c>
      <c r="AX75" s="159">
        <f>AX50*寸法→圧入力!$E$43*寸法→圧入力!$E$6/1000</f>
        <v>14.139326382928459</v>
      </c>
      <c r="AY75" s="159">
        <f>AY50*寸法→圧入力!$E$43*寸法→圧入力!$E$6/1000</f>
        <v>13.710564736861086</v>
      </c>
      <c r="AZ75" s="159">
        <f>AZ50*寸法→圧入力!$E$43*寸法→圧入力!$E$6/1000</f>
        <v>13.28180309079371</v>
      </c>
      <c r="BA75" s="159">
        <f>BA50*寸法→圧入力!$E$43*寸法→圧入力!$E$6/1000</f>
        <v>12.853041444726337</v>
      </c>
      <c r="BB75" s="159">
        <f>BB50*寸法→圧入力!$E$43*寸法→圧入力!$E$6/1000</f>
        <v>12.424279798658963</v>
      </c>
      <c r="BC75" s="159">
        <f>BC50*寸法→圧入力!$E$43*寸法→圧入力!$E$6/1000</f>
        <v>11.995518152591588</v>
      </c>
      <c r="BD75" s="159">
        <f>BD50*寸法→圧入力!$E$43*寸法→圧入力!$E$6/1000</f>
        <v>11.566756506524216</v>
      </c>
      <c r="BE75" s="159">
        <f>BE50*寸法→圧入力!$E$43*寸法→圧入力!$E$6/1000</f>
        <v>11.137994860456844</v>
      </c>
      <c r="BF75" s="159">
        <f>BF50*寸法→圧入力!$E$43*寸法→圧入力!$E$6/1000</f>
        <v>10.709233214389469</v>
      </c>
      <c r="BG75" s="159">
        <f>BG50*寸法→圧入力!$E$43*寸法→圧入力!$E$6/1000</f>
        <v>10.280471568322096</v>
      </c>
      <c r="BH75" s="159">
        <f>BH50*寸法→圧入力!$E$43*寸法→圧入力!$E$6/1000</f>
        <v>9.851709922254722</v>
      </c>
      <c r="BI75" s="159">
        <f>BI50*寸法→圧入力!$E$43*寸法→圧入力!$E$6/1000</f>
        <v>9.4229482761873467</v>
      </c>
      <c r="BJ75" s="159">
        <f>BJ50*寸法→圧入力!$E$43*寸法→圧入力!$E$6/1000</f>
        <v>8.9941866301199695</v>
      </c>
      <c r="BK75" s="159">
        <f>BK50*寸法→圧入力!$E$43*寸法→圧入力!$E$6/1000</f>
        <v>8.5654249840526013</v>
      </c>
      <c r="BL75" s="159">
        <f>BL50*寸法→圧入力!$E$43*寸法→圧入力!$E$6/1000</f>
        <v>8.136663337985226</v>
      </c>
      <c r="BM75" s="159">
        <f>BM50*寸法→圧入力!$E$43*寸法→圧入力!$E$6/1000</f>
        <v>7.7079016919178533</v>
      </c>
      <c r="BN75" s="159">
        <f>BN50*寸法→圧入力!$E$43*寸法→圧入力!$E$6/1000</f>
        <v>7.2791400458504798</v>
      </c>
      <c r="BO75" s="159">
        <f>BO50*寸法→圧入力!$E$43*寸法→圧入力!$E$6/1000</f>
        <v>6.8503783997831045</v>
      </c>
      <c r="BP75" s="159">
        <f>BP50*寸法→圧入力!$E$43*寸法→圧入力!$E$6/1000</f>
        <v>6.4216167537157318</v>
      </c>
      <c r="BQ75" s="159">
        <f>BQ50*寸法→圧入力!$E$43*寸法→圧入力!$E$6/1000</f>
        <v>5.9928551076483574</v>
      </c>
      <c r="BR75" s="11"/>
    </row>
  </sheetData>
  <phoneticPr fontId="1"/>
  <conditionalFormatting sqref="AW5:BQ25">
    <cfRule type="colorScale" priority="3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AW30:BQ5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W55:BQ75">
    <cfRule type="colorScale" priority="1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76D9-B9B8-4334-A644-D3997CD0E01E}">
  <dimension ref="A1:G20"/>
  <sheetViews>
    <sheetView workbookViewId="0">
      <selection activeCell="B6" sqref="B6"/>
    </sheetView>
  </sheetViews>
  <sheetFormatPr defaultRowHeight="17.649999999999999" x14ac:dyDescent="0.7"/>
  <cols>
    <col min="1" max="1" width="16.4375" bestFit="1" customWidth="1"/>
    <col min="2" max="2" width="16.4375" customWidth="1"/>
    <col min="3" max="3" width="24.125" bestFit="1" customWidth="1"/>
    <col min="4" max="4" width="19.125" bestFit="1" customWidth="1"/>
    <col min="5" max="5" width="38.5" bestFit="1" customWidth="1"/>
    <col min="6" max="6" width="18.6875" bestFit="1" customWidth="1"/>
    <col min="7" max="7" width="17.0625" bestFit="1" customWidth="1"/>
  </cols>
  <sheetData>
    <row r="1" spans="1:7" x14ac:dyDescent="0.7">
      <c r="A1" t="s">
        <v>17</v>
      </c>
      <c r="C1" t="s">
        <v>2</v>
      </c>
      <c r="D1" t="s">
        <v>0</v>
      </c>
      <c r="E1" t="s">
        <v>1</v>
      </c>
      <c r="F1" t="s">
        <v>12</v>
      </c>
      <c r="G1" t="s">
        <v>124</v>
      </c>
    </row>
    <row r="2" spans="1:7" x14ac:dyDescent="0.7">
      <c r="A2" t="s">
        <v>14</v>
      </c>
      <c r="B2" t="s">
        <v>213</v>
      </c>
      <c r="C2" t="s">
        <v>21</v>
      </c>
      <c r="D2" t="s">
        <v>15</v>
      </c>
      <c r="E2" t="s">
        <v>16</v>
      </c>
      <c r="F2" t="s">
        <v>18</v>
      </c>
      <c r="G2" t="s">
        <v>125</v>
      </c>
    </row>
    <row r="3" spans="1:7" x14ac:dyDescent="0.7">
      <c r="A3" t="s">
        <v>26</v>
      </c>
      <c r="B3" t="s">
        <v>214</v>
      </c>
      <c r="C3">
        <v>208000</v>
      </c>
      <c r="D3" s="12">
        <v>0.3</v>
      </c>
      <c r="E3">
        <v>12.5</v>
      </c>
      <c r="F3">
        <v>785</v>
      </c>
      <c r="G3">
        <f>7.81*1000</f>
        <v>7810</v>
      </c>
    </row>
    <row r="4" spans="1:7" x14ac:dyDescent="0.7">
      <c r="A4" t="s">
        <v>20</v>
      </c>
      <c r="B4" t="s">
        <v>214</v>
      </c>
      <c r="C4">
        <v>205000</v>
      </c>
      <c r="D4" s="12">
        <v>0.3</v>
      </c>
      <c r="E4">
        <v>11.9</v>
      </c>
      <c r="F4">
        <v>345</v>
      </c>
      <c r="G4">
        <v>7840</v>
      </c>
    </row>
    <row r="5" spans="1:7" x14ac:dyDescent="0.7">
      <c r="A5" t="s">
        <v>35</v>
      </c>
      <c r="B5" t="s">
        <v>216</v>
      </c>
      <c r="C5">
        <v>118000</v>
      </c>
      <c r="D5">
        <v>0.33</v>
      </c>
      <c r="E5">
        <v>17.7</v>
      </c>
      <c r="F5">
        <v>200</v>
      </c>
    </row>
    <row r="6" spans="1:7" x14ac:dyDescent="0.7">
      <c r="A6" t="s">
        <v>11</v>
      </c>
      <c r="B6" t="s">
        <v>215</v>
      </c>
      <c r="C6">
        <v>71000</v>
      </c>
      <c r="D6">
        <v>0.33</v>
      </c>
      <c r="E6" s="11">
        <v>21</v>
      </c>
      <c r="F6">
        <v>150</v>
      </c>
      <c r="G6">
        <f>2.68*1000</f>
        <v>2680</v>
      </c>
    </row>
    <row r="7" spans="1:7" x14ac:dyDescent="0.7">
      <c r="A7" t="s">
        <v>210</v>
      </c>
      <c r="B7" t="s">
        <v>215</v>
      </c>
    </row>
    <row r="8" spans="1:7" x14ac:dyDescent="0.7">
      <c r="A8" t="s">
        <v>211</v>
      </c>
      <c r="B8" t="s">
        <v>215</v>
      </c>
      <c r="G8" s="35"/>
    </row>
    <row r="9" spans="1:7" x14ac:dyDescent="0.7">
      <c r="A9" t="s">
        <v>212</v>
      </c>
      <c r="B9" t="s">
        <v>214</v>
      </c>
      <c r="G9" s="35"/>
    </row>
    <row r="10" spans="1:7" x14ac:dyDescent="0.7">
      <c r="G10" s="35"/>
    </row>
    <row r="11" spans="1:7" x14ac:dyDescent="0.7">
      <c r="G11" s="35"/>
    </row>
    <row r="12" spans="1:7" x14ac:dyDescent="0.7">
      <c r="G12" s="35"/>
    </row>
    <row r="13" spans="1:7" x14ac:dyDescent="0.7">
      <c r="G13" s="35"/>
    </row>
    <row r="14" spans="1:7" x14ac:dyDescent="0.7">
      <c r="G14" s="35"/>
    </row>
    <row r="15" spans="1:7" x14ac:dyDescent="0.7">
      <c r="G15" s="35"/>
    </row>
    <row r="16" spans="1:7" x14ac:dyDescent="0.7">
      <c r="G16" s="35"/>
    </row>
    <row r="17" spans="7:7" x14ac:dyDescent="0.7">
      <c r="G17" s="35"/>
    </row>
    <row r="18" spans="7:7" x14ac:dyDescent="0.7">
      <c r="G18" s="35"/>
    </row>
    <row r="19" spans="7:7" x14ac:dyDescent="0.7">
      <c r="G19" s="35"/>
    </row>
    <row r="20" spans="7:7" x14ac:dyDescent="0.7">
      <c r="G20" s="35"/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FD00-7596-451E-922B-0E70910468D0}">
  <dimension ref="B5:DJ60"/>
  <sheetViews>
    <sheetView topLeftCell="C1" zoomScale="90" zoomScaleNormal="90" zoomScaleSheetLayoutView="50" workbookViewId="0">
      <selection activeCell="T20" sqref="T20"/>
    </sheetView>
  </sheetViews>
  <sheetFormatPr defaultRowHeight="17.649999999999999" x14ac:dyDescent="0.7"/>
  <cols>
    <col min="1" max="3" width="4" customWidth="1"/>
    <col min="4" max="6" width="10.875" bestFit="1" customWidth="1"/>
    <col min="7" max="9" width="9.8125" bestFit="1" customWidth="1"/>
    <col min="10" max="11" width="9.0625" bestFit="1" customWidth="1"/>
    <col min="12" max="12" width="9.8125" bestFit="1" customWidth="1"/>
    <col min="13" max="21" width="9.0625" bestFit="1" customWidth="1"/>
    <col min="22" max="24" width="9.625" bestFit="1" customWidth="1"/>
    <col min="25" max="25" width="9.0625" bestFit="1" customWidth="1"/>
    <col min="26" max="26" width="9.625" bestFit="1" customWidth="1"/>
    <col min="27" max="28" width="9.0625" bestFit="1" customWidth="1"/>
    <col min="29" max="30" width="9.375" bestFit="1" customWidth="1"/>
    <col min="31" max="36" width="10.4375" bestFit="1" customWidth="1"/>
    <col min="37" max="37" width="9.0625" bestFit="1" customWidth="1"/>
    <col min="38" max="39" width="10.8125" customWidth="1"/>
    <col min="41" max="41" width="7.4375" customWidth="1"/>
    <col min="42" max="42" width="5.75" customWidth="1"/>
    <col min="43" max="48" width="4.625" customWidth="1"/>
    <col min="49" max="52" width="4.875" bestFit="1" customWidth="1"/>
    <col min="53" max="54" width="4.5" customWidth="1"/>
    <col min="55" max="58" width="4.5625" customWidth="1"/>
    <col min="59" max="59" width="4.875" bestFit="1" customWidth="1"/>
    <col min="60" max="61" width="5.3125" bestFit="1" customWidth="1"/>
    <col min="62" max="62" width="5" customWidth="1"/>
    <col min="63" max="64" width="4.5" customWidth="1"/>
    <col min="65" max="66" width="5.125" customWidth="1"/>
    <col min="67" max="68" width="4.5625" customWidth="1"/>
    <col min="69" max="69" width="4.1875" customWidth="1"/>
    <col min="70" max="70" width="4.4375" customWidth="1"/>
    <col min="71" max="71" width="4.1875" customWidth="1"/>
    <col min="72" max="72" width="4.5625" customWidth="1"/>
    <col min="73" max="73" width="4.4375" customWidth="1"/>
    <col min="75" max="75" width="7.4375" customWidth="1"/>
    <col min="76" max="76" width="5.75" customWidth="1"/>
    <col min="77" max="77" width="5.5625" customWidth="1"/>
    <col min="78" max="78" width="4.5625" customWidth="1"/>
    <col min="79" max="79" width="5.5625" customWidth="1"/>
    <col min="80" max="81" width="4.75" customWidth="1"/>
    <col min="82" max="82" width="5.6875" customWidth="1"/>
    <col min="83" max="84" width="4.5" customWidth="1"/>
    <col min="85" max="88" width="4.625" customWidth="1"/>
    <col min="89" max="94" width="4.875" customWidth="1"/>
    <col min="95" max="95" width="5.875" customWidth="1"/>
    <col min="96" max="97" width="5.4375" customWidth="1"/>
    <col min="98" max="99" width="4.8125" customWidth="1"/>
    <col min="100" max="101" width="5.1875" customWidth="1"/>
    <col min="102" max="103" width="4.875" customWidth="1"/>
    <col min="104" max="104" width="4.75" customWidth="1"/>
    <col min="105" max="108" width="4.8125" bestFit="1" customWidth="1"/>
    <col min="109" max="109" width="4.875" customWidth="1"/>
    <col min="110" max="110" width="4.75" customWidth="1"/>
  </cols>
  <sheetData>
    <row r="5" spans="2:110" x14ac:dyDescent="0.7">
      <c r="B5" t="s">
        <v>131</v>
      </c>
    </row>
    <row r="6" spans="2:110" ht="17.649999999999999" customHeight="1" x14ac:dyDescent="0.7">
      <c r="B6" s="37" t="s">
        <v>3</v>
      </c>
      <c r="C6" s="37"/>
      <c r="D6" s="38" t="s">
        <v>132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O6" s="74" t="s">
        <v>133</v>
      </c>
      <c r="AP6" s="83"/>
      <c r="AQ6" s="84" t="s">
        <v>134</v>
      </c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73"/>
      <c r="BW6" s="38" t="s">
        <v>133</v>
      </c>
      <c r="BX6" s="38"/>
      <c r="BY6" s="38" t="s">
        <v>132</v>
      </c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</row>
    <row r="7" spans="2:110" x14ac:dyDescent="0.7">
      <c r="B7" s="146">
        <v>30</v>
      </c>
      <c r="C7" s="146"/>
      <c r="D7" s="41" t="s">
        <v>135</v>
      </c>
      <c r="E7" s="41" t="s">
        <v>136</v>
      </c>
      <c r="F7" s="41" t="s">
        <v>137</v>
      </c>
      <c r="G7" s="41" t="s">
        <v>138</v>
      </c>
      <c r="H7" s="41" t="s">
        <v>139</v>
      </c>
      <c r="I7" s="41" t="s">
        <v>140</v>
      </c>
      <c r="J7" s="41" t="s">
        <v>141</v>
      </c>
      <c r="K7" s="41" t="s">
        <v>142</v>
      </c>
      <c r="L7" s="42" t="s">
        <v>143</v>
      </c>
      <c r="M7" s="42" t="s">
        <v>144</v>
      </c>
      <c r="N7" s="42" t="s">
        <v>145</v>
      </c>
      <c r="O7" s="42" t="s">
        <v>130</v>
      </c>
      <c r="P7" s="42" t="s">
        <v>146</v>
      </c>
      <c r="Q7" s="42" t="s">
        <v>147</v>
      </c>
      <c r="R7" s="42" t="s">
        <v>148</v>
      </c>
      <c r="S7" s="42" t="s">
        <v>149</v>
      </c>
      <c r="T7" s="42" t="s">
        <v>150</v>
      </c>
      <c r="U7" s="42" t="s">
        <v>151</v>
      </c>
      <c r="V7" s="42" t="s">
        <v>152</v>
      </c>
      <c r="W7" s="42" t="s">
        <v>153</v>
      </c>
      <c r="X7" s="42" t="s">
        <v>154</v>
      </c>
      <c r="Y7" s="43" t="s">
        <v>155</v>
      </c>
      <c r="Z7" s="43" t="s">
        <v>156</v>
      </c>
      <c r="AA7" s="36" t="s">
        <v>157</v>
      </c>
      <c r="AB7" s="36" t="s">
        <v>158</v>
      </c>
      <c r="AC7" s="36" t="s">
        <v>159</v>
      </c>
      <c r="AD7" s="36" t="s">
        <v>160</v>
      </c>
      <c r="AE7" s="36" t="s">
        <v>161</v>
      </c>
      <c r="AF7" s="44" t="s">
        <v>162</v>
      </c>
      <c r="AG7" s="36" t="s">
        <v>163</v>
      </c>
      <c r="AH7" s="36" t="s">
        <v>164</v>
      </c>
      <c r="AI7" s="36" t="s">
        <v>165</v>
      </c>
      <c r="AJ7" s="36" t="s">
        <v>166</v>
      </c>
      <c r="AK7" s="36" t="s">
        <v>167</v>
      </c>
      <c r="AO7" s="68" t="s">
        <v>168</v>
      </c>
      <c r="AP7" s="69" t="s">
        <v>169</v>
      </c>
      <c r="AQ7" s="69" t="s">
        <v>170</v>
      </c>
      <c r="AR7" s="69" t="s">
        <v>171</v>
      </c>
      <c r="AS7" s="69" t="s">
        <v>172</v>
      </c>
      <c r="AT7" s="69" t="s">
        <v>173</v>
      </c>
      <c r="AU7" s="69" t="s">
        <v>174</v>
      </c>
      <c r="AV7" s="69" t="s">
        <v>175</v>
      </c>
      <c r="AW7" s="70" t="s">
        <v>176</v>
      </c>
      <c r="AX7" s="70" t="s">
        <v>129</v>
      </c>
      <c r="AY7" s="70" t="s">
        <v>177</v>
      </c>
      <c r="AZ7" s="70" t="s">
        <v>178</v>
      </c>
      <c r="BA7" s="70" t="s">
        <v>179</v>
      </c>
      <c r="BB7" s="70" t="s">
        <v>180</v>
      </c>
      <c r="BC7" s="70" t="s">
        <v>181</v>
      </c>
      <c r="BD7" s="70" t="s">
        <v>182</v>
      </c>
      <c r="BE7" s="70" t="s">
        <v>183</v>
      </c>
      <c r="BF7" s="70" t="s">
        <v>184</v>
      </c>
      <c r="BG7" s="70" t="s">
        <v>185</v>
      </c>
      <c r="BH7" s="70" t="s">
        <v>186</v>
      </c>
      <c r="BI7" s="70" t="s">
        <v>187</v>
      </c>
      <c r="BJ7" s="70" t="s">
        <v>188</v>
      </c>
      <c r="BK7" s="70" t="s">
        <v>189</v>
      </c>
      <c r="BL7" s="71" t="s">
        <v>190</v>
      </c>
      <c r="BM7" s="70" t="s">
        <v>191</v>
      </c>
      <c r="BN7" s="70" t="s">
        <v>192</v>
      </c>
      <c r="BO7" s="70" t="s">
        <v>193</v>
      </c>
      <c r="BP7" s="70" t="s">
        <v>194</v>
      </c>
      <c r="BQ7" s="70" t="s">
        <v>195</v>
      </c>
      <c r="BR7" s="81" t="s">
        <v>196</v>
      </c>
      <c r="BS7" s="70" t="s">
        <v>197</v>
      </c>
      <c r="BT7" s="70" t="s">
        <v>198</v>
      </c>
      <c r="BU7" s="72" t="s">
        <v>199</v>
      </c>
      <c r="BW7" s="62" t="s">
        <v>168</v>
      </c>
      <c r="BX7" s="63" t="s">
        <v>169</v>
      </c>
      <c r="BY7" s="63" t="s">
        <v>135</v>
      </c>
      <c r="BZ7" s="63" t="s">
        <v>136</v>
      </c>
      <c r="CA7" s="63" t="s">
        <v>137</v>
      </c>
      <c r="CB7" s="63" t="s">
        <v>138</v>
      </c>
      <c r="CC7" s="63" t="s">
        <v>139</v>
      </c>
      <c r="CD7" s="63" t="s">
        <v>140</v>
      </c>
      <c r="CE7" s="63" t="s">
        <v>141</v>
      </c>
      <c r="CF7" s="63" t="s">
        <v>142</v>
      </c>
      <c r="CG7" s="64" t="s">
        <v>143</v>
      </c>
      <c r="CH7" s="64" t="s">
        <v>144</v>
      </c>
      <c r="CI7" s="64" t="s">
        <v>145</v>
      </c>
      <c r="CJ7" s="64" t="s">
        <v>130</v>
      </c>
      <c r="CK7" s="64" t="s">
        <v>146</v>
      </c>
      <c r="CL7" s="64" t="s">
        <v>147</v>
      </c>
      <c r="CM7" s="64" t="s">
        <v>148</v>
      </c>
      <c r="CN7" s="64" t="s">
        <v>149</v>
      </c>
      <c r="CO7" s="64" t="s">
        <v>150</v>
      </c>
      <c r="CP7" s="64" t="s">
        <v>151</v>
      </c>
      <c r="CQ7" s="64" t="s">
        <v>152</v>
      </c>
      <c r="CR7" s="64" t="s">
        <v>153</v>
      </c>
      <c r="CS7" s="64" t="s">
        <v>154</v>
      </c>
      <c r="CT7" s="64" t="s">
        <v>155</v>
      </c>
      <c r="CU7" s="64" t="s">
        <v>156</v>
      </c>
      <c r="CV7" s="64" t="s">
        <v>157</v>
      </c>
      <c r="CW7" s="64" t="s">
        <v>158</v>
      </c>
      <c r="CX7" s="64" t="s">
        <v>159</v>
      </c>
      <c r="CY7" s="64" t="s">
        <v>160</v>
      </c>
      <c r="CZ7" s="64" t="s">
        <v>161</v>
      </c>
      <c r="DA7" s="67" t="s">
        <v>162</v>
      </c>
      <c r="DB7" s="64" t="s">
        <v>163</v>
      </c>
      <c r="DC7" s="64" t="s">
        <v>164</v>
      </c>
      <c r="DD7" s="64" t="s">
        <v>165</v>
      </c>
      <c r="DE7" s="64" t="s">
        <v>166</v>
      </c>
      <c r="DF7" s="66" t="s">
        <v>167</v>
      </c>
    </row>
    <row r="8" spans="2:110" ht="17.649999999999999" customHeight="1" x14ac:dyDescent="0.7">
      <c r="B8" s="147" t="s">
        <v>134</v>
      </c>
      <c r="C8" s="41" t="s">
        <v>170</v>
      </c>
      <c r="D8" s="2" t="str">
        <f t="shared" ref="D8:S23" si="0">VLOOKUP($B$7-0.000001,$BW$8:$DF$32,MATCH(D$7,$BW$7:$DF$7,0))-VLOOKUP($B$7-0.000001,$AO$36:$BU$60,MATCH($C8,$AO$35:$BU$35,0))
&amp;"/"&amp;
VLOOKUP($B$7-0.000001,$BW$36:$DF$60,MATCH(D$7,$BW$35:$DF$35,0))-VLOOKUP($B$7-0.000001,$AO$8:$BU$32,MATCH($C8,$AO$7:$BU$7,0))</f>
        <v>456/320</v>
      </c>
      <c r="E8" s="2" t="str">
        <f t="shared" si="0"/>
        <v>374/270</v>
      </c>
      <c r="F8" s="2" t="str">
        <f t="shared" si="0"/>
        <v>406/270</v>
      </c>
      <c r="G8" s="2" t="str">
        <f t="shared" si="0"/>
        <v>310/225</v>
      </c>
      <c r="H8" s="2" t="str">
        <f t="shared" si="0"/>
        <v>329/225</v>
      </c>
      <c r="I8" s="2" t="str">
        <f t="shared" si="0"/>
        <v>361/225</v>
      </c>
      <c r="J8" s="2" t="str">
        <f t="shared" si="0"/>
        <v>273/200</v>
      </c>
      <c r="K8" s="2" t="str">
        <f t="shared" si="0"/>
        <v>285/200</v>
      </c>
      <c r="L8" s="2" t="str">
        <f t="shared" si="0"/>
        <v>304/200</v>
      </c>
      <c r="M8" s="2" t="str">
        <f t="shared" si="0"/>
        <v>245/180</v>
      </c>
      <c r="N8" s="2" t="str">
        <f t="shared" si="0"/>
        <v>253/180</v>
      </c>
      <c r="O8" s="2" t="str">
        <f t="shared" si="0"/>
        <v>265/180</v>
      </c>
      <c r="P8" s="2" t="str">
        <f t="shared" si="0"/>
        <v>232/167</v>
      </c>
      <c r="Q8" s="2" t="str">
        <f t="shared" si="0"/>
        <v>240/167</v>
      </c>
      <c r="R8" s="2" t="str">
        <f t="shared" si="0"/>
        <v>225/160</v>
      </c>
      <c r="S8" s="2" t="str">
        <f t="shared" si="0"/>
        <v>233/160</v>
      </c>
      <c r="T8" s="2" t="str">
        <f t="shared" ref="T8:AK22" si="1">VLOOKUP($B$7-0.000001,$BW$8:$DF$32,MATCH(T$7,$BW$7:$DF$7,0))-VLOOKUP($B$7-0.000001,$AO$36:$BU$60,MATCH($C8,$AO$35:$BU$35,0))
&amp;"/"&amp;
VLOOKUP($B$7-0.000001,$BW$36:$DF$60,MATCH(T$7,$BW$35:$DF$35,0))-VLOOKUP($B$7-0.000001,$AO$8:$BU$32,MATCH($C8,$AO$7:$BU$7,0))</f>
        <v>245/160</v>
      </c>
      <c r="U8" s="2" t="str">
        <f t="shared" si="1"/>
        <v>264/160</v>
      </c>
      <c r="V8" s="2" t="str">
        <f t="shared" si="1"/>
        <v>296/160</v>
      </c>
      <c r="W8" s="2" t="str">
        <f t="shared" si="1"/>
        <v>218.5/153.5</v>
      </c>
      <c r="X8" s="2" t="str">
        <f t="shared" si="1"/>
        <v>222/150</v>
      </c>
      <c r="Y8" s="2" t="str">
        <f t="shared" si="1"/>
        <v>214/149</v>
      </c>
      <c r="Z8" s="2" t="str">
        <f t="shared" si="1"/>
        <v>218/145</v>
      </c>
      <c r="AA8" s="2" t="str">
        <f t="shared" si="1"/>
        <v>208/143</v>
      </c>
      <c r="AB8" s="2" t="str">
        <f t="shared" si="1"/>
        <v>212/139</v>
      </c>
      <c r="AC8" s="2" t="str">
        <f t="shared" si="1"/>
        <v>201/136</v>
      </c>
      <c r="AD8" s="2" t="str">
        <f t="shared" si="1"/>
        <v>205/132</v>
      </c>
      <c r="AE8" s="2" t="str">
        <f t="shared" si="1"/>
        <v>194/129</v>
      </c>
      <c r="AF8" s="2" t="str">
        <f t="shared" si="1"/>
        <v>198/125</v>
      </c>
      <c r="AG8" s="2" t="str">
        <f t="shared" si="1"/>
        <v>192/119</v>
      </c>
      <c r="AH8" s="2" t="str">
        <f t="shared" si="1"/>
        <v>185/112</v>
      </c>
      <c r="AI8" s="2" t="str">
        <f t="shared" si="1"/>
        <v>179/106</v>
      </c>
      <c r="AJ8" s="2" t="str">
        <f t="shared" si="1"/>
        <v>172/99</v>
      </c>
      <c r="AK8" s="2" t="str">
        <f t="shared" si="1"/>
        <v>156/83</v>
      </c>
      <c r="AO8" s="73">
        <v>0</v>
      </c>
      <c r="AP8" s="74">
        <v>3</v>
      </c>
      <c r="AQ8" s="32">
        <v>-140</v>
      </c>
      <c r="AR8" s="1">
        <v>-60</v>
      </c>
      <c r="AS8" s="1">
        <v>-20</v>
      </c>
      <c r="AT8" s="1">
        <v>-20</v>
      </c>
      <c r="AU8" s="1">
        <v>-14</v>
      </c>
      <c r="AV8" s="1">
        <v>-14</v>
      </c>
      <c r="AW8" s="75">
        <v>-14</v>
      </c>
      <c r="AX8" s="75">
        <v>-6</v>
      </c>
      <c r="AY8" s="75">
        <v>-6</v>
      </c>
      <c r="AZ8" s="75">
        <v>-6</v>
      </c>
      <c r="BA8" s="75">
        <v>-2</v>
      </c>
      <c r="BB8" s="75">
        <v>-2</v>
      </c>
      <c r="BC8" s="75">
        <v>0</v>
      </c>
      <c r="BD8" s="75">
        <v>0</v>
      </c>
      <c r="BE8" s="75">
        <v>0</v>
      </c>
      <c r="BF8" s="75">
        <v>0</v>
      </c>
      <c r="BG8" s="75">
        <v>0</v>
      </c>
      <c r="BH8" s="75">
        <v>2</v>
      </c>
      <c r="BI8" s="75">
        <v>3</v>
      </c>
      <c r="BJ8" s="75">
        <v>5</v>
      </c>
      <c r="BK8" s="75">
        <v>4</v>
      </c>
      <c r="BL8" s="32">
        <v>6</v>
      </c>
      <c r="BM8" s="32">
        <v>6</v>
      </c>
      <c r="BN8" s="32">
        <v>8</v>
      </c>
      <c r="BO8" s="32">
        <v>10</v>
      </c>
      <c r="BP8" s="32">
        <v>12</v>
      </c>
      <c r="BQ8" s="32">
        <v>16</v>
      </c>
      <c r="BR8" s="32">
        <v>20</v>
      </c>
      <c r="BS8" s="49" t="s">
        <v>200</v>
      </c>
      <c r="BT8" s="32">
        <v>24</v>
      </c>
      <c r="BU8" s="33">
        <v>26</v>
      </c>
      <c r="BW8" s="58">
        <v>0</v>
      </c>
      <c r="BX8" s="45">
        <v>3</v>
      </c>
      <c r="BY8" s="2">
        <v>180</v>
      </c>
      <c r="BZ8" s="2">
        <v>85</v>
      </c>
      <c r="CA8" s="2">
        <v>100</v>
      </c>
      <c r="CB8" s="2">
        <v>34</v>
      </c>
      <c r="CC8" s="2">
        <v>45</v>
      </c>
      <c r="CD8" s="2">
        <v>60</v>
      </c>
      <c r="CE8" s="2">
        <v>24</v>
      </c>
      <c r="CF8" s="2">
        <v>28</v>
      </c>
      <c r="CG8" s="46">
        <v>39</v>
      </c>
      <c r="CH8" s="46">
        <v>12</v>
      </c>
      <c r="CI8" s="46">
        <v>16</v>
      </c>
      <c r="CJ8" s="46">
        <v>20</v>
      </c>
      <c r="CK8" s="46">
        <v>8</v>
      </c>
      <c r="CL8" s="46">
        <v>12</v>
      </c>
      <c r="CM8" s="46">
        <v>6</v>
      </c>
      <c r="CN8" s="46">
        <v>10</v>
      </c>
      <c r="CO8" s="46">
        <v>14</v>
      </c>
      <c r="CP8" s="46">
        <v>25</v>
      </c>
      <c r="CQ8" s="46">
        <v>40</v>
      </c>
      <c r="CR8" s="46">
        <v>3</v>
      </c>
      <c r="CS8" s="46">
        <v>5</v>
      </c>
      <c r="CT8" s="46">
        <v>0</v>
      </c>
      <c r="CU8" s="46">
        <v>0</v>
      </c>
      <c r="CV8" s="46">
        <v>-2</v>
      </c>
      <c r="CW8" s="46">
        <v>-2</v>
      </c>
      <c r="CX8" s="46">
        <v>-4</v>
      </c>
      <c r="CY8" s="46">
        <v>-4</v>
      </c>
      <c r="CZ8" s="46">
        <v>-6</v>
      </c>
      <c r="DA8" s="2">
        <v>-6</v>
      </c>
      <c r="DB8" s="2">
        <v>-10</v>
      </c>
      <c r="DC8" s="2">
        <v>-14</v>
      </c>
      <c r="DD8" s="47" t="s">
        <v>201</v>
      </c>
      <c r="DE8" s="2">
        <v>-18</v>
      </c>
      <c r="DF8" s="61">
        <v>-20</v>
      </c>
    </row>
    <row r="9" spans="2:110" x14ac:dyDescent="0.7">
      <c r="B9" s="148"/>
      <c r="C9" s="41" t="s">
        <v>171</v>
      </c>
      <c r="D9" s="2" t="str">
        <f t="shared" si="0"/>
        <v>406/270</v>
      </c>
      <c r="E9" s="2" t="str">
        <f t="shared" si="0"/>
        <v>324/220</v>
      </c>
      <c r="F9" s="2" t="str">
        <f t="shared" si="0"/>
        <v>356/220</v>
      </c>
      <c r="G9" s="2" t="str">
        <f t="shared" si="0"/>
        <v>260/175</v>
      </c>
      <c r="H9" s="2" t="str">
        <f t="shared" si="0"/>
        <v>279/175</v>
      </c>
      <c r="I9" s="2" t="str">
        <f t="shared" si="0"/>
        <v>311/175</v>
      </c>
      <c r="J9" s="2" t="str">
        <f t="shared" si="0"/>
        <v>223/150</v>
      </c>
      <c r="K9" s="2" t="str">
        <f t="shared" si="0"/>
        <v>235/150</v>
      </c>
      <c r="L9" s="2" t="str">
        <f t="shared" si="0"/>
        <v>254/150</v>
      </c>
      <c r="M9" s="2" t="str">
        <f t="shared" si="0"/>
        <v>195/130</v>
      </c>
      <c r="N9" s="2" t="str">
        <f t="shared" si="0"/>
        <v>203/130</v>
      </c>
      <c r="O9" s="2" t="str">
        <f t="shared" si="0"/>
        <v>215/130</v>
      </c>
      <c r="P9" s="2" t="str">
        <f t="shared" si="0"/>
        <v>182/117</v>
      </c>
      <c r="Q9" s="2" t="str">
        <f t="shared" si="0"/>
        <v>190/117</v>
      </c>
      <c r="R9" s="2" t="str">
        <f t="shared" si="0"/>
        <v>175/110</v>
      </c>
      <c r="S9" s="2" t="str">
        <f t="shared" si="0"/>
        <v>183/110</v>
      </c>
      <c r="T9" s="2" t="str">
        <f t="shared" si="1"/>
        <v>195/110</v>
      </c>
      <c r="U9" s="2" t="str">
        <f t="shared" si="1"/>
        <v>214/110</v>
      </c>
      <c r="V9" s="2" t="str">
        <f t="shared" si="1"/>
        <v>246/110</v>
      </c>
      <c r="W9" s="2" t="str">
        <f t="shared" si="1"/>
        <v>168.5/103.5</v>
      </c>
      <c r="X9" s="2" t="str">
        <f t="shared" si="1"/>
        <v>172/100</v>
      </c>
      <c r="Y9" s="2" t="str">
        <f t="shared" si="1"/>
        <v>164/99</v>
      </c>
      <c r="Z9" s="2" t="str">
        <f t="shared" si="1"/>
        <v>168/95</v>
      </c>
      <c r="AA9" s="2" t="str">
        <f t="shared" si="1"/>
        <v>158/93</v>
      </c>
      <c r="AB9" s="2" t="str">
        <f t="shared" si="1"/>
        <v>162/89</v>
      </c>
      <c r="AC9" s="2" t="str">
        <f t="shared" si="1"/>
        <v>151/86</v>
      </c>
      <c r="AD9" s="2" t="str">
        <f t="shared" si="1"/>
        <v>155/82</v>
      </c>
      <c r="AE9" s="2" t="str">
        <f t="shared" si="1"/>
        <v>144/79</v>
      </c>
      <c r="AF9" s="2" t="str">
        <f t="shared" si="1"/>
        <v>148/75</v>
      </c>
      <c r="AG9" s="2" t="str">
        <f t="shared" si="1"/>
        <v>142/69</v>
      </c>
      <c r="AH9" s="2" t="str">
        <f t="shared" si="1"/>
        <v>135/62</v>
      </c>
      <c r="AI9" s="2" t="str">
        <f t="shared" si="1"/>
        <v>129/56</v>
      </c>
      <c r="AJ9" s="2" t="str">
        <f t="shared" si="1"/>
        <v>122/49</v>
      </c>
      <c r="AK9" s="2" t="str">
        <f t="shared" si="1"/>
        <v>106/33</v>
      </c>
      <c r="AO9" s="73">
        <v>3</v>
      </c>
      <c r="AP9" s="74">
        <v>6</v>
      </c>
      <c r="AQ9" s="1">
        <v>-140</v>
      </c>
      <c r="AR9" s="1">
        <v>-70</v>
      </c>
      <c r="AS9" s="1">
        <v>-30</v>
      </c>
      <c r="AT9" s="1">
        <v>-30</v>
      </c>
      <c r="AU9" s="1">
        <v>-20</v>
      </c>
      <c r="AV9" s="1">
        <v>-20</v>
      </c>
      <c r="AW9" s="75">
        <v>-20</v>
      </c>
      <c r="AX9" s="75">
        <v>-10</v>
      </c>
      <c r="AY9" s="75">
        <v>-10</v>
      </c>
      <c r="AZ9" s="75">
        <v>-10</v>
      </c>
      <c r="BA9" s="75">
        <v>-4</v>
      </c>
      <c r="BB9" s="75">
        <v>-4</v>
      </c>
      <c r="BC9" s="75">
        <v>0</v>
      </c>
      <c r="BD9" s="75">
        <v>0</v>
      </c>
      <c r="BE9" s="75">
        <v>0</v>
      </c>
      <c r="BF9" s="75">
        <v>0</v>
      </c>
      <c r="BG9" s="75">
        <v>0</v>
      </c>
      <c r="BH9" s="75">
        <v>2.5</v>
      </c>
      <c r="BI9" s="75">
        <v>4</v>
      </c>
      <c r="BJ9" s="75">
        <v>6</v>
      </c>
      <c r="BK9" s="75">
        <v>6</v>
      </c>
      <c r="BL9" s="32">
        <v>9</v>
      </c>
      <c r="BM9" s="32">
        <v>9</v>
      </c>
      <c r="BN9" s="32">
        <v>12</v>
      </c>
      <c r="BO9" s="32">
        <v>16</v>
      </c>
      <c r="BP9" s="32">
        <v>20</v>
      </c>
      <c r="BQ9" s="32">
        <v>23</v>
      </c>
      <c r="BR9" s="32">
        <v>27</v>
      </c>
      <c r="BS9" s="49" t="s">
        <v>200</v>
      </c>
      <c r="BT9" s="32">
        <v>31</v>
      </c>
      <c r="BU9" s="33">
        <v>36</v>
      </c>
      <c r="BW9" s="58">
        <v>3</v>
      </c>
      <c r="BX9" s="45">
        <v>6</v>
      </c>
      <c r="BY9" s="2">
        <v>188</v>
      </c>
      <c r="BZ9" s="2">
        <v>100</v>
      </c>
      <c r="CA9" s="2">
        <v>118</v>
      </c>
      <c r="CB9" s="2">
        <v>48</v>
      </c>
      <c r="CC9" s="2">
        <v>60</v>
      </c>
      <c r="CD9" s="2">
        <v>78</v>
      </c>
      <c r="CE9" s="2">
        <v>32</v>
      </c>
      <c r="CF9" s="2">
        <v>38</v>
      </c>
      <c r="CG9" s="46">
        <v>50</v>
      </c>
      <c r="CH9" s="46">
        <v>18</v>
      </c>
      <c r="CI9" s="46">
        <v>22</v>
      </c>
      <c r="CJ9" s="46">
        <v>28</v>
      </c>
      <c r="CK9" s="46">
        <v>12</v>
      </c>
      <c r="CL9" s="46">
        <v>16</v>
      </c>
      <c r="CM9" s="46">
        <v>8</v>
      </c>
      <c r="CN9" s="46">
        <v>12</v>
      </c>
      <c r="CO9" s="46">
        <v>18</v>
      </c>
      <c r="CP9" s="46">
        <v>30</v>
      </c>
      <c r="CQ9" s="46">
        <v>48</v>
      </c>
      <c r="CR9" s="46">
        <v>4</v>
      </c>
      <c r="CS9" s="46">
        <v>6</v>
      </c>
      <c r="CT9" s="46">
        <v>2</v>
      </c>
      <c r="CU9" s="46">
        <v>3</v>
      </c>
      <c r="CV9" s="46">
        <v>-1</v>
      </c>
      <c r="CW9" s="46">
        <v>0</v>
      </c>
      <c r="CX9" s="46">
        <v>-5</v>
      </c>
      <c r="CY9" s="46">
        <v>-4</v>
      </c>
      <c r="CZ9" s="46">
        <v>-9</v>
      </c>
      <c r="DA9" s="2">
        <v>-8</v>
      </c>
      <c r="DB9" s="2">
        <v>-11</v>
      </c>
      <c r="DC9" s="2">
        <v>-15</v>
      </c>
      <c r="DD9" s="47" t="s">
        <v>201</v>
      </c>
      <c r="DE9" s="2">
        <v>-19</v>
      </c>
      <c r="DF9" s="61">
        <v>-24</v>
      </c>
    </row>
    <row r="10" spans="2:110" x14ac:dyDescent="0.7">
      <c r="B10" s="148"/>
      <c r="C10" s="41" t="s">
        <v>172</v>
      </c>
      <c r="D10" s="2" t="str">
        <f t="shared" si="0"/>
        <v>342/225</v>
      </c>
      <c r="E10" s="2" t="str">
        <f t="shared" si="0"/>
        <v>260/175</v>
      </c>
      <c r="F10" s="2" t="str">
        <f t="shared" si="0"/>
        <v>292/175</v>
      </c>
      <c r="G10" s="2" t="str">
        <f t="shared" si="0"/>
        <v>196/130</v>
      </c>
      <c r="H10" s="2" t="str">
        <f t="shared" si="0"/>
        <v>215/130</v>
      </c>
      <c r="I10" s="2" t="str">
        <f t="shared" si="0"/>
        <v>247/130</v>
      </c>
      <c r="J10" s="2" t="str">
        <f t="shared" si="0"/>
        <v>159/105</v>
      </c>
      <c r="K10" s="2" t="str">
        <f t="shared" si="0"/>
        <v>171/105</v>
      </c>
      <c r="L10" s="2" t="str">
        <f t="shared" si="0"/>
        <v>190/105</v>
      </c>
      <c r="M10" s="2" t="str">
        <f t="shared" si="0"/>
        <v>131/85</v>
      </c>
      <c r="N10" s="2" t="str">
        <f t="shared" si="0"/>
        <v>139/85</v>
      </c>
      <c r="O10" s="2" t="str">
        <f t="shared" si="0"/>
        <v>151/85</v>
      </c>
      <c r="P10" s="2" t="str">
        <f t="shared" si="0"/>
        <v>118/72</v>
      </c>
      <c r="Q10" s="2" t="str">
        <f t="shared" si="0"/>
        <v>126/72</v>
      </c>
      <c r="R10" s="2" t="str">
        <f t="shared" si="0"/>
        <v>111/65</v>
      </c>
      <c r="S10" s="2" t="str">
        <f t="shared" si="0"/>
        <v>119/65</v>
      </c>
      <c r="T10" s="2" t="str">
        <f t="shared" si="1"/>
        <v>131/65</v>
      </c>
      <c r="U10" s="2" t="str">
        <f t="shared" si="1"/>
        <v>150/65</v>
      </c>
      <c r="V10" s="2" t="str">
        <f t="shared" si="1"/>
        <v>182/65</v>
      </c>
      <c r="W10" s="2" t="str">
        <f t="shared" si="1"/>
        <v>104.5/58.5</v>
      </c>
      <c r="X10" s="2" t="str">
        <f t="shared" si="1"/>
        <v>108/55</v>
      </c>
      <c r="Y10" s="2" t="str">
        <f t="shared" si="1"/>
        <v>100/54</v>
      </c>
      <c r="Z10" s="2" t="str">
        <f t="shared" si="1"/>
        <v>104/50</v>
      </c>
      <c r="AA10" s="2" t="str">
        <f t="shared" si="1"/>
        <v>94/48</v>
      </c>
      <c r="AB10" s="2" t="str">
        <f t="shared" si="1"/>
        <v>98/44</v>
      </c>
      <c r="AC10" s="2" t="str">
        <f t="shared" si="1"/>
        <v>87/41</v>
      </c>
      <c r="AD10" s="2" t="str">
        <f t="shared" si="1"/>
        <v>91/37</v>
      </c>
      <c r="AE10" s="2" t="str">
        <f t="shared" si="1"/>
        <v>80/34</v>
      </c>
      <c r="AF10" s="2" t="str">
        <f t="shared" si="1"/>
        <v>84/30</v>
      </c>
      <c r="AG10" s="2" t="str">
        <f t="shared" si="1"/>
        <v>78/24</v>
      </c>
      <c r="AH10" s="2" t="str">
        <f t="shared" si="1"/>
        <v>71/17</v>
      </c>
      <c r="AI10" s="2" t="str">
        <f t="shared" si="1"/>
        <v>65/11</v>
      </c>
      <c r="AJ10" s="2" t="str">
        <f t="shared" si="1"/>
        <v>58/4</v>
      </c>
      <c r="AK10" s="2" t="str">
        <f t="shared" si="1"/>
        <v>42/-12</v>
      </c>
      <c r="AO10" s="73">
        <v>6</v>
      </c>
      <c r="AP10" s="74">
        <v>10</v>
      </c>
      <c r="AQ10" s="1">
        <v>-150</v>
      </c>
      <c r="AR10" s="1">
        <v>-80</v>
      </c>
      <c r="AS10" s="1">
        <v>-40</v>
      </c>
      <c r="AT10" s="1">
        <v>-40</v>
      </c>
      <c r="AU10" s="1">
        <v>-25</v>
      </c>
      <c r="AV10" s="1">
        <v>-25</v>
      </c>
      <c r="AW10" s="75">
        <v>-25</v>
      </c>
      <c r="AX10" s="75">
        <v>-13</v>
      </c>
      <c r="AY10" s="75">
        <v>-13</v>
      </c>
      <c r="AZ10" s="75">
        <v>-13</v>
      </c>
      <c r="BA10" s="75">
        <v>-5</v>
      </c>
      <c r="BB10" s="75">
        <v>-5</v>
      </c>
      <c r="BC10" s="75">
        <v>0</v>
      </c>
      <c r="BD10" s="75">
        <v>0</v>
      </c>
      <c r="BE10" s="75">
        <v>0</v>
      </c>
      <c r="BF10" s="75">
        <v>0</v>
      </c>
      <c r="BG10" s="75">
        <v>0</v>
      </c>
      <c r="BH10" s="75">
        <v>3</v>
      </c>
      <c r="BI10" s="75">
        <v>4.5</v>
      </c>
      <c r="BJ10" s="75">
        <v>7</v>
      </c>
      <c r="BK10" s="75">
        <v>7</v>
      </c>
      <c r="BL10" s="32">
        <v>10</v>
      </c>
      <c r="BM10" s="32">
        <v>12</v>
      </c>
      <c r="BN10" s="32">
        <v>15</v>
      </c>
      <c r="BO10" s="32">
        <v>19</v>
      </c>
      <c r="BP10" s="32">
        <v>24</v>
      </c>
      <c r="BQ10" s="32">
        <v>28</v>
      </c>
      <c r="BR10" s="32">
        <v>32</v>
      </c>
      <c r="BS10" s="49" t="s">
        <v>200</v>
      </c>
      <c r="BT10" s="32">
        <v>37</v>
      </c>
      <c r="BU10" s="33">
        <v>43</v>
      </c>
      <c r="BW10" s="58">
        <v>6</v>
      </c>
      <c r="BX10" s="45">
        <v>10</v>
      </c>
      <c r="BY10" s="2">
        <v>208</v>
      </c>
      <c r="BZ10" s="2">
        <v>116</v>
      </c>
      <c r="CA10" s="2">
        <v>138</v>
      </c>
      <c r="CB10" s="2">
        <v>62</v>
      </c>
      <c r="CC10" s="2">
        <v>76</v>
      </c>
      <c r="CD10" s="2">
        <v>98</v>
      </c>
      <c r="CE10" s="2">
        <v>40</v>
      </c>
      <c r="CF10" s="2">
        <v>47</v>
      </c>
      <c r="CG10" s="46">
        <v>61</v>
      </c>
      <c r="CH10" s="46">
        <v>22</v>
      </c>
      <c r="CI10" s="46">
        <v>28</v>
      </c>
      <c r="CJ10" s="46">
        <v>35</v>
      </c>
      <c r="CK10" s="46">
        <v>14</v>
      </c>
      <c r="CL10" s="46">
        <v>20</v>
      </c>
      <c r="CM10" s="46">
        <v>9</v>
      </c>
      <c r="CN10" s="46">
        <v>15</v>
      </c>
      <c r="CO10" s="46">
        <v>22</v>
      </c>
      <c r="CP10" s="46">
        <v>36</v>
      </c>
      <c r="CQ10" s="46">
        <v>58</v>
      </c>
      <c r="CR10" s="46">
        <v>4.5</v>
      </c>
      <c r="CS10" s="46">
        <v>7</v>
      </c>
      <c r="CT10" s="46">
        <v>2</v>
      </c>
      <c r="CU10" s="46">
        <v>5</v>
      </c>
      <c r="CV10" s="46">
        <v>-3</v>
      </c>
      <c r="CW10" s="46">
        <v>0</v>
      </c>
      <c r="CX10" s="46">
        <v>-7</v>
      </c>
      <c r="CY10" s="46">
        <v>-4</v>
      </c>
      <c r="CZ10" s="46">
        <v>-12</v>
      </c>
      <c r="DA10" s="2">
        <v>-9</v>
      </c>
      <c r="DB10" s="2">
        <v>-13</v>
      </c>
      <c r="DC10" s="2">
        <v>-17</v>
      </c>
      <c r="DD10" s="47" t="s">
        <v>201</v>
      </c>
      <c r="DE10" s="2">
        <v>-22</v>
      </c>
      <c r="DF10" s="61">
        <v>-28</v>
      </c>
    </row>
    <row r="11" spans="2:110" x14ac:dyDescent="0.7">
      <c r="B11" s="148"/>
      <c r="C11" s="41" t="s">
        <v>173</v>
      </c>
      <c r="D11" s="2" t="str">
        <f t="shared" si="0"/>
        <v>361/225</v>
      </c>
      <c r="E11" s="2" t="str">
        <f t="shared" si="0"/>
        <v>279/175</v>
      </c>
      <c r="F11" s="2" t="str">
        <f t="shared" si="0"/>
        <v>311/175</v>
      </c>
      <c r="G11" s="2" t="str">
        <f t="shared" si="0"/>
        <v>215/130</v>
      </c>
      <c r="H11" s="2" t="str">
        <f t="shared" si="0"/>
        <v>234/130</v>
      </c>
      <c r="I11" s="2" t="str">
        <f t="shared" si="0"/>
        <v>266/130</v>
      </c>
      <c r="J11" s="2" t="str">
        <f t="shared" si="0"/>
        <v>178/105</v>
      </c>
      <c r="K11" s="2" t="str">
        <f t="shared" si="0"/>
        <v>190/105</v>
      </c>
      <c r="L11" s="2" t="str">
        <f t="shared" si="0"/>
        <v>209/105</v>
      </c>
      <c r="M11" s="2" t="str">
        <f t="shared" si="0"/>
        <v>150/85</v>
      </c>
      <c r="N11" s="2" t="str">
        <f t="shared" si="0"/>
        <v>158/85</v>
      </c>
      <c r="O11" s="2" t="str">
        <f t="shared" si="0"/>
        <v>170/85</v>
      </c>
      <c r="P11" s="2" t="str">
        <f t="shared" si="0"/>
        <v>137/72</v>
      </c>
      <c r="Q11" s="2" t="str">
        <f t="shared" si="0"/>
        <v>145/72</v>
      </c>
      <c r="R11" s="2" t="str">
        <f t="shared" si="0"/>
        <v>130/65</v>
      </c>
      <c r="S11" s="2" t="str">
        <f t="shared" si="0"/>
        <v>138/65</v>
      </c>
      <c r="T11" s="2" t="str">
        <f t="shared" si="1"/>
        <v>150/65</v>
      </c>
      <c r="U11" s="2" t="str">
        <f t="shared" si="1"/>
        <v>169/65</v>
      </c>
      <c r="V11" s="2" t="str">
        <f t="shared" si="1"/>
        <v>201/65</v>
      </c>
      <c r="W11" s="2" t="str">
        <f t="shared" si="1"/>
        <v>123.5/58.5</v>
      </c>
      <c r="X11" s="2" t="str">
        <f t="shared" si="1"/>
        <v>127/55</v>
      </c>
      <c r="Y11" s="2" t="str">
        <f t="shared" si="1"/>
        <v>119/54</v>
      </c>
      <c r="Z11" s="2" t="str">
        <f t="shared" si="1"/>
        <v>123/50</v>
      </c>
      <c r="AA11" s="2" t="str">
        <f t="shared" si="1"/>
        <v>113/48</v>
      </c>
      <c r="AB11" s="2" t="str">
        <f t="shared" si="1"/>
        <v>117/44</v>
      </c>
      <c r="AC11" s="2" t="str">
        <f t="shared" si="1"/>
        <v>106/41</v>
      </c>
      <c r="AD11" s="2" t="str">
        <f t="shared" si="1"/>
        <v>110/37</v>
      </c>
      <c r="AE11" s="2" t="str">
        <f t="shared" si="1"/>
        <v>99/34</v>
      </c>
      <c r="AF11" s="2" t="str">
        <f t="shared" si="1"/>
        <v>103/30</v>
      </c>
      <c r="AG11" s="2" t="str">
        <f t="shared" si="1"/>
        <v>97/24</v>
      </c>
      <c r="AH11" s="2" t="str">
        <f t="shared" si="1"/>
        <v>90/17</v>
      </c>
      <c r="AI11" s="2" t="str">
        <f t="shared" si="1"/>
        <v>84/11</v>
      </c>
      <c r="AJ11" s="2" t="str">
        <f t="shared" si="1"/>
        <v>77/4</v>
      </c>
      <c r="AK11" s="2" t="str">
        <f t="shared" si="1"/>
        <v>61/-12</v>
      </c>
      <c r="AO11" s="76">
        <v>10</v>
      </c>
      <c r="AP11" s="77">
        <v>14</v>
      </c>
      <c r="AQ11" s="1">
        <v>-150</v>
      </c>
      <c r="AR11" s="1">
        <v>-95</v>
      </c>
      <c r="AS11" s="1">
        <v>-50</v>
      </c>
      <c r="AT11" s="1">
        <v>-50</v>
      </c>
      <c r="AU11" s="1">
        <v>-32</v>
      </c>
      <c r="AV11" s="1">
        <v>-32</v>
      </c>
      <c r="AW11" s="75">
        <v>-32</v>
      </c>
      <c r="AX11" s="75">
        <v>-16</v>
      </c>
      <c r="AY11" s="75">
        <v>-16</v>
      </c>
      <c r="AZ11" s="75">
        <v>-16</v>
      </c>
      <c r="BA11" s="75">
        <v>-6</v>
      </c>
      <c r="BB11" s="75">
        <v>-6</v>
      </c>
      <c r="BC11" s="75">
        <v>0</v>
      </c>
      <c r="BD11" s="75">
        <v>0</v>
      </c>
      <c r="BE11" s="75">
        <v>0</v>
      </c>
      <c r="BF11" s="75">
        <v>0</v>
      </c>
      <c r="BG11" s="75">
        <v>0</v>
      </c>
      <c r="BH11" s="75">
        <v>1</v>
      </c>
      <c r="BI11" s="75">
        <v>5.5</v>
      </c>
      <c r="BJ11" s="75">
        <v>9</v>
      </c>
      <c r="BK11" s="75">
        <v>9</v>
      </c>
      <c r="BL11" s="32">
        <v>12</v>
      </c>
      <c r="BM11" s="32">
        <v>15</v>
      </c>
      <c r="BN11" s="32">
        <v>18</v>
      </c>
      <c r="BO11" s="32">
        <v>23</v>
      </c>
      <c r="BP11" s="32">
        <v>29</v>
      </c>
      <c r="BQ11" s="32">
        <v>34</v>
      </c>
      <c r="BR11" s="32">
        <v>39</v>
      </c>
      <c r="BS11" s="49" t="s">
        <v>200</v>
      </c>
      <c r="BT11" s="32">
        <v>44</v>
      </c>
      <c r="BU11" s="33">
        <v>51</v>
      </c>
      <c r="BW11" s="59">
        <v>10</v>
      </c>
      <c r="BX11" s="48">
        <v>14</v>
      </c>
      <c r="BY11" s="2">
        <v>220</v>
      </c>
      <c r="BZ11" s="2">
        <v>138</v>
      </c>
      <c r="CA11" s="2">
        <v>165</v>
      </c>
      <c r="CB11" s="2">
        <v>77</v>
      </c>
      <c r="CC11" s="2">
        <v>93</v>
      </c>
      <c r="CD11" s="2">
        <v>120</v>
      </c>
      <c r="CE11" s="2">
        <v>50</v>
      </c>
      <c r="CF11" s="2">
        <v>59</v>
      </c>
      <c r="CG11" s="46">
        <v>75</v>
      </c>
      <c r="CH11" s="46">
        <v>27</v>
      </c>
      <c r="CI11" s="46">
        <v>34</v>
      </c>
      <c r="CJ11" s="46">
        <v>43</v>
      </c>
      <c r="CK11" s="46">
        <v>17</v>
      </c>
      <c r="CL11" s="46">
        <v>24</v>
      </c>
      <c r="CM11" s="46">
        <v>11</v>
      </c>
      <c r="CN11" s="46">
        <v>18</v>
      </c>
      <c r="CO11" s="46">
        <v>27</v>
      </c>
      <c r="CP11" s="46">
        <v>43</v>
      </c>
      <c r="CQ11" s="46">
        <v>70</v>
      </c>
      <c r="CR11" s="46">
        <v>5.5</v>
      </c>
      <c r="CS11" s="46">
        <v>9</v>
      </c>
      <c r="CT11" s="46">
        <v>2</v>
      </c>
      <c r="CU11" s="46">
        <v>6</v>
      </c>
      <c r="CV11" s="46">
        <v>-4</v>
      </c>
      <c r="CW11" s="46">
        <v>0</v>
      </c>
      <c r="CX11" s="46">
        <v>-9</v>
      </c>
      <c r="CY11" s="46">
        <v>-5</v>
      </c>
      <c r="CZ11" s="46">
        <v>-15</v>
      </c>
      <c r="DA11" s="2">
        <v>-11</v>
      </c>
      <c r="DB11" s="2">
        <v>-16</v>
      </c>
      <c r="DC11" s="2">
        <v>-21</v>
      </c>
      <c r="DD11" s="47" t="s">
        <v>201</v>
      </c>
      <c r="DE11" s="2">
        <v>-26</v>
      </c>
      <c r="DF11" s="61">
        <v>-33</v>
      </c>
    </row>
    <row r="12" spans="2:110" x14ac:dyDescent="0.7">
      <c r="B12" s="148"/>
      <c r="C12" s="41" t="s">
        <v>174</v>
      </c>
      <c r="D12" s="2" t="str">
        <f t="shared" si="0"/>
        <v>305/200</v>
      </c>
      <c r="E12" s="2" t="str">
        <f t="shared" si="0"/>
        <v>223/150</v>
      </c>
      <c r="F12" s="2" t="str">
        <f t="shared" si="0"/>
        <v>255/150</v>
      </c>
      <c r="G12" s="2" t="str">
        <f t="shared" si="0"/>
        <v>159/105</v>
      </c>
      <c r="H12" s="2" t="str">
        <f t="shared" si="0"/>
        <v>178/105</v>
      </c>
      <c r="I12" s="2" t="str">
        <f t="shared" si="0"/>
        <v>210/105</v>
      </c>
      <c r="J12" s="2" t="str">
        <f t="shared" si="0"/>
        <v>122/80</v>
      </c>
      <c r="K12" s="2" t="str">
        <f t="shared" si="0"/>
        <v>134/80</v>
      </c>
      <c r="L12" s="2" t="str">
        <f t="shared" si="0"/>
        <v>153/80</v>
      </c>
      <c r="M12" s="2" t="str">
        <f t="shared" si="0"/>
        <v>94/60</v>
      </c>
      <c r="N12" s="2" t="str">
        <f t="shared" si="0"/>
        <v>102/60</v>
      </c>
      <c r="O12" s="2" t="str">
        <f t="shared" si="0"/>
        <v>114/60</v>
      </c>
      <c r="P12" s="2" t="str">
        <f t="shared" si="0"/>
        <v>81/47</v>
      </c>
      <c r="Q12" s="2" t="str">
        <f t="shared" si="0"/>
        <v>89/47</v>
      </c>
      <c r="R12" s="2" t="str">
        <f t="shared" si="0"/>
        <v>74/40</v>
      </c>
      <c r="S12" s="2" t="str">
        <f t="shared" si="0"/>
        <v>82/40</v>
      </c>
      <c r="T12" s="2" t="str">
        <f t="shared" si="1"/>
        <v>94/40</v>
      </c>
      <c r="U12" s="2" t="str">
        <f t="shared" si="1"/>
        <v>113/40</v>
      </c>
      <c r="V12" s="2" t="str">
        <f t="shared" si="1"/>
        <v>145/40</v>
      </c>
      <c r="W12" s="2" t="str">
        <f t="shared" si="1"/>
        <v>67.5/33.5</v>
      </c>
      <c r="X12" s="2" t="str">
        <f t="shared" si="1"/>
        <v>71/30</v>
      </c>
      <c r="Y12" s="2" t="str">
        <f t="shared" si="1"/>
        <v>63/29</v>
      </c>
      <c r="Z12" s="2" t="str">
        <f t="shared" si="1"/>
        <v>67/25</v>
      </c>
      <c r="AA12" s="2" t="str">
        <f t="shared" si="1"/>
        <v>57/23</v>
      </c>
      <c r="AB12" s="2" t="str">
        <f t="shared" si="1"/>
        <v>61/19</v>
      </c>
      <c r="AC12" s="2" t="str">
        <f t="shared" si="1"/>
        <v>50/16</v>
      </c>
      <c r="AD12" s="2" t="str">
        <f t="shared" si="1"/>
        <v>54/12</v>
      </c>
      <c r="AE12" s="2" t="str">
        <f t="shared" si="1"/>
        <v>43/9</v>
      </c>
      <c r="AF12" s="2" t="str">
        <f t="shared" si="1"/>
        <v>47/5</v>
      </c>
      <c r="AG12" s="2" t="str">
        <f t="shared" si="1"/>
        <v>41/-1</v>
      </c>
      <c r="AH12" s="2" t="str">
        <f t="shared" si="1"/>
        <v>34/-8</v>
      </c>
      <c r="AI12" s="2" t="str">
        <f t="shared" si="1"/>
        <v>28/-14</v>
      </c>
      <c r="AJ12" s="2" t="str">
        <f t="shared" si="1"/>
        <v>21/-21</v>
      </c>
      <c r="AK12" s="2" t="str">
        <f t="shared" si="1"/>
        <v>5/-37</v>
      </c>
      <c r="AO12" s="76">
        <v>14</v>
      </c>
      <c r="AP12" s="77">
        <v>18</v>
      </c>
      <c r="AQ12" s="1">
        <v>-150</v>
      </c>
      <c r="AR12" s="1">
        <v>-95</v>
      </c>
      <c r="AS12" s="1">
        <v>-50</v>
      </c>
      <c r="AT12" s="1">
        <v>-50</v>
      </c>
      <c r="AU12" s="1">
        <v>-32</v>
      </c>
      <c r="AV12" s="1">
        <v>-32</v>
      </c>
      <c r="AW12" s="75">
        <v>-32</v>
      </c>
      <c r="AX12" s="75">
        <v>-16</v>
      </c>
      <c r="AY12" s="75">
        <v>-16</v>
      </c>
      <c r="AZ12" s="75">
        <v>-16</v>
      </c>
      <c r="BA12" s="75">
        <v>-6</v>
      </c>
      <c r="BB12" s="75">
        <v>-6</v>
      </c>
      <c r="BC12" s="75">
        <v>0</v>
      </c>
      <c r="BD12" s="75">
        <v>0</v>
      </c>
      <c r="BE12" s="75">
        <v>0</v>
      </c>
      <c r="BF12" s="75">
        <v>0</v>
      </c>
      <c r="BG12" s="75">
        <v>0</v>
      </c>
      <c r="BH12" s="75">
        <v>1</v>
      </c>
      <c r="BI12" s="75">
        <v>5.5</v>
      </c>
      <c r="BJ12" s="75">
        <v>9</v>
      </c>
      <c r="BK12" s="75">
        <v>9</v>
      </c>
      <c r="BL12" s="32">
        <v>12</v>
      </c>
      <c r="BM12" s="32">
        <v>15</v>
      </c>
      <c r="BN12" s="32">
        <v>18</v>
      </c>
      <c r="BO12" s="32">
        <v>23</v>
      </c>
      <c r="BP12" s="32">
        <v>29</v>
      </c>
      <c r="BQ12" s="32">
        <v>34</v>
      </c>
      <c r="BR12" s="32">
        <v>39</v>
      </c>
      <c r="BS12" s="49" t="s">
        <v>200</v>
      </c>
      <c r="BT12" s="32">
        <v>44</v>
      </c>
      <c r="BU12" s="33">
        <v>56</v>
      </c>
      <c r="BW12" s="59">
        <v>14</v>
      </c>
      <c r="BX12" s="48">
        <v>18</v>
      </c>
      <c r="BY12" s="2">
        <v>220</v>
      </c>
      <c r="BZ12" s="2">
        <v>138</v>
      </c>
      <c r="CA12" s="2">
        <v>165</v>
      </c>
      <c r="CB12" s="2">
        <v>77</v>
      </c>
      <c r="CC12" s="2">
        <v>93</v>
      </c>
      <c r="CD12" s="2">
        <v>120</v>
      </c>
      <c r="CE12" s="2">
        <v>50</v>
      </c>
      <c r="CF12" s="2">
        <v>59</v>
      </c>
      <c r="CG12" s="46">
        <v>75</v>
      </c>
      <c r="CH12" s="46">
        <v>27</v>
      </c>
      <c r="CI12" s="46">
        <v>34</v>
      </c>
      <c r="CJ12" s="46">
        <v>43</v>
      </c>
      <c r="CK12" s="46">
        <v>17</v>
      </c>
      <c r="CL12" s="46">
        <v>24</v>
      </c>
      <c r="CM12" s="46">
        <v>11</v>
      </c>
      <c r="CN12" s="46">
        <v>18</v>
      </c>
      <c r="CO12" s="46">
        <v>27</v>
      </c>
      <c r="CP12" s="46">
        <v>43</v>
      </c>
      <c r="CQ12" s="46">
        <v>70</v>
      </c>
      <c r="CR12" s="46">
        <v>5.5</v>
      </c>
      <c r="CS12" s="46">
        <v>9</v>
      </c>
      <c r="CT12" s="46">
        <v>2</v>
      </c>
      <c r="CU12" s="46">
        <v>6</v>
      </c>
      <c r="CV12" s="46">
        <v>-4</v>
      </c>
      <c r="CW12" s="46">
        <v>0</v>
      </c>
      <c r="CX12" s="46">
        <v>-9</v>
      </c>
      <c r="CY12" s="46">
        <v>-5</v>
      </c>
      <c r="CZ12" s="46">
        <v>-15</v>
      </c>
      <c r="DA12" s="2">
        <v>-11</v>
      </c>
      <c r="DB12" s="2">
        <v>-16</v>
      </c>
      <c r="DC12" s="2">
        <v>-21</v>
      </c>
      <c r="DD12" s="47" t="s">
        <v>201</v>
      </c>
      <c r="DE12" s="2">
        <v>-26</v>
      </c>
      <c r="DF12" s="61">
        <v>-38</v>
      </c>
    </row>
    <row r="13" spans="2:110" x14ac:dyDescent="0.7">
      <c r="B13" s="148"/>
      <c r="C13" s="41" t="s">
        <v>175</v>
      </c>
      <c r="D13" s="2" t="str">
        <f t="shared" si="0"/>
        <v>317/200</v>
      </c>
      <c r="E13" s="2" t="str">
        <f t="shared" si="0"/>
        <v>235/150</v>
      </c>
      <c r="F13" s="2" t="str">
        <f t="shared" si="0"/>
        <v>267/150</v>
      </c>
      <c r="G13" s="2" t="str">
        <f t="shared" si="0"/>
        <v>171/105</v>
      </c>
      <c r="H13" s="2" t="str">
        <f t="shared" si="0"/>
        <v>190/105</v>
      </c>
      <c r="I13" s="2" t="str">
        <f t="shared" si="0"/>
        <v>222/105</v>
      </c>
      <c r="J13" s="2" t="str">
        <f t="shared" si="0"/>
        <v>134/80</v>
      </c>
      <c r="K13" s="2" t="str">
        <f t="shared" si="0"/>
        <v>146/80</v>
      </c>
      <c r="L13" s="2" t="str">
        <f t="shared" si="0"/>
        <v>165/80</v>
      </c>
      <c r="M13" s="2" t="str">
        <f t="shared" si="0"/>
        <v>106/60</v>
      </c>
      <c r="N13" s="2" t="str">
        <f t="shared" si="0"/>
        <v>114/60</v>
      </c>
      <c r="O13" s="2" t="str">
        <f t="shared" si="0"/>
        <v>126/60</v>
      </c>
      <c r="P13" s="2" t="str">
        <f t="shared" si="0"/>
        <v>93/47</v>
      </c>
      <c r="Q13" s="2" t="str">
        <f t="shared" si="0"/>
        <v>101/47</v>
      </c>
      <c r="R13" s="2" t="str">
        <f t="shared" si="0"/>
        <v>86/40</v>
      </c>
      <c r="S13" s="2" t="str">
        <f t="shared" si="0"/>
        <v>94/40</v>
      </c>
      <c r="T13" s="2" t="str">
        <f t="shared" si="1"/>
        <v>106/40</v>
      </c>
      <c r="U13" s="2" t="str">
        <f t="shared" si="1"/>
        <v>125/40</v>
      </c>
      <c r="V13" s="2" t="str">
        <f t="shared" si="1"/>
        <v>157/40</v>
      </c>
      <c r="W13" s="2" t="str">
        <f t="shared" si="1"/>
        <v>79.5/33.5</v>
      </c>
      <c r="X13" s="2" t="str">
        <f t="shared" si="1"/>
        <v>83/30</v>
      </c>
      <c r="Y13" s="2" t="str">
        <f t="shared" si="1"/>
        <v>75/29</v>
      </c>
      <c r="Z13" s="2" t="str">
        <f t="shared" si="1"/>
        <v>79/25</v>
      </c>
      <c r="AA13" s="2" t="str">
        <f t="shared" si="1"/>
        <v>69/23</v>
      </c>
      <c r="AB13" s="2" t="str">
        <f t="shared" si="1"/>
        <v>73/19</v>
      </c>
      <c r="AC13" s="2" t="str">
        <f t="shared" si="1"/>
        <v>62/16</v>
      </c>
      <c r="AD13" s="2" t="str">
        <f t="shared" si="1"/>
        <v>66/12</v>
      </c>
      <c r="AE13" s="2" t="str">
        <f t="shared" si="1"/>
        <v>55/9</v>
      </c>
      <c r="AF13" s="2" t="str">
        <f t="shared" si="1"/>
        <v>59/5</v>
      </c>
      <c r="AG13" s="2" t="str">
        <f t="shared" si="1"/>
        <v>53/-1</v>
      </c>
      <c r="AH13" s="2" t="str">
        <f t="shared" si="1"/>
        <v>46/-8</v>
      </c>
      <c r="AI13" s="2" t="str">
        <f t="shared" si="1"/>
        <v>40/-14</v>
      </c>
      <c r="AJ13" s="2" t="str">
        <f t="shared" si="1"/>
        <v>33/-21</v>
      </c>
      <c r="AK13" s="2" t="str">
        <f t="shared" si="1"/>
        <v>17/-37</v>
      </c>
      <c r="AO13" s="76">
        <v>18</v>
      </c>
      <c r="AP13" s="77">
        <v>24</v>
      </c>
      <c r="AQ13" s="1">
        <v>-160</v>
      </c>
      <c r="AR13" s="1">
        <v>-110</v>
      </c>
      <c r="AS13" s="1">
        <v>-65</v>
      </c>
      <c r="AT13" s="1">
        <v>-65</v>
      </c>
      <c r="AU13" s="1">
        <v>-40</v>
      </c>
      <c r="AV13" s="1">
        <v>-40</v>
      </c>
      <c r="AW13" s="75">
        <v>-40</v>
      </c>
      <c r="AX13" s="75">
        <v>-20</v>
      </c>
      <c r="AY13" s="75">
        <v>-20</v>
      </c>
      <c r="AZ13" s="75">
        <v>-20</v>
      </c>
      <c r="BA13" s="75">
        <v>-7</v>
      </c>
      <c r="BB13" s="75">
        <v>-7</v>
      </c>
      <c r="BC13" s="75">
        <v>0</v>
      </c>
      <c r="BD13" s="75">
        <v>0</v>
      </c>
      <c r="BE13" s="75">
        <v>0</v>
      </c>
      <c r="BF13" s="75">
        <v>0</v>
      </c>
      <c r="BG13" s="75">
        <v>0</v>
      </c>
      <c r="BH13" s="75">
        <v>4.5</v>
      </c>
      <c r="BI13" s="75">
        <v>6.5</v>
      </c>
      <c r="BJ13" s="75">
        <v>10</v>
      </c>
      <c r="BK13" s="75">
        <v>11</v>
      </c>
      <c r="BL13" s="32">
        <v>15</v>
      </c>
      <c r="BM13" s="32">
        <v>17</v>
      </c>
      <c r="BN13" s="32">
        <v>21</v>
      </c>
      <c r="BO13" s="32">
        <v>28</v>
      </c>
      <c r="BP13" s="32">
        <v>35</v>
      </c>
      <c r="BQ13" s="32">
        <v>41</v>
      </c>
      <c r="BR13" s="32">
        <v>48</v>
      </c>
      <c r="BS13" s="49" t="s">
        <v>200</v>
      </c>
      <c r="BT13" s="32">
        <v>54</v>
      </c>
      <c r="BU13" s="33">
        <v>67</v>
      </c>
      <c r="BW13" s="59">
        <v>18</v>
      </c>
      <c r="BX13" s="48">
        <v>24</v>
      </c>
      <c r="BY13" s="2">
        <v>244</v>
      </c>
      <c r="BZ13" s="2">
        <v>162</v>
      </c>
      <c r="CA13" s="2">
        <v>194</v>
      </c>
      <c r="CB13" s="2">
        <v>98</v>
      </c>
      <c r="CC13" s="2">
        <v>117</v>
      </c>
      <c r="CD13" s="2">
        <v>149</v>
      </c>
      <c r="CE13" s="2">
        <v>61</v>
      </c>
      <c r="CF13" s="2">
        <v>73</v>
      </c>
      <c r="CG13" s="46">
        <v>92</v>
      </c>
      <c r="CH13" s="46">
        <v>33</v>
      </c>
      <c r="CI13" s="46">
        <v>41</v>
      </c>
      <c r="CJ13" s="46">
        <v>53</v>
      </c>
      <c r="CK13" s="46">
        <v>20</v>
      </c>
      <c r="CL13" s="46">
        <v>28</v>
      </c>
      <c r="CM13" s="46">
        <v>13</v>
      </c>
      <c r="CN13" s="46">
        <v>21</v>
      </c>
      <c r="CO13" s="46">
        <v>33</v>
      </c>
      <c r="CP13" s="46">
        <v>52</v>
      </c>
      <c r="CQ13" s="46">
        <v>84</v>
      </c>
      <c r="CR13" s="46">
        <v>6.5</v>
      </c>
      <c r="CS13" s="46">
        <v>10</v>
      </c>
      <c r="CT13" s="46">
        <v>2</v>
      </c>
      <c r="CU13" s="46">
        <v>6</v>
      </c>
      <c r="CV13" s="46">
        <v>-4</v>
      </c>
      <c r="CW13" s="46">
        <v>0</v>
      </c>
      <c r="CX13" s="46">
        <v>-11</v>
      </c>
      <c r="CY13" s="46">
        <v>-7</v>
      </c>
      <c r="CZ13" s="46">
        <v>-18</v>
      </c>
      <c r="DA13" s="2">
        <v>-14</v>
      </c>
      <c r="DB13" s="2">
        <v>-20</v>
      </c>
      <c r="DC13" s="2">
        <v>-27</v>
      </c>
      <c r="DD13" s="47" t="s">
        <v>201</v>
      </c>
      <c r="DE13" s="2">
        <v>-33</v>
      </c>
      <c r="DF13" s="61">
        <v>-46</v>
      </c>
    </row>
    <row r="14" spans="2:110" x14ac:dyDescent="0.7">
      <c r="B14" s="148"/>
      <c r="C14" s="42" t="s">
        <v>176</v>
      </c>
      <c r="D14" s="2" t="str">
        <f t="shared" si="0"/>
        <v>336/200</v>
      </c>
      <c r="E14" s="2" t="str">
        <f t="shared" si="0"/>
        <v>254/150</v>
      </c>
      <c r="F14" s="2" t="str">
        <f t="shared" si="0"/>
        <v>286/150</v>
      </c>
      <c r="G14" s="2" t="str">
        <f t="shared" si="0"/>
        <v>190/105</v>
      </c>
      <c r="H14" s="2" t="str">
        <f t="shared" si="0"/>
        <v>209/105</v>
      </c>
      <c r="I14" s="2" t="str">
        <f t="shared" si="0"/>
        <v>241/105</v>
      </c>
      <c r="J14" s="2" t="str">
        <f t="shared" si="0"/>
        <v>153/80</v>
      </c>
      <c r="K14" s="2" t="str">
        <f t="shared" si="0"/>
        <v>165/80</v>
      </c>
      <c r="L14" s="2" t="str">
        <f t="shared" si="0"/>
        <v>184/80</v>
      </c>
      <c r="M14" s="2" t="str">
        <f t="shared" si="0"/>
        <v>125/60</v>
      </c>
      <c r="N14" s="2" t="str">
        <f t="shared" si="0"/>
        <v>133/60</v>
      </c>
      <c r="O14" s="2" t="str">
        <f t="shared" si="0"/>
        <v>145/60</v>
      </c>
      <c r="P14" s="2" t="str">
        <f t="shared" si="0"/>
        <v>112/47</v>
      </c>
      <c r="Q14" s="2" t="str">
        <f t="shared" si="0"/>
        <v>120/47</v>
      </c>
      <c r="R14" s="2" t="str">
        <f t="shared" si="0"/>
        <v>105/40</v>
      </c>
      <c r="S14" s="2" t="str">
        <f t="shared" si="0"/>
        <v>113/40</v>
      </c>
      <c r="T14" s="2" t="str">
        <f t="shared" si="1"/>
        <v>125/40</v>
      </c>
      <c r="U14" s="2" t="str">
        <f t="shared" si="1"/>
        <v>144/40</v>
      </c>
      <c r="V14" s="2" t="str">
        <f t="shared" si="1"/>
        <v>176/40</v>
      </c>
      <c r="W14" s="2" t="str">
        <f t="shared" si="1"/>
        <v>98.5/33.5</v>
      </c>
      <c r="X14" s="2" t="str">
        <f t="shared" si="1"/>
        <v>102/30</v>
      </c>
      <c r="Y14" s="2" t="str">
        <f t="shared" si="1"/>
        <v>94/29</v>
      </c>
      <c r="Z14" s="2" t="str">
        <f t="shared" si="1"/>
        <v>98/25</v>
      </c>
      <c r="AA14" s="2" t="str">
        <f t="shared" si="1"/>
        <v>88/23</v>
      </c>
      <c r="AB14" s="2" t="str">
        <f t="shared" si="1"/>
        <v>92/19</v>
      </c>
      <c r="AC14" s="2" t="str">
        <f t="shared" si="1"/>
        <v>81/16</v>
      </c>
      <c r="AD14" s="2" t="str">
        <f t="shared" si="1"/>
        <v>85/12</v>
      </c>
      <c r="AE14" s="2" t="str">
        <f t="shared" si="1"/>
        <v>74/9</v>
      </c>
      <c r="AF14" s="2" t="str">
        <f t="shared" si="1"/>
        <v>78/5</v>
      </c>
      <c r="AG14" s="2" t="str">
        <f t="shared" si="1"/>
        <v>72/-1</v>
      </c>
      <c r="AH14" s="2" t="str">
        <f t="shared" si="1"/>
        <v>65/-8</v>
      </c>
      <c r="AI14" s="2" t="str">
        <f t="shared" si="1"/>
        <v>59/-14</v>
      </c>
      <c r="AJ14" s="2" t="str">
        <f t="shared" si="1"/>
        <v>52/-21</v>
      </c>
      <c r="AK14" s="2" t="str">
        <f t="shared" si="1"/>
        <v>36/-37</v>
      </c>
      <c r="AO14" s="76">
        <v>24</v>
      </c>
      <c r="AP14" s="77">
        <v>30</v>
      </c>
      <c r="AQ14" s="1">
        <v>-160</v>
      </c>
      <c r="AR14" s="1">
        <v>-110</v>
      </c>
      <c r="AS14" s="1">
        <v>-65</v>
      </c>
      <c r="AT14" s="1">
        <v>-65</v>
      </c>
      <c r="AU14" s="1">
        <v>-40</v>
      </c>
      <c r="AV14" s="1">
        <v>-40</v>
      </c>
      <c r="AW14" s="75">
        <v>-40</v>
      </c>
      <c r="AX14" s="75">
        <v>-20</v>
      </c>
      <c r="AY14" s="75">
        <v>-20</v>
      </c>
      <c r="AZ14" s="75">
        <v>-20</v>
      </c>
      <c r="BA14" s="75">
        <v>-7</v>
      </c>
      <c r="BB14" s="75">
        <v>-7</v>
      </c>
      <c r="BC14" s="75">
        <v>0</v>
      </c>
      <c r="BD14" s="75">
        <v>0</v>
      </c>
      <c r="BE14" s="75">
        <v>0</v>
      </c>
      <c r="BF14" s="75">
        <v>0</v>
      </c>
      <c r="BG14" s="75">
        <v>0</v>
      </c>
      <c r="BH14" s="75">
        <v>4.5</v>
      </c>
      <c r="BI14" s="75">
        <v>6.5</v>
      </c>
      <c r="BJ14" s="75">
        <v>10</v>
      </c>
      <c r="BK14" s="75">
        <v>11</v>
      </c>
      <c r="BL14" s="32">
        <v>15</v>
      </c>
      <c r="BM14" s="32">
        <v>17</v>
      </c>
      <c r="BN14" s="32">
        <v>21</v>
      </c>
      <c r="BO14" s="32">
        <v>28</v>
      </c>
      <c r="BP14" s="32">
        <v>35</v>
      </c>
      <c r="BQ14" s="32">
        <v>41</v>
      </c>
      <c r="BR14" s="32">
        <v>48</v>
      </c>
      <c r="BS14" s="32">
        <v>54</v>
      </c>
      <c r="BT14" s="32">
        <v>61</v>
      </c>
      <c r="BU14" s="33">
        <v>77</v>
      </c>
      <c r="BW14" s="59">
        <v>24</v>
      </c>
      <c r="BX14" s="48">
        <v>30</v>
      </c>
      <c r="BY14" s="2">
        <v>244</v>
      </c>
      <c r="BZ14" s="2">
        <v>162</v>
      </c>
      <c r="CA14" s="2">
        <v>194</v>
      </c>
      <c r="CB14" s="2">
        <v>98</v>
      </c>
      <c r="CC14" s="2">
        <v>117</v>
      </c>
      <c r="CD14" s="2">
        <v>149</v>
      </c>
      <c r="CE14" s="2">
        <v>61</v>
      </c>
      <c r="CF14" s="2">
        <v>73</v>
      </c>
      <c r="CG14" s="46">
        <v>92</v>
      </c>
      <c r="CH14" s="46">
        <v>33</v>
      </c>
      <c r="CI14" s="46">
        <v>41</v>
      </c>
      <c r="CJ14" s="46">
        <v>53</v>
      </c>
      <c r="CK14" s="46">
        <v>20</v>
      </c>
      <c r="CL14" s="46">
        <v>28</v>
      </c>
      <c r="CM14" s="46">
        <v>13</v>
      </c>
      <c r="CN14" s="46">
        <v>21</v>
      </c>
      <c r="CO14" s="46">
        <v>33</v>
      </c>
      <c r="CP14" s="46">
        <v>52</v>
      </c>
      <c r="CQ14" s="46">
        <v>84</v>
      </c>
      <c r="CR14" s="46">
        <v>6.5</v>
      </c>
      <c r="CS14" s="46">
        <v>10</v>
      </c>
      <c r="CT14" s="46">
        <v>2</v>
      </c>
      <c r="CU14" s="46">
        <v>6</v>
      </c>
      <c r="CV14" s="46">
        <v>-4</v>
      </c>
      <c r="CW14" s="46">
        <v>0</v>
      </c>
      <c r="CX14" s="46">
        <v>-11</v>
      </c>
      <c r="CY14" s="46">
        <v>-7</v>
      </c>
      <c r="CZ14" s="46">
        <v>-18</v>
      </c>
      <c r="DA14" s="2">
        <v>-14</v>
      </c>
      <c r="DB14" s="2">
        <v>-20</v>
      </c>
      <c r="DC14" s="2">
        <v>-27</v>
      </c>
      <c r="DD14" s="2">
        <v>-33</v>
      </c>
      <c r="DE14" s="2">
        <v>-40</v>
      </c>
      <c r="DF14" s="61">
        <v>-56</v>
      </c>
    </row>
    <row r="15" spans="2:110" x14ac:dyDescent="0.7">
      <c r="B15" s="148"/>
      <c r="C15" s="42" t="s">
        <v>129</v>
      </c>
      <c r="D15" s="2" t="str">
        <f t="shared" si="0"/>
        <v>277/180</v>
      </c>
      <c r="E15" s="2" t="str">
        <f t="shared" si="0"/>
        <v>195/130</v>
      </c>
      <c r="F15" s="2" t="str">
        <f t="shared" si="0"/>
        <v>227/130</v>
      </c>
      <c r="G15" s="2" t="str">
        <f t="shared" si="0"/>
        <v>131/85</v>
      </c>
      <c r="H15" s="2" t="str">
        <f t="shared" si="0"/>
        <v>150/85</v>
      </c>
      <c r="I15" s="2" t="str">
        <f t="shared" si="0"/>
        <v>182/85</v>
      </c>
      <c r="J15" s="2" t="str">
        <f t="shared" si="0"/>
        <v>94/60</v>
      </c>
      <c r="K15" s="2" t="str">
        <f t="shared" si="0"/>
        <v>106/60</v>
      </c>
      <c r="L15" s="2" t="str">
        <f t="shared" si="0"/>
        <v>125/60</v>
      </c>
      <c r="M15" s="2" t="str">
        <f t="shared" si="0"/>
        <v>66/40</v>
      </c>
      <c r="N15" s="2" t="str">
        <f t="shared" si="0"/>
        <v>74/40</v>
      </c>
      <c r="O15" s="2" t="str">
        <f t="shared" si="0"/>
        <v>86/40</v>
      </c>
      <c r="P15" s="2" t="str">
        <f t="shared" si="0"/>
        <v>53/27</v>
      </c>
      <c r="Q15" s="2" t="str">
        <f t="shared" si="0"/>
        <v>61/27</v>
      </c>
      <c r="R15" s="2" t="str">
        <f t="shared" si="0"/>
        <v>46/20</v>
      </c>
      <c r="S15" s="2" t="str">
        <f t="shared" si="0"/>
        <v>54/20</v>
      </c>
      <c r="T15" s="2" t="str">
        <f t="shared" si="1"/>
        <v>66/20</v>
      </c>
      <c r="U15" s="2" t="str">
        <f t="shared" si="1"/>
        <v>85/20</v>
      </c>
      <c r="V15" s="2" t="str">
        <f t="shared" si="1"/>
        <v>117/20</v>
      </c>
      <c r="W15" s="2" t="str">
        <f t="shared" si="1"/>
        <v>39.5/13.5</v>
      </c>
      <c r="X15" s="2" t="str">
        <f t="shared" si="1"/>
        <v>43/10</v>
      </c>
      <c r="Y15" s="2" t="str">
        <f t="shared" si="1"/>
        <v>35/9</v>
      </c>
      <c r="Z15" s="2" t="str">
        <f t="shared" si="1"/>
        <v>39/5</v>
      </c>
      <c r="AA15" s="2" t="str">
        <f t="shared" si="1"/>
        <v>29/3</v>
      </c>
      <c r="AB15" s="2" t="str">
        <f t="shared" si="1"/>
        <v>33/-1</v>
      </c>
      <c r="AC15" s="2" t="str">
        <f t="shared" si="1"/>
        <v>22/-4</v>
      </c>
      <c r="AD15" s="2" t="str">
        <f t="shared" si="1"/>
        <v>26/-8</v>
      </c>
      <c r="AE15" s="2" t="str">
        <f t="shared" si="1"/>
        <v>15/-11</v>
      </c>
      <c r="AF15" s="2" t="str">
        <f t="shared" si="1"/>
        <v>19/-15</v>
      </c>
      <c r="AG15" s="2" t="str">
        <f t="shared" si="1"/>
        <v>13/-21</v>
      </c>
      <c r="AH15" s="2" t="str">
        <f t="shared" si="1"/>
        <v>6/-28</v>
      </c>
      <c r="AI15" s="2" t="str">
        <f t="shared" si="1"/>
        <v>0/-34</v>
      </c>
      <c r="AJ15" s="2" t="str">
        <f t="shared" si="1"/>
        <v>-7/-41</v>
      </c>
      <c r="AK15" s="2" t="str">
        <f t="shared" si="1"/>
        <v>-23/-57</v>
      </c>
      <c r="AO15" s="76">
        <v>30</v>
      </c>
      <c r="AP15" s="77">
        <v>40</v>
      </c>
      <c r="AQ15" s="1">
        <v>-170</v>
      </c>
      <c r="AR15" s="1">
        <v>-120</v>
      </c>
      <c r="AS15" s="1">
        <v>-80</v>
      </c>
      <c r="AT15" s="1">
        <v>-80</v>
      </c>
      <c r="AU15" s="1">
        <v>-50</v>
      </c>
      <c r="AV15" s="1">
        <v>-50</v>
      </c>
      <c r="AW15" s="75">
        <v>-50</v>
      </c>
      <c r="AX15" s="75">
        <v>-25</v>
      </c>
      <c r="AY15" s="75">
        <v>-25</v>
      </c>
      <c r="AZ15" s="75">
        <v>-25</v>
      </c>
      <c r="BA15" s="75">
        <v>-9</v>
      </c>
      <c r="BB15" s="75">
        <v>-9</v>
      </c>
      <c r="BC15" s="75">
        <v>0</v>
      </c>
      <c r="BD15" s="75">
        <v>0</v>
      </c>
      <c r="BE15" s="75">
        <v>0</v>
      </c>
      <c r="BF15" s="75">
        <v>0</v>
      </c>
      <c r="BG15" s="75">
        <v>0</v>
      </c>
      <c r="BH15" s="75">
        <v>5.5</v>
      </c>
      <c r="BI15" s="75">
        <v>8</v>
      </c>
      <c r="BJ15" s="75">
        <v>12</v>
      </c>
      <c r="BK15" s="75">
        <v>13</v>
      </c>
      <c r="BL15" s="32">
        <v>18</v>
      </c>
      <c r="BM15" s="32">
        <v>20</v>
      </c>
      <c r="BN15" s="32">
        <v>25</v>
      </c>
      <c r="BO15" s="32">
        <v>33</v>
      </c>
      <c r="BP15" s="32">
        <v>42</v>
      </c>
      <c r="BQ15" s="32">
        <v>50</v>
      </c>
      <c r="BR15" s="32">
        <v>59</v>
      </c>
      <c r="BS15" s="32">
        <v>64</v>
      </c>
      <c r="BT15" s="32">
        <v>76</v>
      </c>
      <c r="BU15" s="82" t="s">
        <v>200</v>
      </c>
      <c r="BW15" s="59">
        <v>30</v>
      </c>
      <c r="BX15" s="48">
        <v>40</v>
      </c>
      <c r="BY15" s="2">
        <v>270</v>
      </c>
      <c r="BZ15" s="2">
        <v>182</v>
      </c>
      <c r="CA15" s="2">
        <v>220</v>
      </c>
      <c r="CB15" s="2">
        <v>119</v>
      </c>
      <c r="CC15" s="2">
        <v>142</v>
      </c>
      <c r="CD15" s="2">
        <v>180</v>
      </c>
      <c r="CE15" s="2">
        <v>75</v>
      </c>
      <c r="CF15" s="2">
        <v>89</v>
      </c>
      <c r="CG15" s="46">
        <v>112</v>
      </c>
      <c r="CH15" s="46">
        <v>41</v>
      </c>
      <c r="CI15" s="46">
        <v>50</v>
      </c>
      <c r="CJ15" s="46">
        <v>64</v>
      </c>
      <c r="CK15" s="46">
        <v>25</v>
      </c>
      <c r="CL15" s="46">
        <v>34</v>
      </c>
      <c r="CM15" s="46">
        <v>16</v>
      </c>
      <c r="CN15" s="46">
        <v>25</v>
      </c>
      <c r="CO15" s="46">
        <v>39</v>
      </c>
      <c r="CP15" s="46">
        <v>62</v>
      </c>
      <c r="CQ15" s="46">
        <v>100</v>
      </c>
      <c r="CR15" s="46">
        <v>8</v>
      </c>
      <c r="CS15" s="46">
        <v>12</v>
      </c>
      <c r="CT15" s="46">
        <v>3</v>
      </c>
      <c r="CU15" s="46">
        <v>7</v>
      </c>
      <c r="CV15" s="46">
        <v>-4</v>
      </c>
      <c r="CW15" s="46">
        <v>0</v>
      </c>
      <c r="CX15" s="46">
        <v>-12</v>
      </c>
      <c r="CY15" s="46">
        <v>-8</v>
      </c>
      <c r="CZ15" s="46">
        <v>-21</v>
      </c>
      <c r="DA15" s="2">
        <v>-17</v>
      </c>
      <c r="DB15" s="2">
        <v>-25</v>
      </c>
      <c r="DC15" s="2">
        <v>-34</v>
      </c>
      <c r="DD15" s="2">
        <v>-39</v>
      </c>
      <c r="DE15" s="2">
        <v>-51</v>
      </c>
      <c r="DF15" s="82" t="s">
        <v>201</v>
      </c>
    </row>
    <row r="16" spans="2:110" x14ac:dyDescent="0.7">
      <c r="B16" s="148"/>
      <c r="C16" s="42" t="s">
        <v>177</v>
      </c>
      <c r="D16" s="2" t="str">
        <f t="shared" si="0"/>
        <v>285/180</v>
      </c>
      <c r="E16" s="2" t="str">
        <f t="shared" si="0"/>
        <v>203/130</v>
      </c>
      <c r="F16" s="2" t="str">
        <f t="shared" si="0"/>
        <v>235/130</v>
      </c>
      <c r="G16" s="2" t="str">
        <f t="shared" si="0"/>
        <v>139/85</v>
      </c>
      <c r="H16" s="2" t="str">
        <f t="shared" si="0"/>
        <v>158/85</v>
      </c>
      <c r="I16" s="2" t="str">
        <f t="shared" si="0"/>
        <v>190/85</v>
      </c>
      <c r="J16" s="2" t="str">
        <f t="shared" si="0"/>
        <v>102/60</v>
      </c>
      <c r="K16" s="2" t="str">
        <f t="shared" si="0"/>
        <v>114/60</v>
      </c>
      <c r="L16" s="2" t="str">
        <f t="shared" si="0"/>
        <v>133/60</v>
      </c>
      <c r="M16" s="2" t="str">
        <f t="shared" si="0"/>
        <v>74/40</v>
      </c>
      <c r="N16" s="2" t="str">
        <f t="shared" si="0"/>
        <v>82/40</v>
      </c>
      <c r="O16" s="2" t="str">
        <f t="shared" si="0"/>
        <v>94/40</v>
      </c>
      <c r="P16" s="2" t="str">
        <f t="shared" si="0"/>
        <v>61/27</v>
      </c>
      <c r="Q16" s="2" t="str">
        <f t="shared" si="0"/>
        <v>69/27</v>
      </c>
      <c r="R16" s="2" t="str">
        <f t="shared" si="0"/>
        <v>54/20</v>
      </c>
      <c r="S16" s="2" t="str">
        <f t="shared" si="0"/>
        <v>62/20</v>
      </c>
      <c r="T16" s="2" t="str">
        <f t="shared" si="1"/>
        <v>74/20</v>
      </c>
      <c r="U16" s="2" t="str">
        <f t="shared" si="1"/>
        <v>93/20</v>
      </c>
      <c r="V16" s="2" t="str">
        <f t="shared" si="1"/>
        <v>125/20</v>
      </c>
      <c r="W16" s="2" t="str">
        <f t="shared" si="1"/>
        <v>47.5/13.5</v>
      </c>
      <c r="X16" s="2" t="str">
        <f t="shared" si="1"/>
        <v>51/10</v>
      </c>
      <c r="Y16" s="2" t="str">
        <f t="shared" si="1"/>
        <v>43/9</v>
      </c>
      <c r="Z16" s="2" t="str">
        <f t="shared" si="1"/>
        <v>47/5</v>
      </c>
      <c r="AA16" s="2" t="str">
        <f t="shared" si="1"/>
        <v>37/3</v>
      </c>
      <c r="AB16" s="2" t="str">
        <f t="shared" si="1"/>
        <v>41/-1</v>
      </c>
      <c r="AC16" s="2" t="str">
        <f t="shared" si="1"/>
        <v>30/-4</v>
      </c>
      <c r="AD16" s="2" t="str">
        <f t="shared" si="1"/>
        <v>34/-8</v>
      </c>
      <c r="AE16" s="2" t="str">
        <f t="shared" si="1"/>
        <v>23/-11</v>
      </c>
      <c r="AF16" s="2" t="str">
        <f t="shared" si="1"/>
        <v>27/-15</v>
      </c>
      <c r="AG16" s="2" t="str">
        <f t="shared" si="1"/>
        <v>21/-21</v>
      </c>
      <c r="AH16" s="2" t="str">
        <f t="shared" si="1"/>
        <v>14/-28</v>
      </c>
      <c r="AI16" s="2" t="str">
        <f t="shared" si="1"/>
        <v>8/-34</v>
      </c>
      <c r="AJ16" s="2" t="str">
        <f t="shared" si="1"/>
        <v>1/-41</v>
      </c>
      <c r="AK16" s="2" t="str">
        <f t="shared" si="1"/>
        <v>-15/-57</v>
      </c>
      <c r="AO16" s="76">
        <v>40</v>
      </c>
      <c r="AP16" s="77">
        <v>50</v>
      </c>
      <c r="AQ16" s="1">
        <v>-180</v>
      </c>
      <c r="AR16" s="1">
        <v>-130</v>
      </c>
      <c r="AS16" s="1">
        <v>-80</v>
      </c>
      <c r="AT16" s="1">
        <v>-80</v>
      </c>
      <c r="AU16" s="1">
        <v>-50</v>
      </c>
      <c r="AV16" s="1">
        <v>-50</v>
      </c>
      <c r="AW16" s="75">
        <v>-50</v>
      </c>
      <c r="AX16" s="75">
        <v>-25</v>
      </c>
      <c r="AY16" s="75">
        <v>-25</v>
      </c>
      <c r="AZ16" s="75">
        <v>-25</v>
      </c>
      <c r="BA16" s="75">
        <v>-9</v>
      </c>
      <c r="BB16" s="75">
        <v>-9</v>
      </c>
      <c r="BC16" s="75">
        <v>0</v>
      </c>
      <c r="BD16" s="75">
        <v>0</v>
      </c>
      <c r="BE16" s="75">
        <v>0</v>
      </c>
      <c r="BF16" s="75">
        <v>0</v>
      </c>
      <c r="BG16" s="75">
        <v>0</v>
      </c>
      <c r="BH16" s="75">
        <v>5.5</v>
      </c>
      <c r="BI16" s="75">
        <v>8</v>
      </c>
      <c r="BJ16" s="75">
        <v>12</v>
      </c>
      <c r="BK16" s="75">
        <v>13</v>
      </c>
      <c r="BL16" s="32">
        <v>18</v>
      </c>
      <c r="BM16" s="32">
        <v>20</v>
      </c>
      <c r="BN16" s="32">
        <v>25</v>
      </c>
      <c r="BO16" s="32">
        <v>33</v>
      </c>
      <c r="BP16" s="32">
        <v>42</v>
      </c>
      <c r="BQ16" s="32">
        <v>50</v>
      </c>
      <c r="BR16" s="32">
        <v>59</v>
      </c>
      <c r="BS16" s="32">
        <v>70</v>
      </c>
      <c r="BT16" s="32">
        <v>86</v>
      </c>
      <c r="BU16" s="82" t="s">
        <v>200</v>
      </c>
      <c r="BW16" s="59">
        <v>40</v>
      </c>
      <c r="BX16" s="48">
        <v>50</v>
      </c>
      <c r="BY16" s="2">
        <v>280</v>
      </c>
      <c r="BZ16" s="2">
        <v>192</v>
      </c>
      <c r="CA16" s="2">
        <v>230</v>
      </c>
      <c r="CB16" s="2">
        <v>119</v>
      </c>
      <c r="CC16" s="2">
        <v>142</v>
      </c>
      <c r="CD16" s="2">
        <v>180</v>
      </c>
      <c r="CE16" s="2">
        <v>75</v>
      </c>
      <c r="CF16" s="2">
        <v>89</v>
      </c>
      <c r="CG16" s="46">
        <v>112</v>
      </c>
      <c r="CH16" s="46">
        <v>41</v>
      </c>
      <c r="CI16" s="46">
        <v>50</v>
      </c>
      <c r="CJ16" s="46">
        <v>64</v>
      </c>
      <c r="CK16" s="46">
        <v>25</v>
      </c>
      <c r="CL16" s="46">
        <v>34</v>
      </c>
      <c r="CM16" s="46">
        <v>16</v>
      </c>
      <c r="CN16" s="46">
        <v>25</v>
      </c>
      <c r="CO16" s="46">
        <v>39</v>
      </c>
      <c r="CP16" s="46">
        <v>62</v>
      </c>
      <c r="CQ16" s="46">
        <v>100</v>
      </c>
      <c r="CR16" s="46">
        <v>8</v>
      </c>
      <c r="CS16" s="46">
        <v>12</v>
      </c>
      <c r="CT16" s="46">
        <v>3</v>
      </c>
      <c r="CU16" s="46">
        <v>7</v>
      </c>
      <c r="CV16" s="46">
        <v>-4</v>
      </c>
      <c r="CW16" s="46">
        <v>0</v>
      </c>
      <c r="CX16" s="46">
        <v>-12</v>
      </c>
      <c r="CY16" s="46">
        <v>-8</v>
      </c>
      <c r="CZ16" s="46">
        <v>-21</v>
      </c>
      <c r="DA16" s="2">
        <v>-17</v>
      </c>
      <c r="DB16" s="2">
        <v>-25</v>
      </c>
      <c r="DC16" s="2">
        <v>-34</v>
      </c>
      <c r="DD16" s="2">
        <v>-45</v>
      </c>
      <c r="DE16" s="2">
        <v>-61</v>
      </c>
      <c r="DF16" s="82" t="s">
        <v>201</v>
      </c>
    </row>
    <row r="17" spans="2:110" x14ac:dyDescent="0.7">
      <c r="B17" s="148"/>
      <c r="C17" s="42" t="s">
        <v>178</v>
      </c>
      <c r="D17" s="2" t="str">
        <f t="shared" si="0"/>
        <v>297/180</v>
      </c>
      <c r="E17" s="2" t="str">
        <f t="shared" si="0"/>
        <v>215/130</v>
      </c>
      <c r="F17" s="2" t="str">
        <f t="shared" si="0"/>
        <v>247/130</v>
      </c>
      <c r="G17" s="2" t="str">
        <f t="shared" si="0"/>
        <v>151/85</v>
      </c>
      <c r="H17" s="2" t="str">
        <f t="shared" si="0"/>
        <v>170/85</v>
      </c>
      <c r="I17" s="2" t="str">
        <f t="shared" si="0"/>
        <v>202/85</v>
      </c>
      <c r="J17" s="2" t="str">
        <f t="shared" si="0"/>
        <v>114/60</v>
      </c>
      <c r="K17" s="2" t="str">
        <f t="shared" si="0"/>
        <v>126/60</v>
      </c>
      <c r="L17" s="2" t="str">
        <f t="shared" si="0"/>
        <v>145/60</v>
      </c>
      <c r="M17" s="2" t="str">
        <f t="shared" si="0"/>
        <v>86/40</v>
      </c>
      <c r="N17" s="2" t="str">
        <f t="shared" si="0"/>
        <v>94/40</v>
      </c>
      <c r="O17" s="2" t="str">
        <f t="shared" si="0"/>
        <v>106/40</v>
      </c>
      <c r="P17" s="2" t="str">
        <f t="shared" si="0"/>
        <v>73/27</v>
      </c>
      <c r="Q17" s="2" t="str">
        <f t="shared" si="0"/>
        <v>81/27</v>
      </c>
      <c r="R17" s="2" t="str">
        <f t="shared" si="0"/>
        <v>66/20</v>
      </c>
      <c r="S17" s="2" t="str">
        <f t="shared" si="0"/>
        <v>74/20</v>
      </c>
      <c r="T17" s="2" t="str">
        <f t="shared" si="1"/>
        <v>86/20</v>
      </c>
      <c r="U17" s="2" t="str">
        <f t="shared" si="1"/>
        <v>105/20</v>
      </c>
      <c r="V17" s="2" t="str">
        <f t="shared" si="1"/>
        <v>137/20</v>
      </c>
      <c r="W17" s="2" t="str">
        <f t="shared" si="1"/>
        <v>59.5/13.5</v>
      </c>
      <c r="X17" s="2" t="str">
        <f t="shared" si="1"/>
        <v>63/10</v>
      </c>
      <c r="Y17" s="2" t="str">
        <f t="shared" si="1"/>
        <v>55/9</v>
      </c>
      <c r="Z17" s="2" t="str">
        <f t="shared" si="1"/>
        <v>59/5</v>
      </c>
      <c r="AA17" s="2" t="str">
        <f t="shared" si="1"/>
        <v>49/3</v>
      </c>
      <c r="AB17" s="2" t="str">
        <f t="shared" si="1"/>
        <v>53/-1</v>
      </c>
      <c r="AC17" s="2" t="str">
        <f t="shared" si="1"/>
        <v>42/-4</v>
      </c>
      <c r="AD17" s="2" t="str">
        <f t="shared" si="1"/>
        <v>46/-8</v>
      </c>
      <c r="AE17" s="2" t="str">
        <f t="shared" si="1"/>
        <v>35/-11</v>
      </c>
      <c r="AF17" s="2" t="str">
        <f t="shared" si="1"/>
        <v>39/-15</v>
      </c>
      <c r="AG17" s="2" t="str">
        <f t="shared" si="1"/>
        <v>33/-21</v>
      </c>
      <c r="AH17" s="2" t="str">
        <f t="shared" si="1"/>
        <v>26/-28</v>
      </c>
      <c r="AI17" s="2" t="str">
        <f t="shared" si="1"/>
        <v>20/-34</v>
      </c>
      <c r="AJ17" s="2" t="str">
        <f t="shared" si="1"/>
        <v>13/-41</v>
      </c>
      <c r="AK17" s="2" t="str">
        <f t="shared" si="1"/>
        <v>-3/-57</v>
      </c>
      <c r="AO17" s="76">
        <v>50</v>
      </c>
      <c r="AP17" s="77">
        <v>65</v>
      </c>
      <c r="AQ17" s="1">
        <v>-190</v>
      </c>
      <c r="AR17" s="1">
        <v>-140</v>
      </c>
      <c r="AS17" s="1">
        <v>-100</v>
      </c>
      <c r="AT17" s="1">
        <v>-100</v>
      </c>
      <c r="AU17" s="1">
        <v>-60</v>
      </c>
      <c r="AV17" s="1">
        <v>-60</v>
      </c>
      <c r="AW17" s="75">
        <v>-60</v>
      </c>
      <c r="AX17" s="75">
        <v>-30</v>
      </c>
      <c r="AY17" s="75">
        <v>-30</v>
      </c>
      <c r="AZ17" s="75">
        <v>-30</v>
      </c>
      <c r="BA17" s="75">
        <v>-10</v>
      </c>
      <c r="BB17" s="75">
        <v>-10</v>
      </c>
      <c r="BC17" s="75">
        <v>0</v>
      </c>
      <c r="BD17" s="75">
        <v>0</v>
      </c>
      <c r="BE17" s="75">
        <v>0</v>
      </c>
      <c r="BF17" s="75">
        <v>0</v>
      </c>
      <c r="BG17" s="75">
        <v>0</v>
      </c>
      <c r="BH17" s="75">
        <v>6.5</v>
      </c>
      <c r="BI17" s="75">
        <v>9.5</v>
      </c>
      <c r="BJ17" s="75">
        <v>15</v>
      </c>
      <c r="BK17" s="75">
        <v>15</v>
      </c>
      <c r="BL17" s="32">
        <v>21</v>
      </c>
      <c r="BM17" s="32">
        <v>24</v>
      </c>
      <c r="BN17" s="32">
        <v>30</v>
      </c>
      <c r="BO17" s="32">
        <v>39</v>
      </c>
      <c r="BP17" s="32">
        <v>51</v>
      </c>
      <c r="BQ17" s="32">
        <v>60</v>
      </c>
      <c r="BR17" s="32">
        <v>72</v>
      </c>
      <c r="BS17" s="32">
        <v>85</v>
      </c>
      <c r="BT17" s="32">
        <v>106</v>
      </c>
      <c r="BU17" s="82" t="s">
        <v>200</v>
      </c>
      <c r="BW17" s="59">
        <v>50</v>
      </c>
      <c r="BX17" s="48">
        <v>65</v>
      </c>
      <c r="BY17" s="2">
        <v>310</v>
      </c>
      <c r="BZ17" s="2">
        <v>214</v>
      </c>
      <c r="CA17" s="2">
        <v>260</v>
      </c>
      <c r="CB17" s="2">
        <v>146</v>
      </c>
      <c r="CC17" s="2">
        <v>174</v>
      </c>
      <c r="CD17" s="2">
        <v>220</v>
      </c>
      <c r="CE17" s="2">
        <v>90</v>
      </c>
      <c r="CF17" s="2">
        <v>106</v>
      </c>
      <c r="CG17" s="46">
        <v>134</v>
      </c>
      <c r="CH17" s="46">
        <v>49</v>
      </c>
      <c r="CI17" s="46">
        <v>60</v>
      </c>
      <c r="CJ17" s="46">
        <v>76</v>
      </c>
      <c r="CK17" s="46">
        <v>29</v>
      </c>
      <c r="CL17" s="46">
        <v>40</v>
      </c>
      <c r="CM17" s="46">
        <v>19</v>
      </c>
      <c r="CN17" s="46">
        <v>30</v>
      </c>
      <c r="CO17" s="46">
        <v>46</v>
      </c>
      <c r="CP17" s="46">
        <v>74</v>
      </c>
      <c r="CQ17" s="46">
        <v>120</v>
      </c>
      <c r="CR17" s="46">
        <v>9.5</v>
      </c>
      <c r="CS17" s="46">
        <v>15</v>
      </c>
      <c r="CT17" s="46">
        <v>4</v>
      </c>
      <c r="CU17" s="46">
        <v>9</v>
      </c>
      <c r="CV17" s="46">
        <v>-5</v>
      </c>
      <c r="CW17" s="46">
        <v>0</v>
      </c>
      <c r="CX17" s="46">
        <v>-14</v>
      </c>
      <c r="CY17" s="46">
        <v>-9</v>
      </c>
      <c r="CZ17" s="46">
        <v>-26</v>
      </c>
      <c r="DA17" s="2">
        <v>-21</v>
      </c>
      <c r="DB17" s="2">
        <v>-30</v>
      </c>
      <c r="DC17" s="2">
        <v>-42</v>
      </c>
      <c r="DD17" s="2">
        <v>-55</v>
      </c>
      <c r="DE17" s="2">
        <v>-76</v>
      </c>
      <c r="DF17" s="82" t="s">
        <v>201</v>
      </c>
    </row>
    <row r="18" spans="2:110" x14ac:dyDescent="0.7">
      <c r="B18" s="148"/>
      <c r="C18" s="42" t="s">
        <v>179</v>
      </c>
      <c r="D18" s="2" t="str">
        <f t="shared" si="0"/>
        <v>260/167</v>
      </c>
      <c r="E18" s="2" t="str">
        <f t="shared" si="0"/>
        <v>178/117</v>
      </c>
      <c r="F18" s="2" t="str">
        <f t="shared" si="0"/>
        <v>210/117</v>
      </c>
      <c r="G18" s="2" t="str">
        <f t="shared" si="0"/>
        <v>114/72</v>
      </c>
      <c r="H18" s="2" t="str">
        <f t="shared" si="0"/>
        <v>133/72</v>
      </c>
      <c r="I18" s="2" t="str">
        <f t="shared" si="0"/>
        <v>165/72</v>
      </c>
      <c r="J18" s="2" t="str">
        <f t="shared" si="0"/>
        <v>77/47</v>
      </c>
      <c r="K18" s="2" t="str">
        <f t="shared" si="0"/>
        <v>89/47</v>
      </c>
      <c r="L18" s="2" t="str">
        <f t="shared" si="0"/>
        <v>108/47</v>
      </c>
      <c r="M18" s="2" t="str">
        <f t="shared" si="0"/>
        <v>49/27</v>
      </c>
      <c r="N18" s="2" t="str">
        <f t="shared" si="0"/>
        <v>57/27</v>
      </c>
      <c r="O18" s="2" t="str">
        <f t="shared" si="0"/>
        <v>69/27</v>
      </c>
      <c r="P18" s="2" t="str">
        <f t="shared" si="0"/>
        <v>36/14</v>
      </c>
      <c r="Q18" s="2" t="str">
        <f t="shared" si="0"/>
        <v>44/14</v>
      </c>
      <c r="R18" s="2" t="str">
        <f t="shared" si="0"/>
        <v>29/7</v>
      </c>
      <c r="S18" s="2" t="str">
        <f t="shared" si="0"/>
        <v>37/7</v>
      </c>
      <c r="T18" s="2" t="str">
        <f t="shared" si="1"/>
        <v>49/7</v>
      </c>
      <c r="U18" s="2" t="str">
        <f t="shared" si="1"/>
        <v>68/7</v>
      </c>
      <c r="V18" s="2" t="str">
        <f t="shared" si="1"/>
        <v>100/7</v>
      </c>
      <c r="W18" s="2" t="str">
        <f t="shared" si="1"/>
        <v>22.5/0.5</v>
      </c>
      <c r="X18" s="2" t="str">
        <f t="shared" si="1"/>
        <v>26/-3</v>
      </c>
      <c r="Y18" s="2" t="str">
        <f t="shared" si="1"/>
        <v>18/-4</v>
      </c>
      <c r="Z18" s="2" t="str">
        <f t="shared" si="1"/>
        <v>22/-8</v>
      </c>
      <c r="AA18" s="2" t="str">
        <f t="shared" si="1"/>
        <v>12/-10</v>
      </c>
      <c r="AB18" s="2" t="str">
        <f t="shared" si="1"/>
        <v>16/-14</v>
      </c>
      <c r="AC18" s="2" t="str">
        <f t="shared" si="1"/>
        <v>5/-17</v>
      </c>
      <c r="AD18" s="2" t="str">
        <f t="shared" si="1"/>
        <v>9/-21</v>
      </c>
      <c r="AE18" s="2" t="str">
        <f t="shared" si="1"/>
        <v>-2/-24</v>
      </c>
      <c r="AF18" s="2" t="str">
        <f t="shared" si="1"/>
        <v>2/-28</v>
      </c>
      <c r="AG18" s="2" t="str">
        <f t="shared" si="1"/>
        <v>-4/-34</v>
      </c>
      <c r="AH18" s="2" t="str">
        <f t="shared" si="1"/>
        <v>-11/-41</v>
      </c>
      <c r="AI18" s="2" t="str">
        <f t="shared" si="1"/>
        <v>-17/-47</v>
      </c>
      <c r="AJ18" s="2" t="str">
        <f t="shared" si="1"/>
        <v>-24/-54</v>
      </c>
      <c r="AK18" s="2" t="str">
        <f t="shared" si="1"/>
        <v>-40/-70</v>
      </c>
      <c r="AO18" s="76">
        <v>65</v>
      </c>
      <c r="AP18" s="77">
        <v>80</v>
      </c>
      <c r="AQ18" s="1">
        <v>-200</v>
      </c>
      <c r="AR18" s="1">
        <v>-150</v>
      </c>
      <c r="AS18" s="1">
        <v>-100</v>
      </c>
      <c r="AT18" s="1">
        <v>-100</v>
      </c>
      <c r="AU18" s="1">
        <v>-60</v>
      </c>
      <c r="AV18" s="1">
        <v>-60</v>
      </c>
      <c r="AW18" s="75">
        <v>-60</v>
      </c>
      <c r="AX18" s="75">
        <v>-30</v>
      </c>
      <c r="AY18" s="75">
        <v>-30</v>
      </c>
      <c r="AZ18" s="75">
        <v>-30</v>
      </c>
      <c r="BA18" s="75">
        <v>-10</v>
      </c>
      <c r="BB18" s="75">
        <v>-10</v>
      </c>
      <c r="BC18" s="75">
        <v>0</v>
      </c>
      <c r="BD18" s="75">
        <v>0</v>
      </c>
      <c r="BE18" s="75">
        <v>0</v>
      </c>
      <c r="BF18" s="75">
        <v>0</v>
      </c>
      <c r="BG18" s="75">
        <v>0</v>
      </c>
      <c r="BH18" s="75">
        <v>6.5</v>
      </c>
      <c r="BI18" s="75">
        <v>9.5</v>
      </c>
      <c r="BJ18" s="75">
        <v>15</v>
      </c>
      <c r="BK18" s="75">
        <v>15</v>
      </c>
      <c r="BL18" s="32">
        <v>21</v>
      </c>
      <c r="BM18" s="32">
        <v>24</v>
      </c>
      <c r="BN18" s="32">
        <v>30</v>
      </c>
      <c r="BO18" s="32">
        <v>39</v>
      </c>
      <c r="BP18" s="32">
        <v>51</v>
      </c>
      <c r="BQ18" s="32">
        <v>62</v>
      </c>
      <c r="BR18" s="32">
        <v>78</v>
      </c>
      <c r="BS18" s="32">
        <v>94</v>
      </c>
      <c r="BT18" s="32">
        <v>121</v>
      </c>
      <c r="BU18" s="82" t="s">
        <v>200</v>
      </c>
      <c r="BW18" s="59">
        <v>65</v>
      </c>
      <c r="BX18" s="48">
        <v>80</v>
      </c>
      <c r="BY18" s="2">
        <v>320</v>
      </c>
      <c r="BZ18" s="2">
        <v>224</v>
      </c>
      <c r="CA18" s="2">
        <v>270</v>
      </c>
      <c r="CB18" s="2">
        <v>146</v>
      </c>
      <c r="CC18" s="2">
        <v>174</v>
      </c>
      <c r="CD18" s="2">
        <v>220</v>
      </c>
      <c r="CE18" s="2">
        <v>90</v>
      </c>
      <c r="CF18" s="2">
        <v>106</v>
      </c>
      <c r="CG18" s="46">
        <v>134</v>
      </c>
      <c r="CH18" s="46">
        <v>49</v>
      </c>
      <c r="CI18" s="46">
        <v>60</v>
      </c>
      <c r="CJ18" s="46">
        <v>76</v>
      </c>
      <c r="CK18" s="46">
        <v>29</v>
      </c>
      <c r="CL18" s="46">
        <v>40</v>
      </c>
      <c r="CM18" s="46">
        <v>19</v>
      </c>
      <c r="CN18" s="46">
        <v>30</v>
      </c>
      <c r="CO18" s="46">
        <v>46</v>
      </c>
      <c r="CP18" s="46">
        <v>74</v>
      </c>
      <c r="CQ18" s="46">
        <v>120</v>
      </c>
      <c r="CR18" s="46">
        <v>9.5</v>
      </c>
      <c r="CS18" s="46">
        <v>15</v>
      </c>
      <c r="CT18" s="46">
        <v>4</v>
      </c>
      <c r="CU18" s="46">
        <v>9</v>
      </c>
      <c r="CV18" s="46">
        <v>-5</v>
      </c>
      <c r="CW18" s="46">
        <v>0</v>
      </c>
      <c r="CX18" s="46">
        <v>-14</v>
      </c>
      <c r="CY18" s="46">
        <v>-9</v>
      </c>
      <c r="CZ18" s="46">
        <v>-26</v>
      </c>
      <c r="DA18" s="2">
        <v>-21</v>
      </c>
      <c r="DB18" s="2">
        <v>-32</v>
      </c>
      <c r="DC18" s="2">
        <v>-48</v>
      </c>
      <c r="DD18" s="2">
        <v>-64</v>
      </c>
      <c r="DE18" s="2">
        <v>-91</v>
      </c>
      <c r="DF18" s="82" t="s">
        <v>201</v>
      </c>
    </row>
    <row r="19" spans="2:110" x14ac:dyDescent="0.7">
      <c r="B19" s="148"/>
      <c r="C19" s="42" t="s">
        <v>180</v>
      </c>
      <c r="D19" s="2" t="str">
        <f t="shared" si="0"/>
        <v>264/167</v>
      </c>
      <c r="E19" s="2" t="str">
        <f t="shared" si="0"/>
        <v>182/117</v>
      </c>
      <c r="F19" s="2" t="str">
        <f t="shared" si="0"/>
        <v>214/117</v>
      </c>
      <c r="G19" s="2" t="str">
        <f t="shared" si="0"/>
        <v>118/72</v>
      </c>
      <c r="H19" s="2" t="str">
        <f t="shared" si="0"/>
        <v>137/72</v>
      </c>
      <c r="I19" s="2" t="str">
        <f t="shared" si="0"/>
        <v>169/72</v>
      </c>
      <c r="J19" s="2" t="str">
        <f t="shared" si="0"/>
        <v>81/47</v>
      </c>
      <c r="K19" s="2" t="str">
        <f t="shared" si="0"/>
        <v>93/47</v>
      </c>
      <c r="L19" s="2" t="str">
        <f t="shared" si="0"/>
        <v>112/47</v>
      </c>
      <c r="M19" s="2" t="str">
        <f t="shared" si="0"/>
        <v>53/27</v>
      </c>
      <c r="N19" s="2" t="str">
        <f t="shared" si="0"/>
        <v>61/27</v>
      </c>
      <c r="O19" s="2" t="str">
        <f t="shared" si="0"/>
        <v>73/27</v>
      </c>
      <c r="P19" s="2" t="str">
        <f t="shared" si="0"/>
        <v>40/14</v>
      </c>
      <c r="Q19" s="2" t="str">
        <f t="shared" si="0"/>
        <v>48/14</v>
      </c>
      <c r="R19" s="2" t="str">
        <f t="shared" si="0"/>
        <v>33/7</v>
      </c>
      <c r="S19" s="2" t="str">
        <f t="shared" si="0"/>
        <v>41/7</v>
      </c>
      <c r="T19" s="2" t="str">
        <f t="shared" si="1"/>
        <v>53/7</v>
      </c>
      <c r="U19" s="2" t="str">
        <f t="shared" si="1"/>
        <v>72/7</v>
      </c>
      <c r="V19" s="2" t="str">
        <f t="shared" si="1"/>
        <v>104/7</v>
      </c>
      <c r="W19" s="2" t="str">
        <f t="shared" si="1"/>
        <v>26.5/0.5</v>
      </c>
      <c r="X19" s="2" t="str">
        <f t="shared" si="1"/>
        <v>30/-3</v>
      </c>
      <c r="Y19" s="2" t="str">
        <f t="shared" si="1"/>
        <v>22/-4</v>
      </c>
      <c r="Z19" s="2" t="str">
        <f t="shared" si="1"/>
        <v>26/-8</v>
      </c>
      <c r="AA19" s="2" t="str">
        <f t="shared" si="1"/>
        <v>16/-10</v>
      </c>
      <c r="AB19" s="2" t="str">
        <f t="shared" si="1"/>
        <v>20/-14</v>
      </c>
      <c r="AC19" s="2" t="str">
        <f t="shared" si="1"/>
        <v>9/-17</v>
      </c>
      <c r="AD19" s="2" t="str">
        <f t="shared" si="1"/>
        <v>13/-21</v>
      </c>
      <c r="AE19" s="2" t="str">
        <f t="shared" si="1"/>
        <v>2/-24</v>
      </c>
      <c r="AF19" s="2" t="str">
        <f t="shared" si="1"/>
        <v>6/-28</v>
      </c>
      <c r="AG19" s="2" t="str">
        <f t="shared" si="1"/>
        <v>0/-34</v>
      </c>
      <c r="AH19" s="2" t="str">
        <f t="shared" si="1"/>
        <v>-7/-41</v>
      </c>
      <c r="AI19" s="2" t="str">
        <f t="shared" si="1"/>
        <v>-13/-47</v>
      </c>
      <c r="AJ19" s="2" t="str">
        <f t="shared" si="1"/>
        <v>-20/-54</v>
      </c>
      <c r="AK19" s="2" t="str">
        <f t="shared" si="1"/>
        <v>-36/-70</v>
      </c>
      <c r="AO19" s="76">
        <v>80</v>
      </c>
      <c r="AP19" s="77">
        <v>100</v>
      </c>
      <c r="AQ19" s="1">
        <v>-220</v>
      </c>
      <c r="AR19" s="1">
        <v>-170</v>
      </c>
      <c r="AS19" s="1">
        <v>-120</v>
      </c>
      <c r="AT19" s="1">
        <v>-120</v>
      </c>
      <c r="AU19" s="1">
        <v>-72</v>
      </c>
      <c r="AV19" s="1">
        <v>-72</v>
      </c>
      <c r="AW19" s="75">
        <v>-72</v>
      </c>
      <c r="AX19" s="75">
        <v>-36</v>
      </c>
      <c r="AY19" s="75">
        <v>-36</v>
      </c>
      <c r="AZ19" s="75">
        <v>-36</v>
      </c>
      <c r="BA19" s="75">
        <v>-12</v>
      </c>
      <c r="BB19" s="75">
        <v>-12</v>
      </c>
      <c r="BC19" s="75">
        <v>0</v>
      </c>
      <c r="BD19" s="75">
        <v>0</v>
      </c>
      <c r="BE19" s="75">
        <v>0</v>
      </c>
      <c r="BF19" s="75">
        <v>0</v>
      </c>
      <c r="BG19" s="75">
        <v>0</v>
      </c>
      <c r="BH19" s="75">
        <v>7.5</v>
      </c>
      <c r="BI19" s="75">
        <v>11</v>
      </c>
      <c r="BJ19" s="75">
        <v>17</v>
      </c>
      <c r="BK19" s="75">
        <v>18</v>
      </c>
      <c r="BL19" s="32">
        <v>25</v>
      </c>
      <c r="BM19" s="32">
        <v>28</v>
      </c>
      <c r="BN19" s="32">
        <v>35</v>
      </c>
      <c r="BO19" s="32">
        <v>45</v>
      </c>
      <c r="BP19" s="32">
        <v>59</v>
      </c>
      <c r="BQ19" s="32">
        <v>73</v>
      </c>
      <c r="BR19" s="32">
        <v>93</v>
      </c>
      <c r="BS19" s="32">
        <v>113</v>
      </c>
      <c r="BT19" s="32">
        <v>146</v>
      </c>
      <c r="BU19" s="82" t="s">
        <v>200</v>
      </c>
      <c r="BW19" s="59">
        <v>80</v>
      </c>
      <c r="BX19" s="48">
        <v>100</v>
      </c>
      <c r="BY19" s="2">
        <v>360</v>
      </c>
      <c r="BZ19" s="2">
        <v>257</v>
      </c>
      <c r="CA19" s="2">
        <v>310</v>
      </c>
      <c r="CB19" s="2">
        <v>174</v>
      </c>
      <c r="CC19" s="2">
        <v>207</v>
      </c>
      <c r="CD19" s="2">
        <v>260</v>
      </c>
      <c r="CE19" s="2">
        <v>107</v>
      </c>
      <c r="CF19" s="2">
        <v>126</v>
      </c>
      <c r="CG19" s="2">
        <v>159</v>
      </c>
      <c r="CH19" s="2">
        <v>58</v>
      </c>
      <c r="CI19" s="2">
        <v>71</v>
      </c>
      <c r="CJ19" s="46">
        <v>90</v>
      </c>
      <c r="CK19" s="46">
        <v>34</v>
      </c>
      <c r="CL19" s="46">
        <v>47</v>
      </c>
      <c r="CM19" s="46">
        <v>22</v>
      </c>
      <c r="CN19" s="46">
        <v>35</v>
      </c>
      <c r="CO19" s="46">
        <v>54</v>
      </c>
      <c r="CP19" s="46">
        <v>87</v>
      </c>
      <c r="CQ19" s="46">
        <v>140</v>
      </c>
      <c r="CR19" s="46">
        <v>11</v>
      </c>
      <c r="CS19" s="46">
        <v>17</v>
      </c>
      <c r="CT19" s="46">
        <v>4</v>
      </c>
      <c r="CU19" s="46">
        <v>10</v>
      </c>
      <c r="CV19" s="46">
        <v>-6</v>
      </c>
      <c r="CW19" s="46">
        <v>0</v>
      </c>
      <c r="CX19" s="46">
        <v>-16</v>
      </c>
      <c r="CY19" s="46">
        <v>-10</v>
      </c>
      <c r="CZ19" s="46">
        <v>-30</v>
      </c>
      <c r="DA19" s="2">
        <v>-24</v>
      </c>
      <c r="DB19" s="2">
        <v>-38</v>
      </c>
      <c r="DC19" s="2">
        <v>-58</v>
      </c>
      <c r="DD19" s="2">
        <v>-78</v>
      </c>
      <c r="DE19" s="2">
        <v>-111</v>
      </c>
      <c r="DF19" s="82" t="s">
        <v>201</v>
      </c>
    </row>
    <row r="20" spans="2:110" x14ac:dyDescent="0.7">
      <c r="B20" s="148"/>
      <c r="C20" s="42" t="s">
        <v>181</v>
      </c>
      <c r="D20" s="2" t="str">
        <f t="shared" si="0"/>
        <v>253/160</v>
      </c>
      <c r="E20" s="2" t="str">
        <f t="shared" si="0"/>
        <v>171/110</v>
      </c>
      <c r="F20" s="2" t="str">
        <f t="shared" si="0"/>
        <v>203/110</v>
      </c>
      <c r="G20" s="2" t="str">
        <f t="shared" si="0"/>
        <v>107/65</v>
      </c>
      <c r="H20" s="2" t="str">
        <f t="shared" si="0"/>
        <v>126/65</v>
      </c>
      <c r="I20" s="2" t="str">
        <f t="shared" si="0"/>
        <v>158/65</v>
      </c>
      <c r="J20" s="2" t="str">
        <f t="shared" si="0"/>
        <v>70/40</v>
      </c>
      <c r="K20" s="2" t="str">
        <f t="shared" si="0"/>
        <v>82/40</v>
      </c>
      <c r="L20" s="2" t="str">
        <f t="shared" si="0"/>
        <v>101/40</v>
      </c>
      <c r="M20" s="2" t="str">
        <f t="shared" si="0"/>
        <v>42/20</v>
      </c>
      <c r="N20" s="2" t="str">
        <f t="shared" si="0"/>
        <v>50/20</v>
      </c>
      <c r="O20" s="2" t="str">
        <f t="shared" si="0"/>
        <v>62/20</v>
      </c>
      <c r="P20" s="2" t="str">
        <f t="shared" si="0"/>
        <v>29/7</v>
      </c>
      <c r="Q20" s="2" t="str">
        <f t="shared" si="0"/>
        <v>37/7</v>
      </c>
      <c r="R20" s="2" t="str">
        <f t="shared" si="0"/>
        <v>22/0</v>
      </c>
      <c r="S20" s="2" t="str">
        <f t="shared" si="0"/>
        <v>30/0</v>
      </c>
      <c r="T20" s="2" t="str">
        <f t="shared" si="1"/>
        <v>42/0</v>
      </c>
      <c r="U20" s="2" t="str">
        <f t="shared" si="1"/>
        <v>61/0</v>
      </c>
      <c r="V20" s="2" t="str">
        <f t="shared" si="1"/>
        <v>93/0</v>
      </c>
      <c r="W20" s="2" t="str">
        <f t="shared" si="1"/>
        <v>15.5/-6.5</v>
      </c>
      <c r="X20" s="2" t="str">
        <f t="shared" si="1"/>
        <v>19/-10</v>
      </c>
      <c r="Y20" s="2" t="str">
        <f t="shared" si="1"/>
        <v>11/-11</v>
      </c>
      <c r="Z20" s="2" t="str">
        <f t="shared" si="1"/>
        <v>15/-15</v>
      </c>
      <c r="AA20" s="2" t="str">
        <f t="shared" si="1"/>
        <v>5/-17</v>
      </c>
      <c r="AB20" s="2" t="str">
        <f t="shared" si="1"/>
        <v>9/-21</v>
      </c>
      <c r="AC20" s="2" t="str">
        <f t="shared" si="1"/>
        <v>-2/-24</v>
      </c>
      <c r="AD20" s="2" t="str">
        <f t="shared" si="1"/>
        <v>2/-28</v>
      </c>
      <c r="AE20" s="2" t="str">
        <f t="shared" si="1"/>
        <v>-9/-31</v>
      </c>
      <c r="AF20" s="2" t="str">
        <f t="shared" si="1"/>
        <v>-5/-35</v>
      </c>
      <c r="AG20" s="2" t="str">
        <f t="shared" si="1"/>
        <v>-11/-41</v>
      </c>
      <c r="AH20" s="2" t="str">
        <f t="shared" si="1"/>
        <v>-18/-48</v>
      </c>
      <c r="AI20" s="2" t="str">
        <f t="shared" si="1"/>
        <v>-24/-54</v>
      </c>
      <c r="AJ20" s="2" t="str">
        <f t="shared" si="1"/>
        <v>-31/-61</v>
      </c>
      <c r="AK20" s="2" t="str">
        <f t="shared" si="1"/>
        <v>-47/-77</v>
      </c>
      <c r="AO20" s="76">
        <v>100</v>
      </c>
      <c r="AP20" s="77">
        <v>120</v>
      </c>
      <c r="AQ20" s="1">
        <v>-240</v>
      </c>
      <c r="AR20" s="1">
        <v>-180</v>
      </c>
      <c r="AS20" s="1">
        <v>-120</v>
      </c>
      <c r="AT20" s="1">
        <v>-120</v>
      </c>
      <c r="AU20" s="1">
        <v>-72</v>
      </c>
      <c r="AV20" s="1">
        <v>-72</v>
      </c>
      <c r="AW20" s="75">
        <v>-72</v>
      </c>
      <c r="AX20" s="75">
        <v>-36</v>
      </c>
      <c r="AY20" s="75">
        <v>-36</v>
      </c>
      <c r="AZ20" s="75">
        <v>-36</v>
      </c>
      <c r="BA20" s="75">
        <v>-12</v>
      </c>
      <c r="BB20" s="75">
        <v>-12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7.5</v>
      </c>
      <c r="BI20" s="75">
        <v>11</v>
      </c>
      <c r="BJ20" s="75">
        <v>17</v>
      </c>
      <c r="BK20" s="75">
        <v>18</v>
      </c>
      <c r="BL20" s="32">
        <v>25</v>
      </c>
      <c r="BM20" s="32">
        <v>28</v>
      </c>
      <c r="BN20" s="32">
        <v>35</v>
      </c>
      <c r="BO20" s="32">
        <v>45</v>
      </c>
      <c r="BP20" s="32">
        <v>59</v>
      </c>
      <c r="BQ20" s="32">
        <v>76</v>
      </c>
      <c r="BR20" s="32">
        <v>101</v>
      </c>
      <c r="BS20" s="32">
        <v>126</v>
      </c>
      <c r="BT20" s="32">
        <v>166</v>
      </c>
      <c r="BU20" s="82" t="s">
        <v>200</v>
      </c>
      <c r="BW20" s="59">
        <v>100</v>
      </c>
      <c r="BX20" s="48">
        <v>120</v>
      </c>
      <c r="BY20" s="2">
        <v>380</v>
      </c>
      <c r="BZ20" s="2">
        <v>267</v>
      </c>
      <c r="CA20" s="2">
        <v>320</v>
      </c>
      <c r="CB20" s="2">
        <v>174</v>
      </c>
      <c r="CC20" s="2">
        <v>207</v>
      </c>
      <c r="CD20" s="2">
        <v>260</v>
      </c>
      <c r="CE20" s="2">
        <v>107</v>
      </c>
      <c r="CF20" s="2">
        <v>126</v>
      </c>
      <c r="CG20" s="2">
        <v>159</v>
      </c>
      <c r="CH20" s="2">
        <v>58</v>
      </c>
      <c r="CI20" s="2">
        <v>71</v>
      </c>
      <c r="CJ20" s="46">
        <v>90</v>
      </c>
      <c r="CK20" s="46">
        <v>34</v>
      </c>
      <c r="CL20" s="46">
        <v>47</v>
      </c>
      <c r="CM20" s="46">
        <v>22</v>
      </c>
      <c r="CN20" s="46">
        <v>35</v>
      </c>
      <c r="CO20" s="46">
        <v>54</v>
      </c>
      <c r="CP20" s="46">
        <v>87</v>
      </c>
      <c r="CQ20" s="46">
        <v>140</v>
      </c>
      <c r="CR20" s="46">
        <v>11</v>
      </c>
      <c r="CS20" s="46">
        <v>17</v>
      </c>
      <c r="CT20" s="46">
        <v>4</v>
      </c>
      <c r="CU20" s="46">
        <v>10</v>
      </c>
      <c r="CV20" s="46">
        <v>-6</v>
      </c>
      <c r="CW20" s="46">
        <v>0</v>
      </c>
      <c r="CX20" s="46">
        <v>-16</v>
      </c>
      <c r="CY20" s="46">
        <v>-10</v>
      </c>
      <c r="CZ20" s="46">
        <v>-30</v>
      </c>
      <c r="DA20" s="2">
        <v>-24</v>
      </c>
      <c r="DB20" s="2">
        <v>-41</v>
      </c>
      <c r="DC20" s="2">
        <v>-66</v>
      </c>
      <c r="DD20" s="2">
        <v>-91</v>
      </c>
      <c r="DE20" s="2">
        <v>-131</v>
      </c>
      <c r="DF20" s="82" t="s">
        <v>201</v>
      </c>
    </row>
    <row r="21" spans="2:110" x14ac:dyDescent="0.7">
      <c r="B21" s="148"/>
      <c r="C21" s="42" t="s">
        <v>182</v>
      </c>
      <c r="D21" s="2" t="str">
        <f t="shared" si="0"/>
        <v>257/160</v>
      </c>
      <c r="E21" s="2" t="str">
        <f t="shared" si="0"/>
        <v>175/110</v>
      </c>
      <c r="F21" s="2" t="str">
        <f t="shared" si="0"/>
        <v>207/110</v>
      </c>
      <c r="G21" s="2" t="str">
        <f t="shared" si="0"/>
        <v>111/65</v>
      </c>
      <c r="H21" s="2" t="str">
        <f t="shared" si="0"/>
        <v>130/65</v>
      </c>
      <c r="I21" s="2" t="str">
        <f t="shared" si="0"/>
        <v>162/65</v>
      </c>
      <c r="J21" s="2" t="str">
        <f t="shared" si="0"/>
        <v>74/40</v>
      </c>
      <c r="K21" s="2" t="str">
        <f t="shared" si="0"/>
        <v>86/40</v>
      </c>
      <c r="L21" s="2" t="str">
        <f t="shared" si="0"/>
        <v>105/40</v>
      </c>
      <c r="M21" s="2" t="str">
        <f t="shared" si="0"/>
        <v>46/20</v>
      </c>
      <c r="N21" s="2" t="str">
        <f t="shared" si="0"/>
        <v>54/20</v>
      </c>
      <c r="O21" s="2" t="str">
        <f t="shared" si="0"/>
        <v>66/20</v>
      </c>
      <c r="P21" s="2" t="str">
        <f t="shared" si="0"/>
        <v>33/7</v>
      </c>
      <c r="Q21" s="2" t="str">
        <f t="shared" si="0"/>
        <v>41/7</v>
      </c>
      <c r="R21" s="2" t="str">
        <f t="shared" si="0"/>
        <v>26/0</v>
      </c>
      <c r="S21" s="2" t="str">
        <f t="shared" si="0"/>
        <v>34/0</v>
      </c>
      <c r="T21" s="2" t="str">
        <f t="shared" si="1"/>
        <v>46/0</v>
      </c>
      <c r="U21" s="2" t="str">
        <f t="shared" si="1"/>
        <v>65/0</v>
      </c>
      <c r="V21" s="2" t="str">
        <f t="shared" si="1"/>
        <v>97/0</v>
      </c>
      <c r="W21" s="2" t="str">
        <f t="shared" si="1"/>
        <v>19.5/-6.5</v>
      </c>
      <c r="X21" s="2" t="str">
        <f t="shared" si="1"/>
        <v>23/-10</v>
      </c>
      <c r="Y21" s="2" t="str">
        <f t="shared" si="1"/>
        <v>15/-11</v>
      </c>
      <c r="Z21" s="2" t="str">
        <f t="shared" si="1"/>
        <v>19/-15</v>
      </c>
      <c r="AA21" s="2" t="str">
        <f t="shared" si="1"/>
        <v>9/-17</v>
      </c>
      <c r="AB21" s="2" t="str">
        <f t="shared" si="1"/>
        <v>13/-21</v>
      </c>
      <c r="AC21" s="2" t="str">
        <f t="shared" si="1"/>
        <v>2/-24</v>
      </c>
      <c r="AD21" s="2" t="str">
        <f t="shared" si="1"/>
        <v>6/-28</v>
      </c>
      <c r="AE21" s="2" t="str">
        <f t="shared" si="1"/>
        <v>-5/-31</v>
      </c>
      <c r="AF21" s="2" t="str">
        <f t="shared" si="1"/>
        <v>-1/-35</v>
      </c>
      <c r="AG21" s="2" t="str">
        <f t="shared" si="1"/>
        <v>-7/-41</v>
      </c>
      <c r="AH21" s="2" t="str">
        <f t="shared" si="1"/>
        <v>-14/-48</v>
      </c>
      <c r="AI21" s="2" t="str">
        <f t="shared" si="1"/>
        <v>-20/-54</v>
      </c>
      <c r="AJ21" s="2" t="str">
        <f t="shared" si="1"/>
        <v>-27/-61</v>
      </c>
      <c r="AK21" s="2" t="str">
        <f t="shared" si="1"/>
        <v>-43/-77</v>
      </c>
      <c r="AO21" s="76">
        <v>120</v>
      </c>
      <c r="AP21" s="77">
        <v>140</v>
      </c>
      <c r="AQ21" s="1">
        <v>-260</v>
      </c>
      <c r="AR21" s="1">
        <v>-200</v>
      </c>
      <c r="AS21" s="1">
        <v>-145</v>
      </c>
      <c r="AT21" s="1">
        <v>-145</v>
      </c>
      <c r="AU21" s="1">
        <v>-85</v>
      </c>
      <c r="AV21" s="1">
        <v>-85</v>
      </c>
      <c r="AW21" s="75">
        <v>-85</v>
      </c>
      <c r="AX21" s="75">
        <v>-43</v>
      </c>
      <c r="AY21" s="75">
        <v>-43</v>
      </c>
      <c r="AZ21" s="75">
        <v>-43</v>
      </c>
      <c r="BA21" s="75">
        <v>-14</v>
      </c>
      <c r="BB21" s="75">
        <v>-14</v>
      </c>
      <c r="BC21" s="75">
        <v>0</v>
      </c>
      <c r="BD21" s="75">
        <v>0</v>
      </c>
      <c r="BE21" s="75">
        <v>0</v>
      </c>
      <c r="BF21" s="75">
        <v>0</v>
      </c>
      <c r="BG21" s="75">
        <v>0</v>
      </c>
      <c r="BH21" s="75">
        <v>9</v>
      </c>
      <c r="BI21" s="75">
        <v>12.5</v>
      </c>
      <c r="BJ21" s="75">
        <v>20</v>
      </c>
      <c r="BK21" s="75">
        <v>21</v>
      </c>
      <c r="BL21" s="32">
        <v>28</v>
      </c>
      <c r="BM21" s="32">
        <v>33</v>
      </c>
      <c r="BN21" s="32">
        <v>40</v>
      </c>
      <c r="BO21" s="32">
        <v>52</v>
      </c>
      <c r="BP21" s="32">
        <v>68</v>
      </c>
      <c r="BQ21" s="32">
        <v>88</v>
      </c>
      <c r="BR21" s="32">
        <v>117</v>
      </c>
      <c r="BS21" s="32">
        <v>147</v>
      </c>
      <c r="BT21" s="49" t="s">
        <v>200</v>
      </c>
      <c r="BU21" s="82" t="s">
        <v>200</v>
      </c>
      <c r="BW21" s="59">
        <v>120</v>
      </c>
      <c r="BX21" s="48">
        <v>140</v>
      </c>
      <c r="BY21" s="2">
        <v>420</v>
      </c>
      <c r="BZ21" s="2">
        <v>300</v>
      </c>
      <c r="CA21" s="2">
        <v>360</v>
      </c>
      <c r="CB21" s="2">
        <v>208</v>
      </c>
      <c r="CC21" s="2">
        <v>245</v>
      </c>
      <c r="CD21" s="2">
        <v>305</v>
      </c>
      <c r="CE21" s="2">
        <v>125</v>
      </c>
      <c r="CF21" s="2">
        <v>148</v>
      </c>
      <c r="CG21" s="2">
        <v>185</v>
      </c>
      <c r="CH21" s="2">
        <v>68</v>
      </c>
      <c r="CI21" s="2">
        <v>83</v>
      </c>
      <c r="CJ21" s="46">
        <v>106</v>
      </c>
      <c r="CK21" s="46">
        <v>39</v>
      </c>
      <c r="CL21" s="46">
        <v>54</v>
      </c>
      <c r="CM21" s="46">
        <v>25</v>
      </c>
      <c r="CN21" s="46">
        <v>40</v>
      </c>
      <c r="CO21" s="46">
        <v>63</v>
      </c>
      <c r="CP21" s="46">
        <v>100</v>
      </c>
      <c r="CQ21" s="46">
        <v>160</v>
      </c>
      <c r="CR21" s="46">
        <v>12.5</v>
      </c>
      <c r="CS21" s="46">
        <v>20</v>
      </c>
      <c r="CT21" s="46">
        <v>4</v>
      </c>
      <c r="CU21" s="46">
        <v>12</v>
      </c>
      <c r="CV21" s="46">
        <v>-8</v>
      </c>
      <c r="CW21" s="46">
        <v>0</v>
      </c>
      <c r="CX21" s="46">
        <v>-20</v>
      </c>
      <c r="CY21" s="46">
        <v>-12</v>
      </c>
      <c r="CZ21" s="46">
        <v>-36</v>
      </c>
      <c r="DA21" s="2">
        <v>-28</v>
      </c>
      <c r="DB21" s="2">
        <v>-48</v>
      </c>
      <c r="DC21" s="2">
        <v>-77</v>
      </c>
      <c r="DD21" s="2">
        <v>-107</v>
      </c>
      <c r="DE21" s="47" t="s">
        <v>201</v>
      </c>
      <c r="DF21" s="82" t="s">
        <v>201</v>
      </c>
    </row>
    <row r="22" spans="2:110" x14ac:dyDescent="0.7">
      <c r="B22" s="148"/>
      <c r="C22" s="42" t="s">
        <v>183</v>
      </c>
      <c r="D22" s="2" t="str">
        <f t="shared" si="0"/>
        <v>265/160</v>
      </c>
      <c r="E22" s="2" t="str">
        <f t="shared" si="0"/>
        <v>183/110</v>
      </c>
      <c r="F22" s="2" t="str">
        <f t="shared" si="0"/>
        <v>215/110</v>
      </c>
      <c r="G22" s="2" t="str">
        <f t="shared" si="0"/>
        <v>119/65</v>
      </c>
      <c r="H22" s="2" t="str">
        <f t="shared" si="0"/>
        <v>138/65</v>
      </c>
      <c r="I22" s="2" t="str">
        <f t="shared" si="0"/>
        <v>170/65</v>
      </c>
      <c r="J22" s="2" t="str">
        <f t="shared" si="0"/>
        <v>82/40</v>
      </c>
      <c r="K22" s="2" t="str">
        <f t="shared" si="0"/>
        <v>94/40</v>
      </c>
      <c r="L22" s="2" t="str">
        <f t="shared" si="0"/>
        <v>113/40</v>
      </c>
      <c r="M22" s="2" t="str">
        <f t="shared" si="0"/>
        <v>54/20</v>
      </c>
      <c r="N22" s="2" t="str">
        <f t="shared" si="0"/>
        <v>62/20</v>
      </c>
      <c r="O22" s="2" t="str">
        <f t="shared" si="0"/>
        <v>74/20</v>
      </c>
      <c r="P22" s="2" t="str">
        <f t="shared" si="0"/>
        <v>41/7</v>
      </c>
      <c r="Q22" s="2" t="str">
        <f t="shared" si="0"/>
        <v>49/7</v>
      </c>
      <c r="R22" s="2" t="str">
        <f t="shared" si="0"/>
        <v>34/0</v>
      </c>
      <c r="S22" s="2" t="str">
        <f t="shared" si="0"/>
        <v>42/0</v>
      </c>
      <c r="T22" s="2" t="str">
        <f t="shared" si="1"/>
        <v>54/0</v>
      </c>
      <c r="U22" s="2" t="str">
        <f t="shared" si="1"/>
        <v>73/0</v>
      </c>
      <c r="V22" s="2" t="str">
        <f t="shared" si="1"/>
        <v>105/0</v>
      </c>
      <c r="W22" s="2" t="str">
        <f t="shared" ref="W22:AK38" si="2">VLOOKUP($B$7-0.000001,$BW$8:$DF$32,MATCH(W$7,$BW$7:$DF$7,0))-VLOOKUP($B$7-0.000001,$AO$36:$BU$60,MATCH($C22,$AO$35:$BU$35,0))
&amp;"/"&amp;
VLOOKUP($B$7-0.000001,$BW$36:$DF$60,MATCH(W$7,$BW$35:$DF$35,0))-VLOOKUP($B$7-0.000001,$AO$8:$BU$32,MATCH($C22,$AO$7:$BU$7,0))</f>
        <v>27.5/-6.5</v>
      </c>
      <c r="X22" s="2" t="str">
        <f t="shared" si="2"/>
        <v>31/-10</v>
      </c>
      <c r="Y22" s="2" t="str">
        <f t="shared" si="2"/>
        <v>23/-11</v>
      </c>
      <c r="Z22" s="2" t="str">
        <f t="shared" si="2"/>
        <v>27/-15</v>
      </c>
      <c r="AA22" s="2" t="str">
        <f t="shared" si="2"/>
        <v>17/-17</v>
      </c>
      <c r="AB22" s="2" t="str">
        <f t="shared" si="2"/>
        <v>21/-21</v>
      </c>
      <c r="AC22" s="2" t="str">
        <f t="shared" si="2"/>
        <v>10/-24</v>
      </c>
      <c r="AD22" s="2" t="str">
        <f t="shared" si="2"/>
        <v>14/-28</v>
      </c>
      <c r="AE22" s="2" t="str">
        <f t="shared" si="2"/>
        <v>3/-31</v>
      </c>
      <c r="AF22" s="2" t="str">
        <f t="shared" si="2"/>
        <v>7/-35</v>
      </c>
      <c r="AG22" s="2" t="str">
        <f t="shared" si="2"/>
        <v>1/-41</v>
      </c>
      <c r="AH22" s="2" t="str">
        <f t="shared" si="2"/>
        <v>-6/-48</v>
      </c>
      <c r="AI22" s="2" t="str">
        <f t="shared" si="2"/>
        <v>-12/-54</v>
      </c>
      <c r="AJ22" s="2" t="str">
        <f t="shared" si="2"/>
        <v>-19/-61</v>
      </c>
      <c r="AK22" s="2" t="str">
        <f t="shared" si="2"/>
        <v>-35/-77</v>
      </c>
      <c r="AO22" s="78">
        <v>140</v>
      </c>
      <c r="AP22" s="79">
        <v>160</v>
      </c>
      <c r="AQ22" s="1">
        <v>-280</v>
      </c>
      <c r="AR22" s="1">
        <v>-210</v>
      </c>
      <c r="AS22" s="1">
        <v>-145</v>
      </c>
      <c r="AT22" s="1">
        <v>-145</v>
      </c>
      <c r="AU22" s="1">
        <v>-85</v>
      </c>
      <c r="AV22" s="1">
        <v>-85</v>
      </c>
      <c r="AW22" s="75">
        <v>-85</v>
      </c>
      <c r="AX22" s="75">
        <v>-43</v>
      </c>
      <c r="AY22" s="75">
        <v>-43</v>
      </c>
      <c r="AZ22" s="75">
        <v>-43</v>
      </c>
      <c r="BA22" s="75">
        <v>-14</v>
      </c>
      <c r="BB22" s="75">
        <v>-14</v>
      </c>
      <c r="BC22" s="75">
        <v>0</v>
      </c>
      <c r="BD22" s="75">
        <v>0</v>
      </c>
      <c r="BE22" s="75">
        <v>0</v>
      </c>
      <c r="BF22" s="75">
        <v>0</v>
      </c>
      <c r="BG22" s="75">
        <v>0</v>
      </c>
      <c r="BH22" s="75">
        <v>9</v>
      </c>
      <c r="BI22" s="75">
        <v>12.5</v>
      </c>
      <c r="BJ22" s="75">
        <v>20</v>
      </c>
      <c r="BK22" s="75">
        <v>21</v>
      </c>
      <c r="BL22" s="32">
        <v>28</v>
      </c>
      <c r="BM22" s="32">
        <v>33</v>
      </c>
      <c r="BN22" s="32">
        <v>40</v>
      </c>
      <c r="BO22" s="32">
        <v>52</v>
      </c>
      <c r="BP22" s="32">
        <v>68</v>
      </c>
      <c r="BQ22" s="32">
        <v>90</v>
      </c>
      <c r="BR22" s="32">
        <v>125</v>
      </c>
      <c r="BS22" s="32">
        <v>159</v>
      </c>
      <c r="BT22" s="49" t="s">
        <v>200</v>
      </c>
      <c r="BU22" s="82" t="s">
        <v>200</v>
      </c>
      <c r="BW22" s="59">
        <v>140</v>
      </c>
      <c r="BX22" s="48">
        <v>160</v>
      </c>
      <c r="BY22" s="2">
        <v>440</v>
      </c>
      <c r="BZ22" s="2">
        <v>310</v>
      </c>
      <c r="CA22" s="2">
        <v>370</v>
      </c>
      <c r="CB22" s="2">
        <v>208</v>
      </c>
      <c r="CC22" s="2">
        <v>245</v>
      </c>
      <c r="CD22" s="2">
        <v>305</v>
      </c>
      <c r="CE22" s="2">
        <v>125</v>
      </c>
      <c r="CF22" s="2">
        <v>148</v>
      </c>
      <c r="CG22" s="2">
        <v>185</v>
      </c>
      <c r="CH22" s="2">
        <v>68</v>
      </c>
      <c r="CI22" s="2">
        <v>83</v>
      </c>
      <c r="CJ22" s="46">
        <v>106</v>
      </c>
      <c r="CK22" s="46">
        <v>39</v>
      </c>
      <c r="CL22" s="46">
        <v>54</v>
      </c>
      <c r="CM22" s="46">
        <v>25</v>
      </c>
      <c r="CN22" s="46">
        <v>40</v>
      </c>
      <c r="CO22" s="46">
        <v>63</v>
      </c>
      <c r="CP22" s="46">
        <v>100</v>
      </c>
      <c r="CQ22" s="46">
        <v>160</v>
      </c>
      <c r="CR22" s="46">
        <v>12.5</v>
      </c>
      <c r="CS22" s="46">
        <v>20</v>
      </c>
      <c r="CT22" s="46">
        <v>4</v>
      </c>
      <c r="CU22" s="46">
        <v>12</v>
      </c>
      <c r="CV22" s="46">
        <v>-8</v>
      </c>
      <c r="CW22" s="46">
        <v>0</v>
      </c>
      <c r="CX22" s="46">
        <v>-20</v>
      </c>
      <c r="CY22" s="46">
        <v>-12</v>
      </c>
      <c r="CZ22" s="46">
        <v>-36</v>
      </c>
      <c r="DA22" s="2">
        <v>-28</v>
      </c>
      <c r="DB22" s="2">
        <v>-50</v>
      </c>
      <c r="DC22" s="2">
        <v>-85</v>
      </c>
      <c r="DD22" s="2">
        <v>-119</v>
      </c>
      <c r="DE22" s="47" t="s">
        <v>201</v>
      </c>
      <c r="DF22" s="82" t="s">
        <v>201</v>
      </c>
    </row>
    <row r="23" spans="2:110" x14ac:dyDescent="0.7">
      <c r="B23" s="148"/>
      <c r="C23" s="42" t="s">
        <v>184</v>
      </c>
      <c r="D23" s="2" t="str">
        <f t="shared" si="0"/>
        <v>277/160</v>
      </c>
      <c r="E23" s="2" t="str">
        <f t="shared" si="0"/>
        <v>195/110</v>
      </c>
      <c r="F23" s="2" t="str">
        <f t="shared" si="0"/>
        <v>227/110</v>
      </c>
      <c r="G23" s="2" t="str">
        <f t="shared" si="0"/>
        <v>131/65</v>
      </c>
      <c r="H23" s="2" t="str">
        <f t="shared" si="0"/>
        <v>150/65</v>
      </c>
      <c r="I23" s="2" t="str">
        <f t="shared" si="0"/>
        <v>182/65</v>
      </c>
      <c r="J23" s="2" t="str">
        <f t="shared" si="0"/>
        <v>94/40</v>
      </c>
      <c r="K23" s="2" t="str">
        <f t="shared" si="0"/>
        <v>106/40</v>
      </c>
      <c r="L23" s="2" t="str">
        <f t="shared" si="0"/>
        <v>125/40</v>
      </c>
      <c r="M23" s="2" t="str">
        <f t="shared" si="0"/>
        <v>66/20</v>
      </c>
      <c r="N23" s="2" t="str">
        <f t="shared" si="0"/>
        <v>74/20</v>
      </c>
      <c r="O23" s="2" t="str">
        <f t="shared" si="0"/>
        <v>86/20</v>
      </c>
      <c r="P23" s="2" t="str">
        <f t="shared" si="0"/>
        <v>53/7</v>
      </c>
      <c r="Q23" s="2" t="str">
        <f t="shared" si="0"/>
        <v>61/7</v>
      </c>
      <c r="R23" s="2" t="str">
        <f t="shared" si="0"/>
        <v>46/0</v>
      </c>
      <c r="S23" s="2" t="str">
        <f t="shared" ref="S23:Z38" si="3">VLOOKUP($B$7-0.000001,$BW$8:$DF$32,MATCH(S$7,$BW$7:$DF$7,0))-VLOOKUP($B$7-0.000001,$AO$36:$BU$60,MATCH($C23,$AO$35:$BU$35,0))
&amp;"/"&amp;
VLOOKUP($B$7-0.000001,$BW$36:$DF$60,MATCH(S$7,$BW$35:$DF$35,0))-VLOOKUP($B$7-0.000001,$AO$8:$BU$32,MATCH($C23,$AO$7:$BU$7,0))</f>
        <v>54/0</v>
      </c>
      <c r="T23" s="2" t="str">
        <f t="shared" si="3"/>
        <v>66/0</v>
      </c>
      <c r="U23" s="2" t="str">
        <f t="shared" si="3"/>
        <v>85/0</v>
      </c>
      <c r="V23" s="2" t="str">
        <f t="shared" si="3"/>
        <v>117/0</v>
      </c>
      <c r="W23" s="2" t="str">
        <f t="shared" si="3"/>
        <v>39.5/-6.5</v>
      </c>
      <c r="X23" s="2" t="str">
        <f t="shared" si="3"/>
        <v>43/-10</v>
      </c>
      <c r="Y23" s="2" t="str">
        <f t="shared" si="3"/>
        <v>35/-11</v>
      </c>
      <c r="Z23" s="2" t="str">
        <f t="shared" si="3"/>
        <v>39/-15</v>
      </c>
      <c r="AA23" s="2" t="str">
        <f t="shared" si="2"/>
        <v>29/-17</v>
      </c>
      <c r="AB23" s="2" t="str">
        <f t="shared" si="2"/>
        <v>33/-21</v>
      </c>
      <c r="AC23" s="2" t="str">
        <f t="shared" si="2"/>
        <v>22/-24</v>
      </c>
      <c r="AD23" s="2" t="str">
        <f t="shared" si="2"/>
        <v>26/-28</v>
      </c>
      <c r="AE23" s="2" t="str">
        <f t="shared" si="2"/>
        <v>15/-31</v>
      </c>
      <c r="AF23" s="2" t="str">
        <f t="shared" si="2"/>
        <v>19/-35</v>
      </c>
      <c r="AG23" s="2" t="str">
        <f t="shared" si="2"/>
        <v>13/-41</v>
      </c>
      <c r="AH23" s="2" t="str">
        <f t="shared" si="2"/>
        <v>6/-48</v>
      </c>
      <c r="AI23" s="2" t="str">
        <f t="shared" si="2"/>
        <v>0/-54</v>
      </c>
      <c r="AJ23" s="2" t="str">
        <f t="shared" si="2"/>
        <v>-7/-61</v>
      </c>
      <c r="AK23" s="2" t="str">
        <f t="shared" si="2"/>
        <v>-23/-77</v>
      </c>
      <c r="AO23" s="76">
        <v>160</v>
      </c>
      <c r="AP23" s="77">
        <v>180</v>
      </c>
      <c r="AQ23" s="1">
        <v>-310</v>
      </c>
      <c r="AR23" s="1">
        <v>-230</v>
      </c>
      <c r="AS23" s="1">
        <v>-145</v>
      </c>
      <c r="AT23" s="1">
        <v>-145</v>
      </c>
      <c r="AU23" s="1">
        <v>-85</v>
      </c>
      <c r="AV23" s="1">
        <v>-85</v>
      </c>
      <c r="AW23" s="75">
        <v>-85</v>
      </c>
      <c r="AX23" s="75">
        <v>-43</v>
      </c>
      <c r="AY23" s="75">
        <v>-43</v>
      </c>
      <c r="AZ23" s="75">
        <v>-43</v>
      </c>
      <c r="BA23" s="75">
        <v>-14</v>
      </c>
      <c r="BB23" s="75">
        <v>-14</v>
      </c>
      <c r="BC23" s="75">
        <v>0</v>
      </c>
      <c r="BD23" s="75">
        <v>0</v>
      </c>
      <c r="BE23" s="75">
        <v>0</v>
      </c>
      <c r="BF23" s="75">
        <v>0</v>
      </c>
      <c r="BG23" s="75">
        <v>0</v>
      </c>
      <c r="BH23" s="75">
        <v>9</v>
      </c>
      <c r="BI23" s="75">
        <v>12.5</v>
      </c>
      <c r="BJ23" s="75">
        <v>20</v>
      </c>
      <c r="BK23" s="75">
        <v>21</v>
      </c>
      <c r="BL23" s="32">
        <v>28</v>
      </c>
      <c r="BM23" s="32">
        <v>33</v>
      </c>
      <c r="BN23" s="32">
        <v>40</v>
      </c>
      <c r="BO23" s="32">
        <v>52</v>
      </c>
      <c r="BP23" s="32">
        <v>68</v>
      </c>
      <c r="BQ23" s="32">
        <v>93</v>
      </c>
      <c r="BR23" s="32">
        <v>133</v>
      </c>
      <c r="BS23" s="32">
        <v>171</v>
      </c>
      <c r="BT23" s="49" t="s">
        <v>200</v>
      </c>
      <c r="BU23" s="82" t="s">
        <v>200</v>
      </c>
      <c r="BW23" s="59">
        <v>160</v>
      </c>
      <c r="BX23" s="48">
        <v>180</v>
      </c>
      <c r="BY23" s="2">
        <v>470</v>
      </c>
      <c r="BZ23" s="2">
        <v>330</v>
      </c>
      <c r="CA23" s="2">
        <v>390</v>
      </c>
      <c r="CB23" s="2">
        <v>208</v>
      </c>
      <c r="CC23" s="2">
        <v>245</v>
      </c>
      <c r="CD23" s="2">
        <v>305</v>
      </c>
      <c r="CE23" s="2">
        <v>125</v>
      </c>
      <c r="CF23" s="2">
        <v>148</v>
      </c>
      <c r="CG23" s="2">
        <v>185</v>
      </c>
      <c r="CH23" s="2">
        <v>68</v>
      </c>
      <c r="CI23" s="2">
        <v>83</v>
      </c>
      <c r="CJ23" s="46">
        <v>106</v>
      </c>
      <c r="CK23" s="46">
        <v>39</v>
      </c>
      <c r="CL23" s="46">
        <v>54</v>
      </c>
      <c r="CM23" s="46">
        <v>25</v>
      </c>
      <c r="CN23" s="46">
        <v>40</v>
      </c>
      <c r="CO23" s="46">
        <v>63</v>
      </c>
      <c r="CP23" s="46">
        <v>100</v>
      </c>
      <c r="CQ23" s="46">
        <v>160</v>
      </c>
      <c r="CR23" s="46">
        <v>12.5</v>
      </c>
      <c r="CS23" s="46">
        <v>20</v>
      </c>
      <c r="CT23" s="46">
        <v>4</v>
      </c>
      <c r="CU23" s="46">
        <v>12</v>
      </c>
      <c r="CV23" s="46">
        <v>-8</v>
      </c>
      <c r="CW23" s="46">
        <v>0</v>
      </c>
      <c r="CX23" s="46">
        <v>-20</v>
      </c>
      <c r="CY23" s="46">
        <v>-12</v>
      </c>
      <c r="CZ23" s="46">
        <v>-36</v>
      </c>
      <c r="DA23" s="2">
        <v>-28</v>
      </c>
      <c r="DB23" s="2">
        <v>-53</v>
      </c>
      <c r="DC23" s="2">
        <v>-93</v>
      </c>
      <c r="DD23" s="2">
        <v>-131</v>
      </c>
      <c r="DE23" s="47" t="s">
        <v>201</v>
      </c>
      <c r="DF23" s="82" t="s">
        <v>201</v>
      </c>
    </row>
    <row r="24" spans="2:110" x14ac:dyDescent="0.7">
      <c r="B24" s="148"/>
      <c r="C24" s="42" t="s">
        <v>185</v>
      </c>
      <c r="D24" s="2" t="str">
        <f t="shared" ref="D24:S38" si="4">VLOOKUP($B$7-0.000001,$BW$8:$DF$32,MATCH(D$7,$BW$7:$DF$7,0))-VLOOKUP($B$7-0.000001,$AO$36:$BU$60,MATCH($C24,$AO$35:$BU$35,0))
&amp;"/"&amp;
VLOOKUP($B$7-0.000001,$BW$36:$DF$60,MATCH(D$7,$BW$35:$DF$35,0))-VLOOKUP($B$7-0.000001,$AO$8:$BU$32,MATCH($C24,$AO$7:$BU$7,0))</f>
        <v>296/160</v>
      </c>
      <c r="E24" s="2" t="str">
        <f t="shared" si="4"/>
        <v>214/110</v>
      </c>
      <c r="F24" s="2" t="str">
        <f t="shared" si="4"/>
        <v>246/110</v>
      </c>
      <c r="G24" s="2" t="str">
        <f t="shared" si="4"/>
        <v>150/65</v>
      </c>
      <c r="H24" s="2" t="str">
        <f t="shared" si="4"/>
        <v>169/65</v>
      </c>
      <c r="I24" s="2" t="str">
        <f t="shared" si="4"/>
        <v>201/65</v>
      </c>
      <c r="J24" s="2" t="str">
        <f t="shared" si="4"/>
        <v>113/40</v>
      </c>
      <c r="K24" s="2" t="str">
        <f t="shared" si="4"/>
        <v>125/40</v>
      </c>
      <c r="L24" s="2" t="str">
        <f t="shared" si="4"/>
        <v>144/40</v>
      </c>
      <c r="M24" s="2" t="str">
        <f t="shared" si="4"/>
        <v>85/20</v>
      </c>
      <c r="N24" s="2" t="str">
        <f t="shared" si="4"/>
        <v>93/20</v>
      </c>
      <c r="O24" s="2" t="str">
        <f t="shared" si="4"/>
        <v>105/20</v>
      </c>
      <c r="P24" s="2" t="str">
        <f t="shared" si="4"/>
        <v>72/7</v>
      </c>
      <c r="Q24" s="2" t="str">
        <f t="shared" si="4"/>
        <v>80/7</v>
      </c>
      <c r="R24" s="2" t="str">
        <f t="shared" si="4"/>
        <v>65/0</v>
      </c>
      <c r="S24" s="2" t="str">
        <f t="shared" si="4"/>
        <v>73/0</v>
      </c>
      <c r="T24" s="2" t="str">
        <f t="shared" si="3"/>
        <v>85/0</v>
      </c>
      <c r="U24" s="2" t="str">
        <f t="shared" si="3"/>
        <v>104/0</v>
      </c>
      <c r="V24" s="2" t="str">
        <f t="shared" si="3"/>
        <v>136/0</v>
      </c>
      <c r="W24" s="2" t="str">
        <f t="shared" si="3"/>
        <v>58.5/-6.5</v>
      </c>
      <c r="X24" s="2" t="str">
        <f t="shared" si="3"/>
        <v>62/-10</v>
      </c>
      <c r="Y24" s="2" t="str">
        <f t="shared" si="3"/>
        <v>54/-11</v>
      </c>
      <c r="Z24" s="2" t="str">
        <f t="shared" si="3"/>
        <v>58/-15</v>
      </c>
      <c r="AA24" s="2" t="str">
        <f t="shared" si="2"/>
        <v>48/-17</v>
      </c>
      <c r="AB24" s="2" t="str">
        <f t="shared" si="2"/>
        <v>52/-21</v>
      </c>
      <c r="AC24" s="2" t="str">
        <f t="shared" si="2"/>
        <v>41/-24</v>
      </c>
      <c r="AD24" s="2" t="str">
        <f t="shared" si="2"/>
        <v>45/-28</v>
      </c>
      <c r="AE24" s="2" t="str">
        <f t="shared" si="2"/>
        <v>34/-31</v>
      </c>
      <c r="AF24" s="2" t="str">
        <f t="shared" si="2"/>
        <v>38/-35</v>
      </c>
      <c r="AG24" s="2" t="str">
        <f t="shared" si="2"/>
        <v>32/-41</v>
      </c>
      <c r="AH24" s="2" t="str">
        <f t="shared" si="2"/>
        <v>25/-48</v>
      </c>
      <c r="AI24" s="2" t="str">
        <f t="shared" si="2"/>
        <v>19/-54</v>
      </c>
      <c r="AJ24" s="2" t="str">
        <f t="shared" si="2"/>
        <v>12/-61</v>
      </c>
      <c r="AK24" s="2" t="str">
        <f t="shared" si="2"/>
        <v>-4/-77</v>
      </c>
      <c r="AO24" s="76">
        <v>180</v>
      </c>
      <c r="AP24" s="77">
        <v>200</v>
      </c>
      <c r="AQ24" s="1">
        <v>-340</v>
      </c>
      <c r="AR24" s="1">
        <v>-240</v>
      </c>
      <c r="AS24" s="1">
        <v>-170</v>
      </c>
      <c r="AT24" s="1">
        <v>-170</v>
      </c>
      <c r="AU24" s="1">
        <v>-100</v>
      </c>
      <c r="AV24" s="1">
        <v>-100</v>
      </c>
      <c r="AW24" s="75">
        <v>-100</v>
      </c>
      <c r="AX24" s="75">
        <v>-50</v>
      </c>
      <c r="AY24" s="75">
        <v>-50</v>
      </c>
      <c r="AZ24" s="75">
        <v>-50</v>
      </c>
      <c r="BA24" s="75">
        <v>-15</v>
      </c>
      <c r="BB24" s="75">
        <v>-15</v>
      </c>
      <c r="BC24" s="75">
        <v>0</v>
      </c>
      <c r="BD24" s="75">
        <v>0</v>
      </c>
      <c r="BE24" s="75">
        <v>0</v>
      </c>
      <c r="BF24" s="75">
        <v>0</v>
      </c>
      <c r="BG24" s="75">
        <v>0</v>
      </c>
      <c r="BH24" s="75">
        <v>10</v>
      </c>
      <c r="BI24" s="75">
        <v>14.5</v>
      </c>
      <c r="BJ24" s="75">
        <v>23</v>
      </c>
      <c r="BK24" s="75">
        <v>24</v>
      </c>
      <c r="BL24" s="32">
        <v>33</v>
      </c>
      <c r="BM24" s="32">
        <v>37</v>
      </c>
      <c r="BN24" s="32">
        <v>46</v>
      </c>
      <c r="BO24" s="32">
        <v>60</v>
      </c>
      <c r="BP24" s="32">
        <v>79</v>
      </c>
      <c r="BQ24" s="32">
        <v>106</v>
      </c>
      <c r="BR24" s="32">
        <v>151</v>
      </c>
      <c r="BS24" s="49" t="s">
        <v>200</v>
      </c>
      <c r="BT24" s="49" t="s">
        <v>200</v>
      </c>
      <c r="BU24" s="82" t="s">
        <v>200</v>
      </c>
      <c r="BW24" s="59">
        <v>180</v>
      </c>
      <c r="BX24" s="48">
        <v>200</v>
      </c>
      <c r="BY24" s="2">
        <v>525</v>
      </c>
      <c r="BZ24" s="2">
        <v>355</v>
      </c>
      <c r="CA24" s="2">
        <v>425</v>
      </c>
      <c r="CB24" s="2">
        <v>242</v>
      </c>
      <c r="CC24" s="2">
        <v>285</v>
      </c>
      <c r="CD24" s="2">
        <v>355</v>
      </c>
      <c r="CE24" s="2">
        <v>146</v>
      </c>
      <c r="CF24" s="2">
        <v>172</v>
      </c>
      <c r="CG24" s="2">
        <v>215</v>
      </c>
      <c r="CH24" s="2">
        <v>79</v>
      </c>
      <c r="CI24" s="2">
        <v>96</v>
      </c>
      <c r="CJ24" s="46">
        <v>122</v>
      </c>
      <c r="CK24" s="46">
        <v>44</v>
      </c>
      <c r="CL24" s="46">
        <v>61</v>
      </c>
      <c r="CM24" s="46">
        <v>29</v>
      </c>
      <c r="CN24" s="46">
        <v>46</v>
      </c>
      <c r="CO24" s="46">
        <v>72</v>
      </c>
      <c r="CP24" s="46">
        <v>115</v>
      </c>
      <c r="CQ24" s="46">
        <v>185</v>
      </c>
      <c r="CR24" s="46">
        <v>14.5</v>
      </c>
      <c r="CS24" s="46">
        <v>23</v>
      </c>
      <c r="CT24" s="46">
        <v>5</v>
      </c>
      <c r="CU24" s="46">
        <v>13</v>
      </c>
      <c r="CV24" s="46">
        <v>-8</v>
      </c>
      <c r="CW24" s="46">
        <v>0</v>
      </c>
      <c r="CX24" s="46">
        <v>-22</v>
      </c>
      <c r="CY24" s="46">
        <v>-14</v>
      </c>
      <c r="CZ24" s="46">
        <v>-41</v>
      </c>
      <c r="DA24" s="2">
        <v>-33</v>
      </c>
      <c r="DB24" s="2">
        <v>-60</v>
      </c>
      <c r="DC24" s="2">
        <v>-105</v>
      </c>
      <c r="DD24" s="49" t="s">
        <v>201</v>
      </c>
      <c r="DE24" s="47" t="s">
        <v>201</v>
      </c>
      <c r="DF24" s="82" t="s">
        <v>201</v>
      </c>
    </row>
    <row r="25" spans="2:110" x14ac:dyDescent="0.7">
      <c r="B25" s="148"/>
      <c r="C25" s="42" t="s">
        <v>186</v>
      </c>
      <c r="D25" s="2" t="str">
        <f t="shared" si="4"/>
        <v>248.5/155.5</v>
      </c>
      <c r="E25" s="2" t="str">
        <f t="shared" si="4"/>
        <v>166.5/105.5</v>
      </c>
      <c r="F25" s="2" t="str">
        <f t="shared" si="4"/>
        <v>198.5/105.5</v>
      </c>
      <c r="G25" s="2" t="str">
        <f t="shared" si="4"/>
        <v>102.5/60.5</v>
      </c>
      <c r="H25" s="2" t="str">
        <f t="shared" si="4"/>
        <v>121.5/60.5</v>
      </c>
      <c r="I25" s="2" t="str">
        <f t="shared" si="4"/>
        <v>153.5/60.5</v>
      </c>
      <c r="J25" s="2" t="str">
        <f t="shared" si="4"/>
        <v>65.5/35.5</v>
      </c>
      <c r="K25" s="2" t="str">
        <f t="shared" si="4"/>
        <v>77.5/35.5</v>
      </c>
      <c r="L25" s="2" t="str">
        <f t="shared" si="4"/>
        <v>96.5/35.5</v>
      </c>
      <c r="M25" s="2" t="str">
        <f t="shared" si="4"/>
        <v>37.5/15.5</v>
      </c>
      <c r="N25" s="2" t="str">
        <f t="shared" si="4"/>
        <v>45.5/15.5</v>
      </c>
      <c r="O25" s="2" t="str">
        <f t="shared" si="4"/>
        <v>57.5/15.5</v>
      </c>
      <c r="P25" s="2" t="str">
        <f t="shared" si="4"/>
        <v>24.5/2.5</v>
      </c>
      <c r="Q25" s="2" t="str">
        <f t="shared" si="4"/>
        <v>32.5/2.5</v>
      </c>
      <c r="R25" s="2" t="str">
        <f t="shared" si="4"/>
        <v>17.5/-4.5</v>
      </c>
      <c r="S25" s="2" t="str">
        <f t="shared" si="4"/>
        <v>25.5/-4.5</v>
      </c>
      <c r="T25" s="2" t="str">
        <f t="shared" si="3"/>
        <v>37.5/-4.5</v>
      </c>
      <c r="U25" s="2" t="str">
        <f t="shared" si="3"/>
        <v>56.5/-4.5</v>
      </c>
      <c r="V25" s="2" t="str">
        <f t="shared" si="3"/>
        <v>88.5/-4.5</v>
      </c>
      <c r="W25" s="2" t="str">
        <f t="shared" si="3"/>
        <v>11/-11</v>
      </c>
      <c r="X25" s="2" t="str">
        <f t="shared" si="3"/>
        <v>14.5/-14.5</v>
      </c>
      <c r="Y25" s="2" t="str">
        <f t="shared" si="3"/>
        <v>6.5/-15.5</v>
      </c>
      <c r="Z25" s="2" t="str">
        <f t="shared" si="3"/>
        <v>10.5/-19.5</v>
      </c>
      <c r="AA25" s="2" t="str">
        <f t="shared" si="2"/>
        <v>0.5/-21.5</v>
      </c>
      <c r="AB25" s="2" t="str">
        <f t="shared" si="2"/>
        <v>4.5/-25.5</v>
      </c>
      <c r="AC25" s="2" t="str">
        <f t="shared" si="2"/>
        <v>-6.5/-28.5</v>
      </c>
      <c r="AD25" s="2" t="str">
        <f t="shared" si="2"/>
        <v>-2.5/-32.5</v>
      </c>
      <c r="AE25" s="2" t="str">
        <f t="shared" si="2"/>
        <v>-13.5/-35.5</v>
      </c>
      <c r="AF25" s="2" t="str">
        <f t="shared" si="2"/>
        <v>-9.5/-39.5</v>
      </c>
      <c r="AG25" s="2" t="str">
        <f t="shared" si="2"/>
        <v>-15.5/-45.5</v>
      </c>
      <c r="AH25" s="2" t="str">
        <f t="shared" si="2"/>
        <v>-22.5/-52.5</v>
      </c>
      <c r="AI25" s="2" t="str">
        <f t="shared" si="2"/>
        <v>-28.5/-58.5</v>
      </c>
      <c r="AJ25" s="2" t="str">
        <f t="shared" si="2"/>
        <v>-35.5/-65.5</v>
      </c>
      <c r="AK25" s="2" t="str">
        <f t="shared" si="2"/>
        <v>-51.5/-81.5</v>
      </c>
      <c r="AO25" s="76">
        <v>200</v>
      </c>
      <c r="AP25" s="77">
        <v>225</v>
      </c>
      <c r="AQ25" s="1">
        <v>-380</v>
      </c>
      <c r="AR25" s="1">
        <v>-260</v>
      </c>
      <c r="AS25" s="1">
        <v>-170</v>
      </c>
      <c r="AT25" s="1">
        <v>-170</v>
      </c>
      <c r="AU25" s="1">
        <v>-100</v>
      </c>
      <c r="AV25" s="1">
        <v>-100</v>
      </c>
      <c r="AW25" s="75">
        <v>-100</v>
      </c>
      <c r="AX25" s="75">
        <v>-50</v>
      </c>
      <c r="AY25" s="75">
        <v>-50</v>
      </c>
      <c r="AZ25" s="75">
        <v>-50</v>
      </c>
      <c r="BA25" s="75">
        <v>-15</v>
      </c>
      <c r="BB25" s="75">
        <v>-15</v>
      </c>
      <c r="BC25" s="75">
        <v>0</v>
      </c>
      <c r="BD25" s="75">
        <v>0</v>
      </c>
      <c r="BE25" s="75">
        <v>0</v>
      </c>
      <c r="BF25" s="75">
        <v>0</v>
      </c>
      <c r="BG25" s="75">
        <v>0</v>
      </c>
      <c r="BH25" s="75">
        <v>10</v>
      </c>
      <c r="BI25" s="75">
        <v>14.5</v>
      </c>
      <c r="BJ25" s="75">
        <v>23</v>
      </c>
      <c r="BK25" s="75">
        <v>24</v>
      </c>
      <c r="BL25" s="32">
        <v>33</v>
      </c>
      <c r="BM25" s="32">
        <v>37</v>
      </c>
      <c r="BN25" s="32">
        <v>46</v>
      </c>
      <c r="BO25" s="32">
        <v>60</v>
      </c>
      <c r="BP25" s="32">
        <v>79</v>
      </c>
      <c r="BQ25" s="32">
        <v>109</v>
      </c>
      <c r="BR25" s="32">
        <v>159</v>
      </c>
      <c r="BS25" s="49" t="s">
        <v>200</v>
      </c>
      <c r="BT25" s="49" t="s">
        <v>200</v>
      </c>
      <c r="BU25" s="82" t="s">
        <v>200</v>
      </c>
      <c r="BW25" s="59">
        <v>200</v>
      </c>
      <c r="BX25" s="48">
        <v>225</v>
      </c>
      <c r="BY25" s="2">
        <v>565</v>
      </c>
      <c r="BZ25" s="2">
        <v>375</v>
      </c>
      <c r="CA25" s="2">
        <v>445</v>
      </c>
      <c r="CB25" s="2">
        <v>242</v>
      </c>
      <c r="CC25" s="2">
        <v>285</v>
      </c>
      <c r="CD25" s="2">
        <v>355</v>
      </c>
      <c r="CE25" s="2">
        <v>146</v>
      </c>
      <c r="CF25" s="2">
        <v>172</v>
      </c>
      <c r="CG25" s="2">
        <v>215</v>
      </c>
      <c r="CH25" s="2">
        <v>79</v>
      </c>
      <c r="CI25" s="2">
        <v>96</v>
      </c>
      <c r="CJ25" s="46">
        <v>122</v>
      </c>
      <c r="CK25" s="46">
        <v>44</v>
      </c>
      <c r="CL25" s="46">
        <v>61</v>
      </c>
      <c r="CM25" s="46">
        <v>29</v>
      </c>
      <c r="CN25" s="46">
        <v>46</v>
      </c>
      <c r="CO25" s="46">
        <v>72</v>
      </c>
      <c r="CP25" s="46">
        <v>115</v>
      </c>
      <c r="CQ25" s="46">
        <v>185</v>
      </c>
      <c r="CR25" s="46">
        <v>14.5</v>
      </c>
      <c r="CS25" s="46">
        <v>23</v>
      </c>
      <c r="CT25" s="46">
        <v>5</v>
      </c>
      <c r="CU25" s="46">
        <v>13</v>
      </c>
      <c r="CV25" s="46">
        <v>-8</v>
      </c>
      <c r="CW25" s="46">
        <v>0</v>
      </c>
      <c r="CX25" s="46">
        <v>-22</v>
      </c>
      <c r="CY25" s="46">
        <v>-14</v>
      </c>
      <c r="CZ25" s="46">
        <v>-41</v>
      </c>
      <c r="DA25" s="2">
        <v>-33</v>
      </c>
      <c r="DB25" s="2">
        <v>-63</v>
      </c>
      <c r="DC25" s="2">
        <v>-113</v>
      </c>
      <c r="DD25" s="49" t="s">
        <v>201</v>
      </c>
      <c r="DE25" s="47" t="s">
        <v>201</v>
      </c>
      <c r="DF25" s="82" t="s">
        <v>201</v>
      </c>
    </row>
    <row r="26" spans="2:110" x14ac:dyDescent="0.7">
      <c r="B26" s="148"/>
      <c r="C26" s="42" t="s">
        <v>187</v>
      </c>
      <c r="D26" s="2" t="str">
        <f t="shared" si="4"/>
        <v>250.5/153.5</v>
      </c>
      <c r="E26" s="2" t="str">
        <f t="shared" si="4"/>
        <v>168.5/103.5</v>
      </c>
      <c r="F26" s="2" t="str">
        <f t="shared" si="4"/>
        <v>200.5/103.5</v>
      </c>
      <c r="G26" s="2" t="str">
        <f t="shared" si="4"/>
        <v>104.5/58.5</v>
      </c>
      <c r="H26" s="2" t="str">
        <f t="shared" si="4"/>
        <v>123.5/58.5</v>
      </c>
      <c r="I26" s="2" t="str">
        <f t="shared" si="4"/>
        <v>155.5/58.5</v>
      </c>
      <c r="J26" s="2" t="str">
        <f t="shared" si="4"/>
        <v>67.5/33.5</v>
      </c>
      <c r="K26" s="2" t="str">
        <f t="shared" si="4"/>
        <v>79.5/33.5</v>
      </c>
      <c r="L26" s="2" t="str">
        <f t="shared" si="4"/>
        <v>98.5/33.5</v>
      </c>
      <c r="M26" s="2" t="str">
        <f t="shared" si="4"/>
        <v>39.5/13.5</v>
      </c>
      <c r="N26" s="2" t="str">
        <f t="shared" si="4"/>
        <v>47.5/13.5</v>
      </c>
      <c r="O26" s="2" t="str">
        <f t="shared" si="4"/>
        <v>59.5/13.5</v>
      </c>
      <c r="P26" s="2" t="str">
        <f t="shared" si="4"/>
        <v>26.5/0.5</v>
      </c>
      <c r="Q26" s="2" t="str">
        <f t="shared" si="4"/>
        <v>34.5/0.5</v>
      </c>
      <c r="R26" s="2" t="str">
        <f t="shared" si="4"/>
        <v>19.5/-6.5</v>
      </c>
      <c r="S26" s="2" t="str">
        <f t="shared" si="4"/>
        <v>27.5/-6.5</v>
      </c>
      <c r="T26" s="2" t="str">
        <f t="shared" si="3"/>
        <v>39.5/-6.5</v>
      </c>
      <c r="U26" s="2" t="str">
        <f t="shared" si="3"/>
        <v>58.5/-6.5</v>
      </c>
      <c r="V26" s="2" t="str">
        <f t="shared" si="3"/>
        <v>90.5/-6.5</v>
      </c>
      <c r="W26" s="2" t="str">
        <f t="shared" si="3"/>
        <v>13/-13</v>
      </c>
      <c r="X26" s="2" t="str">
        <f t="shared" si="3"/>
        <v>16.5/-16.5</v>
      </c>
      <c r="Y26" s="2" t="str">
        <f t="shared" si="3"/>
        <v>8.5/-17.5</v>
      </c>
      <c r="Z26" s="2" t="str">
        <f t="shared" si="3"/>
        <v>12.5/-21.5</v>
      </c>
      <c r="AA26" s="2" t="str">
        <f t="shared" si="2"/>
        <v>2.5/-23.5</v>
      </c>
      <c r="AB26" s="2" t="str">
        <f t="shared" si="2"/>
        <v>6.5/-27.5</v>
      </c>
      <c r="AC26" s="2" t="str">
        <f t="shared" si="2"/>
        <v>-4.5/-30.5</v>
      </c>
      <c r="AD26" s="2" t="str">
        <f t="shared" si="2"/>
        <v>-0.5/-34.5</v>
      </c>
      <c r="AE26" s="2" t="str">
        <f t="shared" si="2"/>
        <v>-11.5/-37.5</v>
      </c>
      <c r="AF26" s="2" t="str">
        <f t="shared" si="2"/>
        <v>-7.5/-41.5</v>
      </c>
      <c r="AG26" s="2" t="str">
        <f t="shared" si="2"/>
        <v>-13.5/-47.5</v>
      </c>
      <c r="AH26" s="2" t="str">
        <f t="shared" si="2"/>
        <v>-20.5/-54.5</v>
      </c>
      <c r="AI26" s="2" t="str">
        <f t="shared" si="2"/>
        <v>-26.5/-60.5</v>
      </c>
      <c r="AJ26" s="2" t="str">
        <f t="shared" si="2"/>
        <v>-33.5/-67.5</v>
      </c>
      <c r="AK26" s="2" t="str">
        <f t="shared" si="2"/>
        <v>-49.5/-83.5</v>
      </c>
      <c r="AO26" s="76">
        <v>225</v>
      </c>
      <c r="AP26" s="77">
        <v>250</v>
      </c>
      <c r="AQ26" s="1">
        <v>-420</v>
      </c>
      <c r="AR26" s="1">
        <v>-280</v>
      </c>
      <c r="AS26" s="1">
        <v>-170</v>
      </c>
      <c r="AT26" s="1">
        <v>-170</v>
      </c>
      <c r="AU26" s="1">
        <v>-100</v>
      </c>
      <c r="AV26" s="1">
        <v>-100</v>
      </c>
      <c r="AW26" s="75">
        <v>-100</v>
      </c>
      <c r="AX26" s="75">
        <v>-50</v>
      </c>
      <c r="AY26" s="75">
        <v>-50</v>
      </c>
      <c r="AZ26" s="75">
        <v>-50</v>
      </c>
      <c r="BA26" s="75">
        <v>-15</v>
      </c>
      <c r="BB26" s="75">
        <v>-15</v>
      </c>
      <c r="BC26" s="75">
        <v>0</v>
      </c>
      <c r="BD26" s="75">
        <v>0</v>
      </c>
      <c r="BE26" s="75">
        <v>0</v>
      </c>
      <c r="BF26" s="75">
        <v>0</v>
      </c>
      <c r="BG26" s="75">
        <v>0</v>
      </c>
      <c r="BH26" s="75">
        <v>10</v>
      </c>
      <c r="BI26" s="75">
        <v>14.5</v>
      </c>
      <c r="BJ26" s="75">
        <v>23</v>
      </c>
      <c r="BK26" s="75">
        <v>24</v>
      </c>
      <c r="BL26" s="32">
        <v>33</v>
      </c>
      <c r="BM26" s="32">
        <v>37</v>
      </c>
      <c r="BN26" s="32">
        <v>46</v>
      </c>
      <c r="BO26" s="32">
        <v>60</v>
      </c>
      <c r="BP26" s="32">
        <v>79</v>
      </c>
      <c r="BQ26" s="32">
        <v>113</v>
      </c>
      <c r="BR26" s="32">
        <v>169</v>
      </c>
      <c r="BS26" s="49" t="s">
        <v>200</v>
      </c>
      <c r="BT26" s="49" t="s">
        <v>200</v>
      </c>
      <c r="BU26" s="82" t="s">
        <v>200</v>
      </c>
      <c r="BW26" s="59">
        <v>225</v>
      </c>
      <c r="BX26" s="48">
        <v>250</v>
      </c>
      <c r="BY26" s="2">
        <v>605</v>
      </c>
      <c r="BZ26" s="2">
        <v>395</v>
      </c>
      <c r="CA26" s="2">
        <v>465</v>
      </c>
      <c r="CB26" s="2">
        <v>242</v>
      </c>
      <c r="CC26" s="2">
        <v>285</v>
      </c>
      <c r="CD26" s="2">
        <v>355</v>
      </c>
      <c r="CE26" s="2">
        <v>146</v>
      </c>
      <c r="CF26" s="2">
        <v>172</v>
      </c>
      <c r="CG26" s="2">
        <v>215</v>
      </c>
      <c r="CH26" s="2">
        <v>79</v>
      </c>
      <c r="CI26" s="2">
        <v>96</v>
      </c>
      <c r="CJ26" s="46">
        <v>122</v>
      </c>
      <c r="CK26" s="46">
        <v>44</v>
      </c>
      <c r="CL26" s="46">
        <v>61</v>
      </c>
      <c r="CM26" s="46">
        <v>29</v>
      </c>
      <c r="CN26" s="46">
        <v>46</v>
      </c>
      <c r="CO26" s="46">
        <v>72</v>
      </c>
      <c r="CP26" s="46">
        <v>115</v>
      </c>
      <c r="CQ26" s="46">
        <v>185</v>
      </c>
      <c r="CR26" s="46">
        <v>14.5</v>
      </c>
      <c r="CS26" s="46">
        <v>23</v>
      </c>
      <c r="CT26" s="46">
        <v>5</v>
      </c>
      <c r="CU26" s="46">
        <v>13</v>
      </c>
      <c r="CV26" s="46">
        <v>-8</v>
      </c>
      <c r="CW26" s="46">
        <v>0</v>
      </c>
      <c r="CX26" s="46">
        <v>-22</v>
      </c>
      <c r="CY26" s="46">
        <v>-14</v>
      </c>
      <c r="CZ26" s="46">
        <v>-41</v>
      </c>
      <c r="DA26" s="2">
        <v>-33</v>
      </c>
      <c r="DB26" s="2">
        <v>-67</v>
      </c>
      <c r="DC26" s="2">
        <v>-123</v>
      </c>
      <c r="DD26" s="49" t="s">
        <v>201</v>
      </c>
      <c r="DE26" s="47" t="s">
        <v>201</v>
      </c>
      <c r="DF26" s="82" t="s">
        <v>201</v>
      </c>
    </row>
    <row r="27" spans="2:110" x14ac:dyDescent="0.7">
      <c r="B27" s="148"/>
      <c r="C27" s="42" t="s">
        <v>188</v>
      </c>
      <c r="D27" s="2" t="str">
        <f t="shared" si="4"/>
        <v>254/150</v>
      </c>
      <c r="E27" s="2" t="str">
        <f t="shared" si="4"/>
        <v>172/100</v>
      </c>
      <c r="F27" s="2" t="str">
        <f t="shared" si="4"/>
        <v>204/100</v>
      </c>
      <c r="G27" s="2" t="str">
        <f t="shared" si="4"/>
        <v>108/55</v>
      </c>
      <c r="H27" s="2" t="str">
        <f t="shared" si="4"/>
        <v>127/55</v>
      </c>
      <c r="I27" s="2" t="str">
        <f t="shared" si="4"/>
        <v>159/55</v>
      </c>
      <c r="J27" s="2" t="str">
        <f t="shared" si="4"/>
        <v>71/30</v>
      </c>
      <c r="K27" s="2" t="str">
        <f t="shared" si="4"/>
        <v>83/30</v>
      </c>
      <c r="L27" s="2" t="str">
        <f t="shared" si="4"/>
        <v>102/30</v>
      </c>
      <c r="M27" s="2" t="str">
        <f t="shared" si="4"/>
        <v>43/10</v>
      </c>
      <c r="N27" s="2" t="str">
        <f t="shared" si="4"/>
        <v>51/10</v>
      </c>
      <c r="O27" s="2" t="str">
        <f t="shared" si="4"/>
        <v>63/10</v>
      </c>
      <c r="P27" s="2" t="str">
        <f t="shared" si="4"/>
        <v>30/-3</v>
      </c>
      <c r="Q27" s="2" t="str">
        <f t="shared" si="4"/>
        <v>38/-3</v>
      </c>
      <c r="R27" s="2" t="str">
        <f t="shared" si="4"/>
        <v>23/-10</v>
      </c>
      <c r="S27" s="2" t="str">
        <f t="shared" si="4"/>
        <v>31/-10</v>
      </c>
      <c r="T27" s="2" t="str">
        <f t="shared" si="3"/>
        <v>43/-10</v>
      </c>
      <c r="U27" s="2" t="str">
        <f t="shared" si="3"/>
        <v>62/-10</v>
      </c>
      <c r="V27" s="2" t="str">
        <f t="shared" si="3"/>
        <v>94/-10</v>
      </c>
      <c r="W27" s="2" t="str">
        <f t="shared" si="3"/>
        <v>16.5/-16.5</v>
      </c>
      <c r="X27" s="2" t="str">
        <f t="shared" si="3"/>
        <v>20/-20</v>
      </c>
      <c r="Y27" s="2" t="str">
        <f t="shared" si="3"/>
        <v>12/-21</v>
      </c>
      <c r="Z27" s="2" t="str">
        <f t="shared" si="3"/>
        <v>16/-25</v>
      </c>
      <c r="AA27" s="2" t="str">
        <f t="shared" si="2"/>
        <v>6/-27</v>
      </c>
      <c r="AB27" s="2" t="str">
        <f t="shared" si="2"/>
        <v>10/-31</v>
      </c>
      <c r="AC27" s="2" t="str">
        <f t="shared" si="2"/>
        <v>-1/-34</v>
      </c>
      <c r="AD27" s="2" t="str">
        <f t="shared" si="2"/>
        <v>3/-38</v>
      </c>
      <c r="AE27" s="2" t="str">
        <f t="shared" si="2"/>
        <v>-8/-41</v>
      </c>
      <c r="AF27" s="2" t="str">
        <f t="shared" si="2"/>
        <v>-4/-45</v>
      </c>
      <c r="AG27" s="2" t="str">
        <f t="shared" si="2"/>
        <v>-10/-51</v>
      </c>
      <c r="AH27" s="2" t="str">
        <f t="shared" si="2"/>
        <v>-17/-58</v>
      </c>
      <c r="AI27" s="2" t="str">
        <f t="shared" si="2"/>
        <v>-23/-64</v>
      </c>
      <c r="AJ27" s="2" t="str">
        <f t="shared" si="2"/>
        <v>-30/-71</v>
      </c>
      <c r="AK27" s="2" t="str">
        <f t="shared" si="2"/>
        <v>-46/-87</v>
      </c>
      <c r="AO27" s="76">
        <v>250</v>
      </c>
      <c r="AP27" s="77">
        <v>280</v>
      </c>
      <c r="AQ27" s="1">
        <v>-480</v>
      </c>
      <c r="AR27" s="1">
        <v>-300</v>
      </c>
      <c r="AS27" s="1">
        <v>-190</v>
      </c>
      <c r="AT27" s="1">
        <v>-190</v>
      </c>
      <c r="AU27" s="1">
        <v>-110</v>
      </c>
      <c r="AV27" s="1">
        <v>-110</v>
      </c>
      <c r="AW27" s="75">
        <v>-110</v>
      </c>
      <c r="AX27" s="75">
        <v>-56</v>
      </c>
      <c r="AY27" s="75">
        <v>-56</v>
      </c>
      <c r="AZ27" s="75">
        <v>-56</v>
      </c>
      <c r="BA27" s="75">
        <v>-17</v>
      </c>
      <c r="BB27" s="75">
        <v>-17</v>
      </c>
      <c r="BC27" s="75">
        <v>0</v>
      </c>
      <c r="BD27" s="75">
        <v>0</v>
      </c>
      <c r="BE27" s="75">
        <v>0</v>
      </c>
      <c r="BF27" s="75">
        <v>0</v>
      </c>
      <c r="BG27" s="75">
        <v>0</v>
      </c>
      <c r="BH27" s="75">
        <v>11.5</v>
      </c>
      <c r="BI27" s="75">
        <v>16</v>
      </c>
      <c r="BJ27" s="75">
        <v>26</v>
      </c>
      <c r="BK27" s="75">
        <v>27</v>
      </c>
      <c r="BL27" s="32">
        <v>36</v>
      </c>
      <c r="BM27" s="32">
        <v>43</v>
      </c>
      <c r="BN27" s="32">
        <v>52</v>
      </c>
      <c r="BO27" s="32">
        <v>66</v>
      </c>
      <c r="BP27" s="32">
        <v>88</v>
      </c>
      <c r="BQ27" s="32">
        <v>126</v>
      </c>
      <c r="BR27" s="49" t="s">
        <v>200</v>
      </c>
      <c r="BS27" s="49" t="s">
        <v>200</v>
      </c>
      <c r="BT27" s="49" t="s">
        <v>200</v>
      </c>
      <c r="BU27" s="82" t="s">
        <v>200</v>
      </c>
      <c r="BW27" s="59">
        <v>250</v>
      </c>
      <c r="BX27" s="48">
        <v>280</v>
      </c>
      <c r="BY27" s="2">
        <v>690</v>
      </c>
      <c r="BZ27" s="2">
        <v>430</v>
      </c>
      <c r="CA27" s="2">
        <v>510</v>
      </c>
      <c r="CB27" s="2">
        <v>271</v>
      </c>
      <c r="CC27" s="2">
        <v>320</v>
      </c>
      <c r="CD27" s="2">
        <v>400</v>
      </c>
      <c r="CE27" s="2">
        <v>162</v>
      </c>
      <c r="CF27" s="2">
        <v>191</v>
      </c>
      <c r="CG27" s="2">
        <v>240</v>
      </c>
      <c r="CH27" s="2">
        <v>88</v>
      </c>
      <c r="CI27" s="2">
        <v>108</v>
      </c>
      <c r="CJ27" s="46">
        <v>137</v>
      </c>
      <c r="CK27" s="46">
        <v>49</v>
      </c>
      <c r="CL27" s="46">
        <v>69</v>
      </c>
      <c r="CM27" s="46">
        <v>32</v>
      </c>
      <c r="CN27" s="46">
        <v>52</v>
      </c>
      <c r="CO27" s="46">
        <v>81</v>
      </c>
      <c r="CP27" s="46">
        <v>130</v>
      </c>
      <c r="CQ27" s="46">
        <v>210</v>
      </c>
      <c r="CR27" s="46">
        <v>16</v>
      </c>
      <c r="CS27" s="46">
        <v>26</v>
      </c>
      <c r="CT27" s="46">
        <v>5</v>
      </c>
      <c r="CU27" s="46">
        <v>16</v>
      </c>
      <c r="CV27" s="46">
        <v>-9</v>
      </c>
      <c r="CW27" s="46">
        <v>0</v>
      </c>
      <c r="CX27" s="46">
        <v>-25</v>
      </c>
      <c r="CY27" s="46">
        <v>-14</v>
      </c>
      <c r="CZ27" s="46">
        <v>-47</v>
      </c>
      <c r="DA27" s="2">
        <v>-36</v>
      </c>
      <c r="DB27" s="2">
        <v>-74</v>
      </c>
      <c r="DC27" s="49" t="s">
        <v>201</v>
      </c>
      <c r="DD27" s="49" t="s">
        <v>201</v>
      </c>
      <c r="DE27" s="47" t="s">
        <v>201</v>
      </c>
      <c r="DF27" s="82" t="s">
        <v>201</v>
      </c>
    </row>
    <row r="28" spans="2:110" x14ac:dyDescent="0.7">
      <c r="B28" s="148"/>
      <c r="C28" s="42" t="s">
        <v>189</v>
      </c>
      <c r="D28" s="2" t="str">
        <f t="shared" si="4"/>
        <v>242/149</v>
      </c>
      <c r="E28" s="2" t="str">
        <f t="shared" si="4"/>
        <v>160/99</v>
      </c>
      <c r="F28" s="2" t="str">
        <f t="shared" si="4"/>
        <v>192/99</v>
      </c>
      <c r="G28" s="2" t="str">
        <f t="shared" si="4"/>
        <v>96/54</v>
      </c>
      <c r="H28" s="2" t="str">
        <f t="shared" si="4"/>
        <v>115/54</v>
      </c>
      <c r="I28" s="2" t="str">
        <f t="shared" si="4"/>
        <v>147/54</v>
      </c>
      <c r="J28" s="2" t="str">
        <f t="shared" si="4"/>
        <v>59/29</v>
      </c>
      <c r="K28" s="2" t="str">
        <f t="shared" si="4"/>
        <v>71/29</v>
      </c>
      <c r="L28" s="2" t="str">
        <f t="shared" si="4"/>
        <v>90/29</v>
      </c>
      <c r="M28" s="2" t="str">
        <f t="shared" si="4"/>
        <v>31/9</v>
      </c>
      <c r="N28" s="2" t="str">
        <f t="shared" si="4"/>
        <v>39/9</v>
      </c>
      <c r="O28" s="2" t="str">
        <f t="shared" si="4"/>
        <v>51/9</v>
      </c>
      <c r="P28" s="2" t="str">
        <f t="shared" si="4"/>
        <v>18/-4</v>
      </c>
      <c r="Q28" s="2" t="str">
        <f t="shared" si="4"/>
        <v>26/-4</v>
      </c>
      <c r="R28" s="2" t="str">
        <f t="shared" si="4"/>
        <v>11/-11</v>
      </c>
      <c r="S28" s="2" t="str">
        <f t="shared" si="4"/>
        <v>19/-11</v>
      </c>
      <c r="T28" s="2" t="str">
        <f t="shared" si="3"/>
        <v>31/-11</v>
      </c>
      <c r="U28" s="2" t="str">
        <f t="shared" si="3"/>
        <v>50/-11</v>
      </c>
      <c r="V28" s="2" t="str">
        <f t="shared" si="3"/>
        <v>82/-11</v>
      </c>
      <c r="W28" s="2" t="str">
        <f t="shared" si="3"/>
        <v>4.5/-17.5</v>
      </c>
      <c r="X28" s="2" t="str">
        <f t="shared" si="3"/>
        <v>8/-21</v>
      </c>
      <c r="Y28" s="2" t="str">
        <f t="shared" si="3"/>
        <v>0/-22</v>
      </c>
      <c r="Z28" s="2" t="str">
        <f t="shared" si="3"/>
        <v>4/-26</v>
      </c>
      <c r="AA28" s="2" t="str">
        <f t="shared" si="2"/>
        <v>-6/-28</v>
      </c>
      <c r="AB28" s="2" t="str">
        <f t="shared" si="2"/>
        <v>-2/-32</v>
      </c>
      <c r="AC28" s="2" t="str">
        <f t="shared" si="2"/>
        <v>-13/-35</v>
      </c>
      <c r="AD28" s="2" t="str">
        <f t="shared" si="2"/>
        <v>-9/-39</v>
      </c>
      <c r="AE28" s="2" t="str">
        <f t="shared" si="2"/>
        <v>-20/-42</v>
      </c>
      <c r="AF28" s="2" t="str">
        <f t="shared" si="2"/>
        <v>-16/-46</v>
      </c>
      <c r="AG28" s="2" t="str">
        <f t="shared" si="2"/>
        <v>-22/-52</v>
      </c>
      <c r="AH28" s="2" t="str">
        <f t="shared" si="2"/>
        <v>-29/-59</v>
      </c>
      <c r="AI28" s="2" t="str">
        <f t="shared" si="2"/>
        <v>-35/-65</v>
      </c>
      <c r="AJ28" s="2" t="str">
        <f t="shared" si="2"/>
        <v>-42/-72</v>
      </c>
      <c r="AK28" s="2" t="str">
        <f t="shared" si="2"/>
        <v>-58/-88</v>
      </c>
      <c r="AO28" s="76">
        <v>280</v>
      </c>
      <c r="AP28" s="77">
        <v>315</v>
      </c>
      <c r="AQ28" s="1">
        <v>-540</v>
      </c>
      <c r="AR28" s="1">
        <v>-330</v>
      </c>
      <c r="AS28" s="1">
        <v>-190</v>
      </c>
      <c r="AT28" s="1">
        <v>-190</v>
      </c>
      <c r="AU28" s="1">
        <v>-110</v>
      </c>
      <c r="AV28" s="1">
        <v>-110</v>
      </c>
      <c r="AW28" s="75">
        <v>-110</v>
      </c>
      <c r="AX28" s="75">
        <v>-56</v>
      </c>
      <c r="AY28" s="75">
        <v>-56</v>
      </c>
      <c r="AZ28" s="75">
        <v>-56</v>
      </c>
      <c r="BA28" s="75">
        <v>-17</v>
      </c>
      <c r="BB28" s="75">
        <v>-17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11.5</v>
      </c>
      <c r="BI28" s="75">
        <v>16</v>
      </c>
      <c r="BJ28" s="75">
        <v>26</v>
      </c>
      <c r="BK28" s="75">
        <v>27</v>
      </c>
      <c r="BL28" s="32">
        <v>36</v>
      </c>
      <c r="BM28" s="32">
        <v>43</v>
      </c>
      <c r="BN28" s="32">
        <v>52</v>
      </c>
      <c r="BO28" s="32">
        <v>66</v>
      </c>
      <c r="BP28" s="32">
        <v>88</v>
      </c>
      <c r="BQ28" s="32">
        <v>130</v>
      </c>
      <c r="BR28" s="49" t="s">
        <v>200</v>
      </c>
      <c r="BS28" s="49" t="s">
        <v>200</v>
      </c>
      <c r="BT28" s="49" t="s">
        <v>200</v>
      </c>
      <c r="BU28" s="82" t="s">
        <v>200</v>
      </c>
      <c r="BW28" s="59">
        <v>280</v>
      </c>
      <c r="BX28" s="48">
        <v>315</v>
      </c>
      <c r="BY28" s="2">
        <v>750</v>
      </c>
      <c r="BZ28" s="2">
        <v>460</v>
      </c>
      <c r="CA28" s="2">
        <v>540</v>
      </c>
      <c r="CB28" s="2">
        <v>271</v>
      </c>
      <c r="CC28" s="2">
        <v>320</v>
      </c>
      <c r="CD28" s="2">
        <v>400</v>
      </c>
      <c r="CE28" s="2">
        <v>162</v>
      </c>
      <c r="CF28" s="2">
        <v>191</v>
      </c>
      <c r="CG28" s="2">
        <v>240</v>
      </c>
      <c r="CH28" s="2">
        <v>88</v>
      </c>
      <c r="CI28" s="2">
        <v>108</v>
      </c>
      <c r="CJ28" s="46">
        <v>137</v>
      </c>
      <c r="CK28" s="46">
        <v>49</v>
      </c>
      <c r="CL28" s="46">
        <v>69</v>
      </c>
      <c r="CM28" s="46">
        <v>32</v>
      </c>
      <c r="CN28" s="46">
        <v>52</v>
      </c>
      <c r="CO28" s="46">
        <v>81</v>
      </c>
      <c r="CP28" s="46">
        <v>130</v>
      </c>
      <c r="CQ28" s="46">
        <v>210</v>
      </c>
      <c r="CR28" s="46">
        <v>16</v>
      </c>
      <c r="CS28" s="46">
        <v>26</v>
      </c>
      <c r="CT28" s="46">
        <v>5</v>
      </c>
      <c r="CU28" s="46">
        <v>16</v>
      </c>
      <c r="CV28" s="46">
        <v>-9</v>
      </c>
      <c r="CW28" s="46">
        <v>0</v>
      </c>
      <c r="CX28" s="46">
        <v>-25</v>
      </c>
      <c r="CY28" s="46">
        <v>-14</v>
      </c>
      <c r="CZ28" s="46">
        <v>-47</v>
      </c>
      <c r="DA28" s="2">
        <v>-36</v>
      </c>
      <c r="DB28" s="2">
        <v>-78</v>
      </c>
      <c r="DC28" s="49" t="s">
        <v>201</v>
      </c>
      <c r="DD28" s="49" t="s">
        <v>201</v>
      </c>
      <c r="DE28" s="47" t="s">
        <v>201</v>
      </c>
      <c r="DF28" s="82" t="s">
        <v>201</v>
      </c>
    </row>
    <row r="29" spans="2:110" x14ac:dyDescent="0.7">
      <c r="B29" s="148"/>
      <c r="C29" s="42" t="s">
        <v>190</v>
      </c>
      <c r="D29" s="2" t="str">
        <f t="shared" si="4"/>
        <v>242/145</v>
      </c>
      <c r="E29" s="2" t="str">
        <f t="shared" si="4"/>
        <v>160/95</v>
      </c>
      <c r="F29" s="2" t="str">
        <f t="shared" si="4"/>
        <v>192/95</v>
      </c>
      <c r="G29" s="2" t="str">
        <f t="shared" si="4"/>
        <v>96/50</v>
      </c>
      <c r="H29" s="2" t="str">
        <f t="shared" si="4"/>
        <v>115/50</v>
      </c>
      <c r="I29" s="2" t="str">
        <f t="shared" si="4"/>
        <v>147/50</v>
      </c>
      <c r="J29" s="2" t="str">
        <f t="shared" si="4"/>
        <v>59/25</v>
      </c>
      <c r="K29" s="2" t="str">
        <f t="shared" si="4"/>
        <v>71/25</v>
      </c>
      <c r="L29" s="2" t="str">
        <f t="shared" si="4"/>
        <v>90/25</v>
      </c>
      <c r="M29" s="2" t="str">
        <f t="shared" si="4"/>
        <v>31/5</v>
      </c>
      <c r="N29" s="2" t="str">
        <f t="shared" si="4"/>
        <v>39/5</v>
      </c>
      <c r="O29" s="2" t="str">
        <f t="shared" si="4"/>
        <v>51/5</v>
      </c>
      <c r="P29" s="2" t="str">
        <f t="shared" si="4"/>
        <v>18/-8</v>
      </c>
      <c r="Q29" s="2" t="str">
        <f t="shared" si="4"/>
        <v>26/-8</v>
      </c>
      <c r="R29" s="2" t="str">
        <f t="shared" si="4"/>
        <v>11/-15</v>
      </c>
      <c r="S29" s="2" t="str">
        <f t="shared" si="4"/>
        <v>19/-15</v>
      </c>
      <c r="T29" s="2" t="str">
        <f t="shared" si="3"/>
        <v>31/-15</v>
      </c>
      <c r="U29" s="2" t="str">
        <f t="shared" si="3"/>
        <v>50/-15</v>
      </c>
      <c r="V29" s="2" t="str">
        <f t="shared" si="3"/>
        <v>82/-15</v>
      </c>
      <c r="W29" s="2" t="str">
        <f t="shared" si="3"/>
        <v>4.5/-21.5</v>
      </c>
      <c r="X29" s="2" t="str">
        <f t="shared" si="3"/>
        <v>8/-25</v>
      </c>
      <c r="Y29" s="2" t="str">
        <f t="shared" si="3"/>
        <v>0/-26</v>
      </c>
      <c r="Z29" s="2" t="str">
        <f t="shared" si="3"/>
        <v>4/-30</v>
      </c>
      <c r="AA29" s="2" t="str">
        <f t="shared" si="2"/>
        <v>-6/-32</v>
      </c>
      <c r="AB29" s="2" t="str">
        <f t="shared" si="2"/>
        <v>-2/-36</v>
      </c>
      <c r="AC29" s="2" t="str">
        <f t="shared" si="2"/>
        <v>-13/-39</v>
      </c>
      <c r="AD29" s="2" t="str">
        <f t="shared" si="2"/>
        <v>-9/-43</v>
      </c>
      <c r="AE29" s="2" t="str">
        <f t="shared" si="2"/>
        <v>-20/-46</v>
      </c>
      <c r="AF29" s="2" t="str">
        <f t="shared" si="2"/>
        <v>-16/-50</v>
      </c>
      <c r="AG29" s="2" t="str">
        <f t="shared" si="2"/>
        <v>-22/-56</v>
      </c>
      <c r="AH29" s="2" t="str">
        <f t="shared" si="2"/>
        <v>-29/-63</v>
      </c>
      <c r="AI29" s="2" t="str">
        <f t="shared" si="2"/>
        <v>-35/-69</v>
      </c>
      <c r="AJ29" s="2" t="str">
        <f t="shared" si="2"/>
        <v>-42/-76</v>
      </c>
      <c r="AK29" s="2" t="str">
        <f t="shared" si="2"/>
        <v>-58/-92</v>
      </c>
      <c r="AO29" s="76">
        <v>315</v>
      </c>
      <c r="AP29" s="77">
        <v>355</v>
      </c>
      <c r="AQ29" s="1">
        <v>-600</v>
      </c>
      <c r="AR29" s="1">
        <v>-360</v>
      </c>
      <c r="AS29" s="1">
        <v>-210</v>
      </c>
      <c r="AT29" s="1">
        <v>-210</v>
      </c>
      <c r="AU29" s="1">
        <v>-125</v>
      </c>
      <c r="AV29" s="1">
        <v>-125</v>
      </c>
      <c r="AW29" s="75">
        <v>-125</v>
      </c>
      <c r="AX29" s="75">
        <v>-62</v>
      </c>
      <c r="AY29" s="75">
        <v>-62</v>
      </c>
      <c r="AZ29" s="75">
        <v>-62</v>
      </c>
      <c r="BA29" s="75">
        <v>-18</v>
      </c>
      <c r="BB29" s="75">
        <v>-18</v>
      </c>
      <c r="BC29" s="75">
        <v>0</v>
      </c>
      <c r="BD29" s="75">
        <v>0</v>
      </c>
      <c r="BE29" s="75">
        <v>0</v>
      </c>
      <c r="BF29" s="75">
        <v>0</v>
      </c>
      <c r="BG29" s="75">
        <v>0</v>
      </c>
      <c r="BH29" s="75">
        <v>12.5</v>
      </c>
      <c r="BI29" s="75">
        <v>18</v>
      </c>
      <c r="BJ29" s="75">
        <v>28</v>
      </c>
      <c r="BK29" s="75">
        <v>29</v>
      </c>
      <c r="BL29" s="32">
        <v>40</v>
      </c>
      <c r="BM29" s="32">
        <v>46</v>
      </c>
      <c r="BN29" s="32">
        <v>57</v>
      </c>
      <c r="BO29" s="32">
        <v>73</v>
      </c>
      <c r="BP29" s="32">
        <v>98</v>
      </c>
      <c r="BQ29" s="32">
        <v>144</v>
      </c>
      <c r="BR29" s="49" t="s">
        <v>200</v>
      </c>
      <c r="BS29" s="49" t="s">
        <v>200</v>
      </c>
      <c r="BT29" s="49" t="s">
        <v>200</v>
      </c>
      <c r="BU29" s="82" t="s">
        <v>200</v>
      </c>
      <c r="BW29" s="59">
        <v>315</v>
      </c>
      <c r="BX29" s="48">
        <v>355</v>
      </c>
      <c r="BY29" s="2">
        <v>830</v>
      </c>
      <c r="BZ29" s="2">
        <v>500</v>
      </c>
      <c r="CA29" s="2">
        <v>590</v>
      </c>
      <c r="CB29" s="2">
        <v>299</v>
      </c>
      <c r="CC29" s="2">
        <v>350</v>
      </c>
      <c r="CD29" s="2">
        <v>440</v>
      </c>
      <c r="CE29" s="2">
        <v>182</v>
      </c>
      <c r="CF29" s="2">
        <v>214</v>
      </c>
      <c r="CG29" s="2">
        <v>265</v>
      </c>
      <c r="CH29" s="2">
        <v>98</v>
      </c>
      <c r="CI29" s="2">
        <v>119</v>
      </c>
      <c r="CJ29" s="46">
        <v>151</v>
      </c>
      <c r="CK29" s="46">
        <v>54</v>
      </c>
      <c r="CL29" s="46">
        <v>75</v>
      </c>
      <c r="CM29" s="46">
        <v>36</v>
      </c>
      <c r="CN29" s="46">
        <v>57</v>
      </c>
      <c r="CO29" s="46">
        <v>89</v>
      </c>
      <c r="CP29" s="46">
        <v>140</v>
      </c>
      <c r="CQ29" s="46">
        <v>230</v>
      </c>
      <c r="CR29" s="46">
        <v>18</v>
      </c>
      <c r="CS29" s="46">
        <v>28</v>
      </c>
      <c r="CT29" s="46">
        <v>7</v>
      </c>
      <c r="CU29" s="46">
        <v>17</v>
      </c>
      <c r="CV29" s="46">
        <v>-10</v>
      </c>
      <c r="CW29" s="46">
        <v>0</v>
      </c>
      <c r="CX29" s="46">
        <v>-26</v>
      </c>
      <c r="CY29" s="46">
        <v>-16</v>
      </c>
      <c r="CZ29" s="46">
        <v>-51</v>
      </c>
      <c r="DA29" s="2">
        <v>-41</v>
      </c>
      <c r="DB29" s="2">
        <v>-87</v>
      </c>
      <c r="DC29" s="49" t="s">
        <v>201</v>
      </c>
      <c r="DD29" s="49" t="s">
        <v>201</v>
      </c>
      <c r="DE29" s="47" t="s">
        <v>201</v>
      </c>
      <c r="DF29" s="82" t="s">
        <v>201</v>
      </c>
    </row>
    <row r="30" spans="2:110" x14ac:dyDescent="0.7">
      <c r="B30" s="148"/>
      <c r="C30" s="42" t="s">
        <v>191</v>
      </c>
      <c r="D30" s="2" t="str">
        <f t="shared" si="4"/>
        <v>236/143</v>
      </c>
      <c r="E30" s="2" t="str">
        <f t="shared" si="4"/>
        <v>154/93</v>
      </c>
      <c r="F30" s="2" t="str">
        <f t="shared" si="4"/>
        <v>186/93</v>
      </c>
      <c r="G30" s="2" t="str">
        <f t="shared" si="4"/>
        <v>90/48</v>
      </c>
      <c r="H30" s="2" t="str">
        <f t="shared" si="4"/>
        <v>109/48</v>
      </c>
      <c r="I30" s="2" t="str">
        <f t="shared" si="4"/>
        <v>141/48</v>
      </c>
      <c r="J30" s="2" t="str">
        <f t="shared" si="4"/>
        <v>53/23</v>
      </c>
      <c r="K30" s="2" t="str">
        <f t="shared" si="4"/>
        <v>65/23</v>
      </c>
      <c r="L30" s="2" t="str">
        <f t="shared" si="4"/>
        <v>84/23</v>
      </c>
      <c r="M30" s="2" t="str">
        <f t="shared" si="4"/>
        <v>25/3</v>
      </c>
      <c r="N30" s="2" t="str">
        <f t="shared" si="4"/>
        <v>33/3</v>
      </c>
      <c r="O30" s="2" t="str">
        <f t="shared" si="4"/>
        <v>45/3</v>
      </c>
      <c r="P30" s="2" t="str">
        <f t="shared" si="4"/>
        <v>12/-10</v>
      </c>
      <c r="Q30" s="2" t="str">
        <f t="shared" si="4"/>
        <v>20/-10</v>
      </c>
      <c r="R30" s="2" t="str">
        <f t="shared" si="4"/>
        <v>5/-17</v>
      </c>
      <c r="S30" s="2" t="str">
        <f t="shared" si="4"/>
        <v>13/-17</v>
      </c>
      <c r="T30" s="2" t="str">
        <f t="shared" si="3"/>
        <v>25/-17</v>
      </c>
      <c r="U30" s="2" t="str">
        <f t="shared" si="3"/>
        <v>44/-17</v>
      </c>
      <c r="V30" s="2" t="str">
        <f t="shared" si="3"/>
        <v>76/-17</v>
      </c>
      <c r="W30" s="2" t="str">
        <f t="shared" si="3"/>
        <v>-1.5/-23.5</v>
      </c>
      <c r="X30" s="2" t="str">
        <f t="shared" si="3"/>
        <v>2/-27</v>
      </c>
      <c r="Y30" s="2" t="str">
        <f t="shared" si="3"/>
        <v>-6/-28</v>
      </c>
      <c r="Z30" s="2" t="str">
        <f t="shared" si="3"/>
        <v>-2/-32</v>
      </c>
      <c r="AA30" s="2" t="str">
        <f t="shared" si="2"/>
        <v>-12/-34</v>
      </c>
      <c r="AB30" s="2" t="str">
        <f t="shared" si="2"/>
        <v>-8/-38</v>
      </c>
      <c r="AC30" s="2" t="str">
        <f t="shared" si="2"/>
        <v>-19/-41</v>
      </c>
      <c r="AD30" s="2" t="str">
        <f t="shared" si="2"/>
        <v>-15/-45</v>
      </c>
      <c r="AE30" s="2" t="str">
        <f t="shared" si="2"/>
        <v>-26/-48</v>
      </c>
      <c r="AF30" s="2" t="str">
        <f t="shared" si="2"/>
        <v>-22/-52</v>
      </c>
      <c r="AG30" s="2" t="str">
        <f t="shared" si="2"/>
        <v>-28/-58</v>
      </c>
      <c r="AH30" s="2" t="str">
        <f t="shared" si="2"/>
        <v>-35/-65</v>
      </c>
      <c r="AI30" s="2" t="str">
        <f t="shared" si="2"/>
        <v>-41/-71</v>
      </c>
      <c r="AJ30" s="2" t="str">
        <f t="shared" si="2"/>
        <v>-48/-78</v>
      </c>
      <c r="AK30" s="2" t="str">
        <f t="shared" si="2"/>
        <v>-64/-94</v>
      </c>
      <c r="AO30" s="76">
        <v>355</v>
      </c>
      <c r="AP30" s="77">
        <v>400</v>
      </c>
      <c r="AQ30" s="1">
        <v>-680</v>
      </c>
      <c r="AR30" s="1">
        <v>-400</v>
      </c>
      <c r="AS30" s="1">
        <v>-210</v>
      </c>
      <c r="AT30" s="1">
        <v>-210</v>
      </c>
      <c r="AU30" s="1">
        <v>-125</v>
      </c>
      <c r="AV30" s="1">
        <v>-125</v>
      </c>
      <c r="AW30" s="75">
        <v>-125</v>
      </c>
      <c r="AX30" s="75">
        <v>-62</v>
      </c>
      <c r="AY30" s="75">
        <v>-62</v>
      </c>
      <c r="AZ30" s="75">
        <v>-62</v>
      </c>
      <c r="BA30" s="75">
        <v>-18</v>
      </c>
      <c r="BB30" s="75">
        <v>-18</v>
      </c>
      <c r="BC30" s="75">
        <v>0</v>
      </c>
      <c r="BD30" s="75">
        <v>0</v>
      </c>
      <c r="BE30" s="75">
        <v>0</v>
      </c>
      <c r="BF30" s="75">
        <v>0</v>
      </c>
      <c r="BG30" s="75">
        <v>0</v>
      </c>
      <c r="BH30" s="75">
        <v>12.5</v>
      </c>
      <c r="BI30" s="75">
        <v>18</v>
      </c>
      <c r="BJ30" s="75">
        <v>28</v>
      </c>
      <c r="BK30" s="75">
        <v>29</v>
      </c>
      <c r="BL30" s="32">
        <v>40</v>
      </c>
      <c r="BM30" s="32">
        <v>46</v>
      </c>
      <c r="BN30" s="32">
        <v>57</v>
      </c>
      <c r="BO30" s="32">
        <v>73</v>
      </c>
      <c r="BP30" s="32">
        <v>98</v>
      </c>
      <c r="BQ30" s="32">
        <v>150</v>
      </c>
      <c r="BR30" s="49" t="s">
        <v>200</v>
      </c>
      <c r="BS30" s="49" t="s">
        <v>200</v>
      </c>
      <c r="BT30" s="49" t="s">
        <v>200</v>
      </c>
      <c r="BU30" s="82" t="s">
        <v>200</v>
      </c>
      <c r="BW30" s="59">
        <v>355</v>
      </c>
      <c r="BX30" s="48">
        <v>400</v>
      </c>
      <c r="BY30" s="2">
        <v>910</v>
      </c>
      <c r="BZ30" s="2">
        <v>540</v>
      </c>
      <c r="CA30" s="2">
        <v>630</v>
      </c>
      <c r="CB30" s="2">
        <v>299</v>
      </c>
      <c r="CC30" s="2">
        <v>350</v>
      </c>
      <c r="CD30" s="2">
        <v>440</v>
      </c>
      <c r="CE30" s="2">
        <v>182</v>
      </c>
      <c r="CF30" s="2">
        <v>214</v>
      </c>
      <c r="CG30" s="2">
        <v>265</v>
      </c>
      <c r="CH30" s="2">
        <v>98</v>
      </c>
      <c r="CI30" s="2">
        <v>119</v>
      </c>
      <c r="CJ30" s="46">
        <v>151</v>
      </c>
      <c r="CK30" s="46">
        <v>54</v>
      </c>
      <c r="CL30" s="46">
        <v>75</v>
      </c>
      <c r="CM30" s="46">
        <v>36</v>
      </c>
      <c r="CN30" s="46">
        <v>57</v>
      </c>
      <c r="CO30" s="46">
        <v>89</v>
      </c>
      <c r="CP30" s="46">
        <v>140</v>
      </c>
      <c r="CQ30" s="46">
        <v>230</v>
      </c>
      <c r="CR30" s="46">
        <v>18</v>
      </c>
      <c r="CS30" s="46">
        <v>28</v>
      </c>
      <c r="CT30" s="46">
        <v>7</v>
      </c>
      <c r="CU30" s="46">
        <v>17</v>
      </c>
      <c r="CV30" s="46">
        <v>-10</v>
      </c>
      <c r="CW30" s="46">
        <v>0</v>
      </c>
      <c r="CX30" s="46">
        <v>-26</v>
      </c>
      <c r="CY30" s="46">
        <v>-16</v>
      </c>
      <c r="CZ30" s="46">
        <v>-51</v>
      </c>
      <c r="DA30" s="2">
        <v>-41</v>
      </c>
      <c r="DB30" s="2">
        <v>-93</v>
      </c>
      <c r="DC30" s="49" t="s">
        <v>201</v>
      </c>
      <c r="DD30" s="49" t="s">
        <v>201</v>
      </c>
      <c r="DE30" s="47" t="s">
        <v>201</v>
      </c>
      <c r="DF30" s="82" t="s">
        <v>201</v>
      </c>
    </row>
    <row r="31" spans="2:110" x14ac:dyDescent="0.7">
      <c r="B31" s="148"/>
      <c r="C31" s="42" t="s">
        <v>192</v>
      </c>
      <c r="D31" s="2" t="str">
        <f t="shared" si="4"/>
        <v>236/139</v>
      </c>
      <c r="E31" s="2" t="str">
        <f t="shared" si="4"/>
        <v>154/89</v>
      </c>
      <c r="F31" s="2" t="str">
        <f t="shared" si="4"/>
        <v>186/89</v>
      </c>
      <c r="G31" s="2" t="str">
        <f t="shared" si="4"/>
        <v>90/44</v>
      </c>
      <c r="H31" s="2" t="str">
        <f t="shared" si="4"/>
        <v>109/44</v>
      </c>
      <c r="I31" s="2" t="str">
        <f t="shared" si="4"/>
        <v>141/44</v>
      </c>
      <c r="J31" s="2" t="str">
        <f t="shared" si="4"/>
        <v>53/19</v>
      </c>
      <c r="K31" s="2" t="str">
        <f t="shared" si="4"/>
        <v>65/19</v>
      </c>
      <c r="L31" s="2" t="str">
        <f t="shared" si="4"/>
        <v>84/19</v>
      </c>
      <c r="M31" s="2" t="str">
        <f t="shared" si="4"/>
        <v>25/-1</v>
      </c>
      <c r="N31" s="2" t="str">
        <f t="shared" si="4"/>
        <v>33/-1</v>
      </c>
      <c r="O31" s="2" t="str">
        <f t="shared" si="4"/>
        <v>45/-1</v>
      </c>
      <c r="P31" s="2" t="str">
        <f t="shared" si="4"/>
        <v>12/-14</v>
      </c>
      <c r="Q31" s="2" t="str">
        <f t="shared" si="4"/>
        <v>20/-14</v>
      </c>
      <c r="R31" s="2" t="str">
        <f t="shared" si="4"/>
        <v>5/-21</v>
      </c>
      <c r="S31" s="2" t="str">
        <f t="shared" si="4"/>
        <v>13/-21</v>
      </c>
      <c r="T31" s="2" t="str">
        <f t="shared" si="3"/>
        <v>25/-21</v>
      </c>
      <c r="U31" s="2" t="str">
        <f t="shared" si="3"/>
        <v>44/-21</v>
      </c>
      <c r="V31" s="2" t="str">
        <f t="shared" si="3"/>
        <v>76/-21</v>
      </c>
      <c r="W31" s="2" t="str">
        <f t="shared" si="3"/>
        <v>-1.5/-27.5</v>
      </c>
      <c r="X31" s="2" t="str">
        <f t="shared" si="3"/>
        <v>2/-31</v>
      </c>
      <c r="Y31" s="2" t="str">
        <f t="shared" si="3"/>
        <v>-6/-32</v>
      </c>
      <c r="Z31" s="2" t="str">
        <f t="shared" si="3"/>
        <v>-2/-36</v>
      </c>
      <c r="AA31" s="2" t="str">
        <f t="shared" si="2"/>
        <v>-12/-38</v>
      </c>
      <c r="AB31" s="2" t="str">
        <f t="shared" si="2"/>
        <v>-8/-42</v>
      </c>
      <c r="AC31" s="2" t="str">
        <f t="shared" si="2"/>
        <v>-19/-45</v>
      </c>
      <c r="AD31" s="2" t="str">
        <f t="shared" si="2"/>
        <v>-15/-49</v>
      </c>
      <c r="AE31" s="2" t="str">
        <f t="shared" si="2"/>
        <v>-26/-52</v>
      </c>
      <c r="AF31" s="2" t="str">
        <f t="shared" si="2"/>
        <v>-22/-56</v>
      </c>
      <c r="AG31" s="2" t="str">
        <f t="shared" si="2"/>
        <v>-28/-62</v>
      </c>
      <c r="AH31" s="2" t="str">
        <f t="shared" si="2"/>
        <v>-35/-69</v>
      </c>
      <c r="AI31" s="2" t="str">
        <f t="shared" si="2"/>
        <v>-41/-75</v>
      </c>
      <c r="AJ31" s="2" t="str">
        <f t="shared" si="2"/>
        <v>-48/-82</v>
      </c>
      <c r="AK31" s="2" t="str">
        <f t="shared" si="2"/>
        <v>-64/-98</v>
      </c>
      <c r="AO31" s="76">
        <v>400</v>
      </c>
      <c r="AP31" s="77">
        <v>450</v>
      </c>
      <c r="AQ31" s="1">
        <v>-760</v>
      </c>
      <c r="AR31" s="1">
        <v>-440</v>
      </c>
      <c r="AS31" s="1">
        <v>-230</v>
      </c>
      <c r="AT31" s="1">
        <v>-230</v>
      </c>
      <c r="AU31" s="1">
        <v>-135</v>
      </c>
      <c r="AV31" s="1">
        <v>-135</v>
      </c>
      <c r="AW31" s="75">
        <v>-135</v>
      </c>
      <c r="AX31" s="75">
        <v>-68</v>
      </c>
      <c r="AY31" s="75">
        <v>-68</v>
      </c>
      <c r="AZ31" s="75">
        <v>-68</v>
      </c>
      <c r="BA31" s="75">
        <v>-20</v>
      </c>
      <c r="BB31" s="75">
        <v>-20</v>
      </c>
      <c r="BC31" s="75">
        <v>0</v>
      </c>
      <c r="BD31" s="75">
        <v>0</v>
      </c>
      <c r="BE31" s="75">
        <v>0</v>
      </c>
      <c r="BF31" s="75">
        <v>0</v>
      </c>
      <c r="BG31" s="75">
        <v>0</v>
      </c>
      <c r="BH31" s="75">
        <v>13.5</v>
      </c>
      <c r="BI31" s="75">
        <v>20</v>
      </c>
      <c r="BJ31" s="75">
        <v>31</v>
      </c>
      <c r="BK31" s="75">
        <v>32</v>
      </c>
      <c r="BL31" s="32">
        <v>45</v>
      </c>
      <c r="BM31" s="32">
        <v>50</v>
      </c>
      <c r="BN31" s="32">
        <v>63</v>
      </c>
      <c r="BO31" s="32">
        <v>80</v>
      </c>
      <c r="BP31" s="32">
        <v>108</v>
      </c>
      <c r="BQ31" s="32">
        <v>166</v>
      </c>
      <c r="BR31" s="49" t="s">
        <v>200</v>
      </c>
      <c r="BS31" s="49" t="s">
        <v>200</v>
      </c>
      <c r="BT31" s="49" t="s">
        <v>200</v>
      </c>
      <c r="BU31" s="82" t="s">
        <v>200</v>
      </c>
      <c r="BW31" s="59">
        <v>400</v>
      </c>
      <c r="BX31" s="48">
        <v>450</v>
      </c>
      <c r="BY31" s="2">
        <v>1010</v>
      </c>
      <c r="BZ31" s="2">
        <v>595</v>
      </c>
      <c r="CA31" s="2">
        <v>690</v>
      </c>
      <c r="CB31" s="2">
        <v>327</v>
      </c>
      <c r="CC31" s="2">
        <v>385</v>
      </c>
      <c r="CD31" s="2">
        <v>480</v>
      </c>
      <c r="CE31" s="2">
        <v>198</v>
      </c>
      <c r="CF31" s="2">
        <v>232</v>
      </c>
      <c r="CG31" s="2">
        <v>290</v>
      </c>
      <c r="CH31" s="2">
        <v>108</v>
      </c>
      <c r="CI31" s="2">
        <v>131</v>
      </c>
      <c r="CJ31" s="46">
        <v>165</v>
      </c>
      <c r="CK31" s="46">
        <v>60</v>
      </c>
      <c r="CL31" s="46">
        <v>83</v>
      </c>
      <c r="CM31" s="46">
        <v>40</v>
      </c>
      <c r="CN31" s="46">
        <v>63</v>
      </c>
      <c r="CO31" s="46">
        <v>97</v>
      </c>
      <c r="CP31" s="46">
        <v>155</v>
      </c>
      <c r="CQ31" s="46">
        <v>250</v>
      </c>
      <c r="CR31" s="46">
        <v>20</v>
      </c>
      <c r="CS31" s="46">
        <v>31</v>
      </c>
      <c r="CT31" s="46">
        <v>8</v>
      </c>
      <c r="CU31" s="46">
        <v>-18</v>
      </c>
      <c r="CV31" s="46">
        <v>-10</v>
      </c>
      <c r="CW31" s="46">
        <v>0</v>
      </c>
      <c r="CX31" s="46">
        <v>-27</v>
      </c>
      <c r="CY31" s="46">
        <v>-17</v>
      </c>
      <c r="CZ31" s="46">
        <v>-55</v>
      </c>
      <c r="DA31" s="2">
        <v>-45</v>
      </c>
      <c r="DB31" s="2">
        <v>-103</v>
      </c>
      <c r="DC31" s="49" t="s">
        <v>201</v>
      </c>
      <c r="DD31" s="49" t="s">
        <v>201</v>
      </c>
      <c r="DE31" s="47" t="s">
        <v>201</v>
      </c>
      <c r="DF31" s="82" t="s">
        <v>201</v>
      </c>
    </row>
    <row r="32" spans="2:110" x14ac:dyDescent="0.7">
      <c r="B32" s="148"/>
      <c r="C32" s="42" t="s">
        <v>193</v>
      </c>
      <c r="D32" s="2" t="str">
        <f t="shared" si="4"/>
        <v>229/132</v>
      </c>
      <c r="E32" s="2" t="str">
        <f t="shared" si="4"/>
        <v>147/82</v>
      </c>
      <c r="F32" s="2" t="str">
        <f t="shared" si="4"/>
        <v>179/82</v>
      </c>
      <c r="G32" s="2" t="str">
        <f t="shared" si="4"/>
        <v>83/37</v>
      </c>
      <c r="H32" s="2" t="str">
        <f t="shared" si="4"/>
        <v>102/37</v>
      </c>
      <c r="I32" s="2" t="str">
        <f t="shared" si="4"/>
        <v>134/37</v>
      </c>
      <c r="J32" s="2" t="str">
        <f t="shared" si="4"/>
        <v>46/12</v>
      </c>
      <c r="K32" s="2" t="str">
        <f t="shared" si="4"/>
        <v>58/12</v>
      </c>
      <c r="L32" s="2" t="str">
        <f t="shared" si="4"/>
        <v>77/12</v>
      </c>
      <c r="M32" s="2" t="str">
        <f t="shared" si="4"/>
        <v>18/-8</v>
      </c>
      <c r="N32" s="2" t="str">
        <f t="shared" si="4"/>
        <v>26/-8</v>
      </c>
      <c r="O32" s="2" t="str">
        <f t="shared" si="4"/>
        <v>38/-8</v>
      </c>
      <c r="P32" s="2" t="str">
        <f t="shared" si="4"/>
        <v>5/-21</v>
      </c>
      <c r="Q32" s="2" t="str">
        <f t="shared" si="4"/>
        <v>13/-21</v>
      </c>
      <c r="R32" s="2" t="str">
        <f t="shared" si="4"/>
        <v>-2/-28</v>
      </c>
      <c r="S32" s="2" t="str">
        <f t="shared" si="4"/>
        <v>6/-28</v>
      </c>
      <c r="T32" s="2" t="str">
        <f t="shared" si="3"/>
        <v>18/-28</v>
      </c>
      <c r="U32" s="2" t="str">
        <f t="shared" si="3"/>
        <v>37/-28</v>
      </c>
      <c r="V32" s="2" t="str">
        <f t="shared" si="3"/>
        <v>69/-28</v>
      </c>
      <c r="W32" s="2" t="str">
        <f t="shared" si="3"/>
        <v>-8.5/-34.5</v>
      </c>
      <c r="X32" s="2" t="str">
        <f t="shared" si="3"/>
        <v>-5/-38</v>
      </c>
      <c r="Y32" s="2" t="str">
        <f t="shared" si="3"/>
        <v>-13/-39</v>
      </c>
      <c r="Z32" s="2" t="str">
        <f t="shared" si="3"/>
        <v>-9/-43</v>
      </c>
      <c r="AA32" s="2" t="str">
        <f t="shared" si="2"/>
        <v>-19/-45</v>
      </c>
      <c r="AB32" s="2" t="str">
        <f t="shared" si="2"/>
        <v>-15/-49</v>
      </c>
      <c r="AC32" s="2" t="str">
        <f t="shared" si="2"/>
        <v>-26/-52</v>
      </c>
      <c r="AD32" s="2" t="str">
        <f t="shared" si="2"/>
        <v>-22/-56</v>
      </c>
      <c r="AE32" s="2" t="str">
        <f t="shared" si="2"/>
        <v>-33/-59</v>
      </c>
      <c r="AF32" s="2" t="str">
        <f t="shared" si="2"/>
        <v>-29/-63</v>
      </c>
      <c r="AG32" s="2" t="str">
        <f t="shared" si="2"/>
        <v>-35/-69</v>
      </c>
      <c r="AH32" s="2" t="str">
        <f t="shared" si="2"/>
        <v>-42/-76</v>
      </c>
      <c r="AI32" s="2" t="str">
        <f t="shared" si="2"/>
        <v>-48/-82</v>
      </c>
      <c r="AJ32" s="2" t="str">
        <f t="shared" si="2"/>
        <v>-55/-89</v>
      </c>
      <c r="AK32" s="2" t="str">
        <f t="shared" si="2"/>
        <v>-71/-105</v>
      </c>
      <c r="AO32" s="76">
        <v>450</v>
      </c>
      <c r="AP32" s="77">
        <v>500</v>
      </c>
      <c r="AQ32" s="1">
        <v>-840</v>
      </c>
      <c r="AR32" s="1">
        <v>-480</v>
      </c>
      <c r="AS32" s="1">
        <v>-230</v>
      </c>
      <c r="AT32" s="1">
        <v>-230</v>
      </c>
      <c r="AU32" s="1">
        <v>-135</v>
      </c>
      <c r="AV32" s="1">
        <v>-135</v>
      </c>
      <c r="AW32" s="75">
        <v>-135</v>
      </c>
      <c r="AX32" s="75">
        <v>-68</v>
      </c>
      <c r="AY32" s="75">
        <v>-68</v>
      </c>
      <c r="AZ32" s="75">
        <v>-68</v>
      </c>
      <c r="BA32" s="75">
        <v>-20</v>
      </c>
      <c r="BB32" s="75">
        <v>-20</v>
      </c>
      <c r="BC32" s="75">
        <v>0</v>
      </c>
      <c r="BD32" s="75">
        <v>0</v>
      </c>
      <c r="BE32" s="75">
        <v>0</v>
      </c>
      <c r="BF32" s="75">
        <v>0</v>
      </c>
      <c r="BG32" s="75">
        <v>0</v>
      </c>
      <c r="BH32" s="75">
        <v>13.5</v>
      </c>
      <c r="BI32" s="75">
        <v>20</v>
      </c>
      <c r="BJ32" s="75">
        <v>31</v>
      </c>
      <c r="BK32" s="75">
        <v>32</v>
      </c>
      <c r="BL32" s="32">
        <v>45</v>
      </c>
      <c r="BM32" s="32">
        <v>50</v>
      </c>
      <c r="BN32" s="32">
        <v>63</v>
      </c>
      <c r="BO32" s="32">
        <v>80</v>
      </c>
      <c r="BP32" s="32">
        <v>108</v>
      </c>
      <c r="BQ32" s="32">
        <v>172</v>
      </c>
      <c r="BR32" s="49" t="s">
        <v>200</v>
      </c>
      <c r="BS32" s="49" t="s">
        <v>200</v>
      </c>
      <c r="BT32" s="49" t="s">
        <v>200</v>
      </c>
      <c r="BU32" s="82" t="s">
        <v>200</v>
      </c>
      <c r="BW32" s="87">
        <v>450</v>
      </c>
      <c r="BX32" s="88">
        <v>500</v>
      </c>
      <c r="BY32" s="89">
        <v>1090</v>
      </c>
      <c r="BZ32" s="89">
        <v>635</v>
      </c>
      <c r="CA32" s="89">
        <v>730</v>
      </c>
      <c r="CB32" s="89">
        <v>327</v>
      </c>
      <c r="CC32" s="89">
        <v>385</v>
      </c>
      <c r="CD32" s="89">
        <v>480</v>
      </c>
      <c r="CE32" s="89">
        <v>198</v>
      </c>
      <c r="CF32" s="89">
        <v>232</v>
      </c>
      <c r="CG32" s="89">
        <v>290</v>
      </c>
      <c r="CH32" s="89">
        <v>108</v>
      </c>
      <c r="CI32" s="89">
        <v>131</v>
      </c>
      <c r="CJ32" s="90">
        <v>165</v>
      </c>
      <c r="CK32" s="90">
        <v>60</v>
      </c>
      <c r="CL32" s="90">
        <v>83</v>
      </c>
      <c r="CM32" s="90">
        <v>40</v>
      </c>
      <c r="CN32" s="90">
        <v>63</v>
      </c>
      <c r="CO32" s="90">
        <v>97</v>
      </c>
      <c r="CP32" s="90">
        <v>155</v>
      </c>
      <c r="CQ32" s="90">
        <v>250</v>
      </c>
      <c r="CR32" s="90">
        <v>20</v>
      </c>
      <c r="CS32" s="90">
        <v>31</v>
      </c>
      <c r="CT32" s="90">
        <v>8</v>
      </c>
      <c r="CU32" s="90">
        <v>-18</v>
      </c>
      <c r="CV32" s="90">
        <v>-10</v>
      </c>
      <c r="CW32" s="90">
        <v>0</v>
      </c>
      <c r="CX32" s="90">
        <v>-27</v>
      </c>
      <c r="CY32" s="90">
        <v>-17</v>
      </c>
      <c r="CZ32" s="90">
        <v>-55</v>
      </c>
      <c r="DA32" s="89">
        <v>-45</v>
      </c>
      <c r="DB32" s="89">
        <v>-109</v>
      </c>
      <c r="DC32" s="91" t="s">
        <v>201</v>
      </c>
      <c r="DD32" s="91" t="s">
        <v>201</v>
      </c>
      <c r="DE32" s="92" t="s">
        <v>201</v>
      </c>
      <c r="DF32" s="93" t="s">
        <v>201</v>
      </c>
    </row>
    <row r="33" spans="2:114" x14ac:dyDescent="0.7">
      <c r="B33" s="148"/>
      <c r="C33" s="42" t="s">
        <v>194</v>
      </c>
      <c r="D33" s="2" t="str">
        <f t="shared" si="4"/>
        <v>222/125</v>
      </c>
      <c r="E33" s="2" t="str">
        <f t="shared" si="4"/>
        <v>140/75</v>
      </c>
      <c r="F33" s="2" t="str">
        <f t="shared" si="4"/>
        <v>172/75</v>
      </c>
      <c r="G33" s="2" t="str">
        <f t="shared" si="4"/>
        <v>76/30</v>
      </c>
      <c r="H33" s="2" t="str">
        <f t="shared" si="4"/>
        <v>95/30</v>
      </c>
      <c r="I33" s="2" t="str">
        <f t="shared" si="4"/>
        <v>127/30</v>
      </c>
      <c r="J33" s="2" t="str">
        <f t="shared" si="4"/>
        <v>39/5</v>
      </c>
      <c r="K33" s="2" t="str">
        <f t="shared" si="4"/>
        <v>51/5</v>
      </c>
      <c r="L33" s="2" t="str">
        <f t="shared" si="4"/>
        <v>70/5</v>
      </c>
      <c r="M33" s="2" t="str">
        <f t="shared" si="4"/>
        <v>11/-15</v>
      </c>
      <c r="N33" s="2" t="str">
        <f t="shared" si="4"/>
        <v>19/-15</v>
      </c>
      <c r="O33" s="2" t="str">
        <f t="shared" si="4"/>
        <v>31/-15</v>
      </c>
      <c r="P33" s="2" t="str">
        <f t="shared" si="4"/>
        <v>-2/-28</v>
      </c>
      <c r="Q33" s="2" t="str">
        <f t="shared" si="4"/>
        <v>6/-28</v>
      </c>
      <c r="R33" s="2" t="str">
        <f t="shared" si="4"/>
        <v>-9/-35</v>
      </c>
      <c r="S33" s="2" t="str">
        <f t="shared" si="4"/>
        <v>-1/-35</v>
      </c>
      <c r="T33" s="2" t="str">
        <f t="shared" si="3"/>
        <v>11/-35</v>
      </c>
      <c r="U33" s="2" t="str">
        <f t="shared" si="3"/>
        <v>30/-35</v>
      </c>
      <c r="V33" s="2" t="str">
        <f t="shared" si="3"/>
        <v>62/-35</v>
      </c>
      <c r="W33" s="2" t="str">
        <f t="shared" si="3"/>
        <v>-15.5/-41.5</v>
      </c>
      <c r="X33" s="2" t="str">
        <f t="shared" si="3"/>
        <v>-12/-45</v>
      </c>
      <c r="Y33" s="2" t="str">
        <f t="shared" si="3"/>
        <v>-20/-46</v>
      </c>
      <c r="Z33" s="2" t="str">
        <f t="shared" si="3"/>
        <v>-16/-50</v>
      </c>
      <c r="AA33" s="2" t="str">
        <f t="shared" si="2"/>
        <v>-26/-52</v>
      </c>
      <c r="AB33" s="2" t="str">
        <f t="shared" si="2"/>
        <v>-22/-56</v>
      </c>
      <c r="AC33" s="2" t="str">
        <f t="shared" si="2"/>
        <v>-33/-59</v>
      </c>
      <c r="AD33" s="2" t="str">
        <f t="shared" si="2"/>
        <v>-29/-63</v>
      </c>
      <c r="AE33" s="2" t="str">
        <f t="shared" si="2"/>
        <v>-40/-66</v>
      </c>
      <c r="AF33" s="2" t="str">
        <f t="shared" si="2"/>
        <v>-36/-70</v>
      </c>
      <c r="AG33" s="2" t="str">
        <f t="shared" si="2"/>
        <v>-42/-76</v>
      </c>
      <c r="AH33" s="2" t="str">
        <f t="shared" si="2"/>
        <v>-49/-83</v>
      </c>
      <c r="AI33" s="2" t="str">
        <f t="shared" si="2"/>
        <v>-55/-89</v>
      </c>
      <c r="AJ33" s="2" t="str">
        <f t="shared" si="2"/>
        <v>-62/-96</v>
      </c>
      <c r="AK33" s="2" t="str">
        <f t="shared" si="2"/>
        <v>-78/-112</v>
      </c>
      <c r="BY33" s="51"/>
      <c r="BZ33" s="51"/>
      <c r="CA33" s="51"/>
    </row>
    <row r="34" spans="2:114" x14ac:dyDescent="0.7">
      <c r="B34" s="148"/>
      <c r="C34" s="36" t="s">
        <v>195</v>
      </c>
      <c r="D34" s="2" t="str">
        <f t="shared" si="4"/>
        <v>216/119</v>
      </c>
      <c r="E34" s="2" t="str">
        <f t="shared" si="4"/>
        <v>134/69</v>
      </c>
      <c r="F34" s="2" t="str">
        <f t="shared" si="4"/>
        <v>166/69</v>
      </c>
      <c r="G34" s="2" t="str">
        <f t="shared" si="4"/>
        <v>70/24</v>
      </c>
      <c r="H34" s="2" t="str">
        <f t="shared" si="4"/>
        <v>89/24</v>
      </c>
      <c r="I34" s="2" t="str">
        <f t="shared" si="4"/>
        <v>121/24</v>
      </c>
      <c r="J34" s="2" t="str">
        <f t="shared" si="4"/>
        <v>33/-1</v>
      </c>
      <c r="K34" s="2" t="str">
        <f t="shared" si="4"/>
        <v>45/-1</v>
      </c>
      <c r="L34" s="2" t="str">
        <f t="shared" si="4"/>
        <v>64/-1</v>
      </c>
      <c r="M34" s="2" t="str">
        <f t="shared" si="4"/>
        <v>5/-21</v>
      </c>
      <c r="N34" s="2" t="str">
        <f t="shared" si="4"/>
        <v>13/-21</v>
      </c>
      <c r="O34" s="2" t="str">
        <f t="shared" si="4"/>
        <v>25/-21</v>
      </c>
      <c r="P34" s="2" t="str">
        <f t="shared" si="4"/>
        <v>-8/-34</v>
      </c>
      <c r="Q34" s="2" t="str">
        <f t="shared" si="4"/>
        <v>0/-34</v>
      </c>
      <c r="R34" s="2" t="str">
        <f t="shared" si="4"/>
        <v>-15/-41</v>
      </c>
      <c r="S34" s="2" t="str">
        <f t="shared" si="4"/>
        <v>-7/-41</v>
      </c>
      <c r="T34" s="2" t="str">
        <f t="shared" si="3"/>
        <v>5/-41</v>
      </c>
      <c r="U34" s="2" t="str">
        <f t="shared" si="3"/>
        <v>24/-41</v>
      </c>
      <c r="V34" s="2" t="str">
        <f t="shared" si="3"/>
        <v>56/-41</v>
      </c>
      <c r="W34" s="2" t="str">
        <f t="shared" si="3"/>
        <v>-21.5/-47.5</v>
      </c>
      <c r="X34" s="2" t="str">
        <f t="shared" si="3"/>
        <v>-18/-51</v>
      </c>
      <c r="Y34" s="2" t="str">
        <f t="shared" si="3"/>
        <v>-26/-52</v>
      </c>
      <c r="Z34" s="2" t="str">
        <f t="shared" si="3"/>
        <v>-22/-56</v>
      </c>
      <c r="AA34" s="2" t="str">
        <f t="shared" si="2"/>
        <v>-32/-58</v>
      </c>
      <c r="AB34" s="2" t="str">
        <f t="shared" si="2"/>
        <v>-28/-62</v>
      </c>
      <c r="AC34" s="2" t="str">
        <f t="shared" si="2"/>
        <v>-39/-65</v>
      </c>
      <c r="AD34" s="2" t="str">
        <f t="shared" si="2"/>
        <v>-35/-69</v>
      </c>
      <c r="AE34" s="2" t="str">
        <f t="shared" si="2"/>
        <v>-46/-72</v>
      </c>
      <c r="AF34" s="2" t="str">
        <f t="shared" si="2"/>
        <v>-42/-76</v>
      </c>
      <c r="AG34" s="2" t="str">
        <f t="shared" si="2"/>
        <v>-48/-82</v>
      </c>
      <c r="AH34" s="2" t="str">
        <f t="shared" si="2"/>
        <v>-55/-89</v>
      </c>
      <c r="AI34" s="2" t="str">
        <f t="shared" si="2"/>
        <v>-61/-95</v>
      </c>
      <c r="AJ34" s="2" t="str">
        <f t="shared" si="2"/>
        <v>-68/-102</v>
      </c>
      <c r="AK34" s="2" t="str">
        <f t="shared" si="2"/>
        <v>-84/-118</v>
      </c>
      <c r="AO34" s="38" t="s">
        <v>202</v>
      </c>
      <c r="AP34" s="38"/>
      <c r="AQ34" s="39" t="s">
        <v>134</v>
      </c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52"/>
      <c r="BO34" s="52"/>
      <c r="BP34" s="52"/>
      <c r="BQ34" s="52"/>
      <c r="BR34" s="52"/>
      <c r="BS34" s="52"/>
      <c r="BT34" s="52"/>
      <c r="BU34" s="52"/>
      <c r="BW34" s="38" t="s">
        <v>202</v>
      </c>
      <c r="BX34" s="38"/>
      <c r="BY34" s="53" t="s">
        <v>132</v>
      </c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5"/>
    </row>
    <row r="35" spans="2:114" x14ac:dyDescent="0.7">
      <c r="B35" s="148"/>
      <c r="C35" s="44" t="s">
        <v>196</v>
      </c>
      <c r="D35" s="2" t="str">
        <f t="shared" si="4"/>
        <v>209/112</v>
      </c>
      <c r="E35" s="2" t="str">
        <f t="shared" si="4"/>
        <v>127/62</v>
      </c>
      <c r="F35" s="2" t="str">
        <f t="shared" si="4"/>
        <v>159/62</v>
      </c>
      <c r="G35" s="2" t="str">
        <f t="shared" si="4"/>
        <v>63/17</v>
      </c>
      <c r="H35" s="2" t="str">
        <f t="shared" si="4"/>
        <v>82/17</v>
      </c>
      <c r="I35" s="2" t="str">
        <f t="shared" si="4"/>
        <v>114/17</v>
      </c>
      <c r="J35" s="2" t="str">
        <f t="shared" si="4"/>
        <v>26/-8</v>
      </c>
      <c r="K35" s="2" t="str">
        <f t="shared" si="4"/>
        <v>38/-8</v>
      </c>
      <c r="L35" s="2" t="str">
        <f t="shared" si="4"/>
        <v>57/-8</v>
      </c>
      <c r="M35" s="2" t="str">
        <f t="shared" si="4"/>
        <v>-2/-28</v>
      </c>
      <c r="N35" s="2" t="str">
        <f t="shared" si="4"/>
        <v>6/-28</v>
      </c>
      <c r="O35" s="2" t="str">
        <f t="shared" si="4"/>
        <v>18/-28</v>
      </c>
      <c r="P35" s="2" t="str">
        <f t="shared" si="4"/>
        <v>-15/-41</v>
      </c>
      <c r="Q35" s="2" t="str">
        <f t="shared" si="4"/>
        <v>-7/-41</v>
      </c>
      <c r="R35" s="2" t="str">
        <f t="shared" si="4"/>
        <v>-22/-48</v>
      </c>
      <c r="S35" s="2" t="str">
        <f t="shared" si="4"/>
        <v>-14/-48</v>
      </c>
      <c r="T35" s="2" t="str">
        <f t="shared" si="3"/>
        <v>-2/-48</v>
      </c>
      <c r="U35" s="2" t="str">
        <f t="shared" si="3"/>
        <v>17/-48</v>
      </c>
      <c r="V35" s="2" t="str">
        <f t="shared" si="3"/>
        <v>49/-48</v>
      </c>
      <c r="W35" s="2" t="str">
        <f t="shared" si="3"/>
        <v>-28.5/-54.5</v>
      </c>
      <c r="X35" s="2" t="str">
        <f t="shared" si="3"/>
        <v>-25/-58</v>
      </c>
      <c r="Y35" s="2" t="str">
        <f t="shared" si="3"/>
        <v>-33/-59</v>
      </c>
      <c r="Z35" s="2" t="str">
        <f t="shared" si="3"/>
        <v>-29/-63</v>
      </c>
      <c r="AA35" s="2" t="str">
        <f t="shared" si="2"/>
        <v>-39/-65</v>
      </c>
      <c r="AB35" s="2" t="str">
        <f t="shared" si="2"/>
        <v>-35/-69</v>
      </c>
      <c r="AC35" s="2" t="str">
        <f t="shared" si="2"/>
        <v>-46/-72</v>
      </c>
      <c r="AD35" s="2" t="str">
        <f t="shared" si="2"/>
        <v>-42/-76</v>
      </c>
      <c r="AE35" s="2" t="str">
        <f t="shared" si="2"/>
        <v>-53/-79</v>
      </c>
      <c r="AF35" s="2" t="str">
        <f t="shared" si="2"/>
        <v>-49/-83</v>
      </c>
      <c r="AG35" s="2" t="str">
        <f t="shared" si="2"/>
        <v>-55/-89</v>
      </c>
      <c r="AH35" s="2" t="str">
        <f t="shared" si="2"/>
        <v>-62/-96</v>
      </c>
      <c r="AI35" s="2" t="str">
        <f t="shared" si="2"/>
        <v>-68/-102</v>
      </c>
      <c r="AJ35" s="2" t="str">
        <f t="shared" si="2"/>
        <v>-75/-109</v>
      </c>
      <c r="AK35" s="2" t="str">
        <f t="shared" si="2"/>
        <v>-91/-125</v>
      </c>
      <c r="AO35" s="63" t="s">
        <v>168</v>
      </c>
      <c r="AP35" s="63" t="s">
        <v>169</v>
      </c>
      <c r="AQ35" s="63" t="s">
        <v>170</v>
      </c>
      <c r="AR35" s="63" t="s">
        <v>171</v>
      </c>
      <c r="AS35" s="63" t="s">
        <v>172</v>
      </c>
      <c r="AT35" s="63" t="s">
        <v>173</v>
      </c>
      <c r="AU35" s="63" t="s">
        <v>174</v>
      </c>
      <c r="AV35" s="63" t="s">
        <v>175</v>
      </c>
      <c r="AW35" s="70" t="s">
        <v>176</v>
      </c>
      <c r="AX35" s="70" t="s">
        <v>129</v>
      </c>
      <c r="AY35" s="70" t="s">
        <v>177</v>
      </c>
      <c r="AZ35" s="70" t="s">
        <v>178</v>
      </c>
      <c r="BA35" s="70" t="s">
        <v>179</v>
      </c>
      <c r="BB35" s="70" t="s">
        <v>180</v>
      </c>
      <c r="BC35" s="70" t="s">
        <v>181</v>
      </c>
      <c r="BD35" s="70" t="s">
        <v>182</v>
      </c>
      <c r="BE35" s="70" t="s">
        <v>183</v>
      </c>
      <c r="BF35" s="70" t="s">
        <v>184</v>
      </c>
      <c r="BG35" s="70" t="s">
        <v>185</v>
      </c>
      <c r="BH35" s="70" t="s">
        <v>186</v>
      </c>
      <c r="BI35" s="70" t="s">
        <v>187</v>
      </c>
      <c r="BJ35" s="70" t="s">
        <v>188</v>
      </c>
      <c r="BK35" s="70" t="s">
        <v>189</v>
      </c>
      <c r="BL35" s="70" t="s">
        <v>190</v>
      </c>
      <c r="BM35" s="72" t="s">
        <v>191</v>
      </c>
      <c r="BN35" s="70" t="s">
        <v>192</v>
      </c>
      <c r="BO35" s="70" t="s">
        <v>193</v>
      </c>
      <c r="BP35" s="70" t="s">
        <v>194</v>
      </c>
      <c r="BQ35" s="64" t="s">
        <v>195</v>
      </c>
      <c r="BR35" s="67" t="s">
        <v>196</v>
      </c>
      <c r="BS35" s="64" t="s">
        <v>197</v>
      </c>
      <c r="BT35" s="64" t="s">
        <v>198</v>
      </c>
      <c r="BU35" s="64" t="s">
        <v>199</v>
      </c>
      <c r="BW35" s="62" t="s">
        <v>168</v>
      </c>
      <c r="BX35" s="63" t="s">
        <v>169</v>
      </c>
      <c r="BY35" s="63" t="s">
        <v>135</v>
      </c>
      <c r="BZ35" s="63" t="s">
        <v>136</v>
      </c>
      <c r="CA35" s="63" t="s">
        <v>137</v>
      </c>
      <c r="CB35" s="63" t="s">
        <v>138</v>
      </c>
      <c r="CC35" s="63" t="s">
        <v>139</v>
      </c>
      <c r="CD35" s="63" t="s">
        <v>140</v>
      </c>
      <c r="CE35" s="63" t="s">
        <v>141</v>
      </c>
      <c r="CF35" s="63" t="s">
        <v>142</v>
      </c>
      <c r="CG35" s="70" t="s">
        <v>143</v>
      </c>
      <c r="CH35" s="70" t="s">
        <v>144</v>
      </c>
      <c r="CI35" s="70" t="s">
        <v>145</v>
      </c>
      <c r="CJ35" s="70" t="s">
        <v>130</v>
      </c>
      <c r="CK35" s="70" t="s">
        <v>146</v>
      </c>
      <c r="CL35" s="70" t="s">
        <v>147</v>
      </c>
      <c r="CM35" s="70" t="s">
        <v>148</v>
      </c>
      <c r="CN35" s="70" t="s">
        <v>149</v>
      </c>
      <c r="CO35" s="70" t="s">
        <v>150</v>
      </c>
      <c r="CP35" s="70" t="s">
        <v>151</v>
      </c>
      <c r="CQ35" s="70" t="s">
        <v>152</v>
      </c>
      <c r="CR35" s="70" t="s">
        <v>153</v>
      </c>
      <c r="CS35" s="70" t="s">
        <v>154</v>
      </c>
      <c r="CT35" s="94" t="s">
        <v>155</v>
      </c>
      <c r="CU35" s="94" t="s">
        <v>156</v>
      </c>
      <c r="CV35" s="64" t="s">
        <v>157</v>
      </c>
      <c r="CW35" s="64" t="s">
        <v>158</v>
      </c>
      <c r="CX35" s="64" t="s">
        <v>159</v>
      </c>
      <c r="CY35" s="64" t="s">
        <v>160</v>
      </c>
      <c r="CZ35" s="64" t="s">
        <v>161</v>
      </c>
      <c r="DA35" s="65" t="s">
        <v>162</v>
      </c>
      <c r="DB35" s="64" t="s">
        <v>163</v>
      </c>
      <c r="DC35" s="64" t="s">
        <v>164</v>
      </c>
      <c r="DD35" s="64" t="s">
        <v>165</v>
      </c>
      <c r="DE35" s="64" t="s">
        <v>166</v>
      </c>
      <c r="DF35" s="66" t="s">
        <v>167</v>
      </c>
    </row>
    <row r="36" spans="2:114" x14ac:dyDescent="0.7">
      <c r="B36" s="148"/>
      <c r="C36" s="36" t="s">
        <v>197</v>
      </c>
      <c r="D36" s="2" t="str">
        <f t="shared" si="4"/>
        <v>203/106</v>
      </c>
      <c r="E36" s="2" t="str">
        <f t="shared" si="4"/>
        <v>121/56</v>
      </c>
      <c r="F36" s="2" t="str">
        <f t="shared" si="4"/>
        <v>153/56</v>
      </c>
      <c r="G36" s="2" t="str">
        <f t="shared" si="4"/>
        <v>57/11</v>
      </c>
      <c r="H36" s="2" t="str">
        <f t="shared" si="4"/>
        <v>76/11</v>
      </c>
      <c r="I36" s="2" t="str">
        <f t="shared" si="4"/>
        <v>108/11</v>
      </c>
      <c r="J36" s="2" t="str">
        <f t="shared" si="4"/>
        <v>20/-14</v>
      </c>
      <c r="K36" s="2" t="str">
        <f t="shared" si="4"/>
        <v>32/-14</v>
      </c>
      <c r="L36" s="2" t="str">
        <f t="shared" si="4"/>
        <v>51/-14</v>
      </c>
      <c r="M36" s="2" t="str">
        <f t="shared" si="4"/>
        <v>-8/-34</v>
      </c>
      <c r="N36" s="2" t="str">
        <f t="shared" si="4"/>
        <v>0/-34</v>
      </c>
      <c r="O36" s="2" t="str">
        <f t="shared" si="4"/>
        <v>12/-34</v>
      </c>
      <c r="P36" s="2" t="str">
        <f t="shared" si="4"/>
        <v>-21/-47</v>
      </c>
      <c r="Q36" s="2" t="str">
        <f t="shared" si="4"/>
        <v>-13/-47</v>
      </c>
      <c r="R36" s="2" t="str">
        <f t="shared" si="4"/>
        <v>-28/-54</v>
      </c>
      <c r="S36" s="2" t="str">
        <f t="shared" si="4"/>
        <v>-20/-54</v>
      </c>
      <c r="T36" s="2" t="str">
        <f t="shared" si="3"/>
        <v>-8/-54</v>
      </c>
      <c r="U36" s="2" t="str">
        <f t="shared" si="3"/>
        <v>11/-54</v>
      </c>
      <c r="V36" s="2" t="str">
        <f t="shared" si="3"/>
        <v>43/-54</v>
      </c>
      <c r="W36" s="2" t="str">
        <f t="shared" si="3"/>
        <v>-34.5/-60.5</v>
      </c>
      <c r="X36" s="2" t="str">
        <f t="shared" si="3"/>
        <v>-31/-64</v>
      </c>
      <c r="Y36" s="2" t="str">
        <f t="shared" si="3"/>
        <v>-39/-65</v>
      </c>
      <c r="Z36" s="2" t="str">
        <f t="shared" si="3"/>
        <v>-35/-69</v>
      </c>
      <c r="AA36" s="2" t="str">
        <f t="shared" si="2"/>
        <v>-45/-71</v>
      </c>
      <c r="AB36" s="2" t="str">
        <f t="shared" si="2"/>
        <v>-41/-75</v>
      </c>
      <c r="AC36" s="2" t="str">
        <f t="shared" si="2"/>
        <v>-52/-78</v>
      </c>
      <c r="AD36" s="2" t="str">
        <f t="shared" si="2"/>
        <v>-48/-82</v>
      </c>
      <c r="AE36" s="2" t="str">
        <f t="shared" si="2"/>
        <v>-59/-85</v>
      </c>
      <c r="AF36" s="2" t="str">
        <f t="shared" si="2"/>
        <v>-55/-89</v>
      </c>
      <c r="AG36" s="2" t="str">
        <f t="shared" si="2"/>
        <v>-61/-95</v>
      </c>
      <c r="AH36" s="2" t="str">
        <f t="shared" si="2"/>
        <v>-68/-102</v>
      </c>
      <c r="AI36" s="2" t="str">
        <f t="shared" si="2"/>
        <v>-74/-108</v>
      </c>
      <c r="AJ36" s="2" t="str">
        <f t="shared" si="2"/>
        <v>-81/-115</v>
      </c>
      <c r="AK36" s="2" t="str">
        <f t="shared" si="2"/>
        <v>-97/-131</v>
      </c>
      <c r="AO36" s="45">
        <v>0</v>
      </c>
      <c r="AP36" s="45">
        <v>3</v>
      </c>
      <c r="AQ36">
        <v>-165</v>
      </c>
      <c r="AR36">
        <v>-85</v>
      </c>
      <c r="AS36">
        <v>-34</v>
      </c>
      <c r="AT36">
        <v>-45</v>
      </c>
      <c r="AU36">
        <v>-24</v>
      </c>
      <c r="AV36">
        <v>-28</v>
      </c>
      <c r="AW36" s="56">
        <v>-39</v>
      </c>
      <c r="AX36" s="46">
        <v>-12</v>
      </c>
      <c r="AY36" s="46">
        <v>-16</v>
      </c>
      <c r="AZ36" s="46">
        <v>-20</v>
      </c>
      <c r="BA36" s="46">
        <v>-6</v>
      </c>
      <c r="BB36" s="46">
        <v>-8</v>
      </c>
      <c r="BC36" s="46">
        <v>-4</v>
      </c>
      <c r="BD36" s="46">
        <v>-6</v>
      </c>
      <c r="BE36" s="46">
        <v>-10</v>
      </c>
      <c r="BF36" s="46">
        <v>-14</v>
      </c>
      <c r="BG36" s="46">
        <v>-25</v>
      </c>
      <c r="BH36" s="46">
        <v>-2</v>
      </c>
      <c r="BI36" s="46">
        <v>-3</v>
      </c>
      <c r="BJ36" s="46">
        <v>-5</v>
      </c>
      <c r="BK36" s="46">
        <v>0</v>
      </c>
      <c r="BL36" s="46">
        <v>0</v>
      </c>
      <c r="BM36" s="57">
        <v>2</v>
      </c>
      <c r="BN36" s="46">
        <v>2</v>
      </c>
      <c r="BO36" s="46">
        <v>4</v>
      </c>
      <c r="BP36" s="46">
        <v>6</v>
      </c>
      <c r="BQ36" s="2">
        <v>10</v>
      </c>
      <c r="BR36" s="2">
        <v>14</v>
      </c>
      <c r="BS36" s="47" t="s">
        <v>200</v>
      </c>
      <c r="BT36" s="2">
        <v>18</v>
      </c>
      <c r="BU36" s="2">
        <v>20</v>
      </c>
      <c r="BW36" s="58">
        <v>0</v>
      </c>
      <c r="BX36" s="45">
        <v>3</v>
      </c>
      <c r="BY36" s="2">
        <v>140</v>
      </c>
      <c r="BZ36" s="2">
        <v>60</v>
      </c>
      <c r="CA36" s="2">
        <v>60</v>
      </c>
      <c r="CB36" s="2">
        <v>20</v>
      </c>
      <c r="CC36" s="2">
        <v>20</v>
      </c>
      <c r="CD36" s="2">
        <v>20</v>
      </c>
      <c r="CE36" s="2">
        <v>14</v>
      </c>
      <c r="CF36" s="2">
        <v>14</v>
      </c>
      <c r="CG36" s="46">
        <v>14</v>
      </c>
      <c r="CH36" s="46">
        <v>6</v>
      </c>
      <c r="CI36" s="46">
        <v>6</v>
      </c>
      <c r="CJ36" s="46">
        <v>6</v>
      </c>
      <c r="CK36" s="46">
        <v>2</v>
      </c>
      <c r="CL36" s="46">
        <v>2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>
        <v>-3</v>
      </c>
      <c r="CS36" s="46">
        <v>-5</v>
      </c>
      <c r="CT36" s="46">
        <v>-6</v>
      </c>
      <c r="CU36" s="46">
        <v>-10</v>
      </c>
      <c r="CV36" s="46">
        <v>-8</v>
      </c>
      <c r="CW36" s="46">
        <v>-12</v>
      </c>
      <c r="CX36" s="46">
        <v>-10</v>
      </c>
      <c r="CY36" s="46">
        <v>-14</v>
      </c>
      <c r="CZ36" s="2">
        <v>-12</v>
      </c>
      <c r="DA36" s="2">
        <v>-16</v>
      </c>
      <c r="DB36" s="2">
        <v>-20</v>
      </c>
      <c r="DC36" s="2">
        <v>-24</v>
      </c>
      <c r="DD36" s="49" t="s">
        <v>201</v>
      </c>
      <c r="DE36" s="2">
        <v>-28</v>
      </c>
      <c r="DF36" s="61">
        <v>-30</v>
      </c>
    </row>
    <row r="37" spans="2:114" x14ac:dyDescent="0.7">
      <c r="B37" s="148"/>
      <c r="C37" s="36" t="s">
        <v>198</v>
      </c>
      <c r="D37" s="2" t="str">
        <f t="shared" si="4"/>
        <v>196/99</v>
      </c>
      <c r="E37" s="2" t="str">
        <f t="shared" si="4"/>
        <v>114/49</v>
      </c>
      <c r="F37" s="2" t="str">
        <f t="shared" si="4"/>
        <v>146/49</v>
      </c>
      <c r="G37" s="2" t="str">
        <f t="shared" si="4"/>
        <v>50/4</v>
      </c>
      <c r="H37" s="2" t="str">
        <f t="shared" si="4"/>
        <v>69/4</v>
      </c>
      <c r="I37" s="2" t="str">
        <f t="shared" si="4"/>
        <v>101/4</v>
      </c>
      <c r="J37" s="2" t="str">
        <f t="shared" si="4"/>
        <v>13/-21</v>
      </c>
      <c r="K37" s="2" t="str">
        <f t="shared" si="4"/>
        <v>25/-21</v>
      </c>
      <c r="L37" s="2" t="str">
        <f t="shared" si="4"/>
        <v>44/-21</v>
      </c>
      <c r="M37" s="2" t="str">
        <f t="shared" si="4"/>
        <v>-15/-41</v>
      </c>
      <c r="N37" s="2" t="str">
        <f t="shared" si="4"/>
        <v>-7/-41</v>
      </c>
      <c r="O37" s="2" t="str">
        <f t="shared" si="4"/>
        <v>5/-41</v>
      </c>
      <c r="P37" s="2" t="str">
        <f t="shared" si="4"/>
        <v>-28/-54</v>
      </c>
      <c r="Q37" s="2" t="str">
        <f t="shared" si="4"/>
        <v>-20/-54</v>
      </c>
      <c r="R37" s="2" t="str">
        <f t="shared" si="4"/>
        <v>-35/-61</v>
      </c>
      <c r="S37" s="2" t="str">
        <f t="shared" si="4"/>
        <v>-27/-61</v>
      </c>
      <c r="T37" s="2" t="str">
        <f t="shared" si="3"/>
        <v>-15/-61</v>
      </c>
      <c r="U37" s="2" t="str">
        <f t="shared" si="3"/>
        <v>4/-61</v>
      </c>
      <c r="V37" s="2" t="str">
        <f t="shared" si="3"/>
        <v>36/-61</v>
      </c>
      <c r="W37" s="2" t="str">
        <f t="shared" si="3"/>
        <v>-41.5/-67.5</v>
      </c>
      <c r="X37" s="2" t="str">
        <f t="shared" si="3"/>
        <v>-38/-71</v>
      </c>
      <c r="Y37" s="2" t="str">
        <f t="shared" si="3"/>
        <v>-46/-72</v>
      </c>
      <c r="Z37" s="2" t="str">
        <f t="shared" si="3"/>
        <v>-42/-76</v>
      </c>
      <c r="AA37" s="2" t="str">
        <f t="shared" si="2"/>
        <v>-52/-78</v>
      </c>
      <c r="AB37" s="2" t="str">
        <f t="shared" si="2"/>
        <v>-48/-82</v>
      </c>
      <c r="AC37" s="2" t="str">
        <f t="shared" si="2"/>
        <v>-59/-85</v>
      </c>
      <c r="AD37" s="2" t="str">
        <f t="shared" si="2"/>
        <v>-55/-89</v>
      </c>
      <c r="AE37" s="2" t="str">
        <f t="shared" si="2"/>
        <v>-66/-92</v>
      </c>
      <c r="AF37" s="2" t="str">
        <f t="shared" si="2"/>
        <v>-62/-96</v>
      </c>
      <c r="AG37" s="2" t="str">
        <f t="shared" si="2"/>
        <v>-68/-102</v>
      </c>
      <c r="AH37" s="2" t="str">
        <f t="shared" si="2"/>
        <v>-75/-109</v>
      </c>
      <c r="AI37" s="2" t="str">
        <f t="shared" si="2"/>
        <v>-81/-115</v>
      </c>
      <c r="AJ37" s="2" t="str">
        <f t="shared" si="2"/>
        <v>-88/-122</v>
      </c>
      <c r="AK37" s="2" t="str">
        <f t="shared" si="2"/>
        <v>-104/-138</v>
      </c>
      <c r="AO37" s="45">
        <v>3</v>
      </c>
      <c r="AP37" s="45">
        <v>6</v>
      </c>
      <c r="AQ37">
        <v>-170</v>
      </c>
      <c r="AR37">
        <v>-100</v>
      </c>
      <c r="AS37">
        <v>-48</v>
      </c>
      <c r="AT37">
        <v>-60</v>
      </c>
      <c r="AU37">
        <v>-32</v>
      </c>
      <c r="AV37">
        <v>-38</v>
      </c>
      <c r="AW37" s="56">
        <v>-50</v>
      </c>
      <c r="AX37" s="46">
        <v>-18</v>
      </c>
      <c r="AY37" s="46">
        <v>-22</v>
      </c>
      <c r="AZ37" s="46">
        <v>-28</v>
      </c>
      <c r="BA37" s="46">
        <v>-9</v>
      </c>
      <c r="BB37" s="46">
        <v>-12</v>
      </c>
      <c r="BC37" s="46">
        <v>-5</v>
      </c>
      <c r="BD37" s="46">
        <v>-8</v>
      </c>
      <c r="BE37" s="46">
        <v>-12</v>
      </c>
      <c r="BF37" s="46">
        <v>-18</v>
      </c>
      <c r="BG37" s="46">
        <v>-30</v>
      </c>
      <c r="BH37" s="46">
        <v>-2.5</v>
      </c>
      <c r="BI37" s="46">
        <v>-4</v>
      </c>
      <c r="BJ37" s="46">
        <v>-6</v>
      </c>
      <c r="BK37" s="46">
        <v>1</v>
      </c>
      <c r="BL37" s="46">
        <v>1</v>
      </c>
      <c r="BM37" s="57">
        <v>4</v>
      </c>
      <c r="BN37" s="46">
        <v>4</v>
      </c>
      <c r="BO37" s="46">
        <v>8</v>
      </c>
      <c r="BP37" s="46">
        <v>12</v>
      </c>
      <c r="BQ37" s="2">
        <v>15</v>
      </c>
      <c r="BR37" s="2">
        <v>19</v>
      </c>
      <c r="BS37" s="47" t="s">
        <v>200</v>
      </c>
      <c r="BT37" s="2">
        <v>23</v>
      </c>
      <c r="BU37" s="2">
        <v>28</v>
      </c>
      <c r="BW37" s="58">
        <v>3</v>
      </c>
      <c r="BX37" s="45">
        <v>6</v>
      </c>
      <c r="BY37" s="2">
        <v>140</v>
      </c>
      <c r="BZ37" s="2">
        <v>70</v>
      </c>
      <c r="CA37" s="2">
        <v>70</v>
      </c>
      <c r="CB37" s="2">
        <v>30</v>
      </c>
      <c r="CC37" s="2">
        <v>30</v>
      </c>
      <c r="CD37" s="2">
        <v>30</v>
      </c>
      <c r="CE37" s="2">
        <v>20</v>
      </c>
      <c r="CF37" s="2">
        <v>20</v>
      </c>
      <c r="CG37" s="46">
        <v>20</v>
      </c>
      <c r="CH37" s="46">
        <v>10</v>
      </c>
      <c r="CI37" s="46">
        <v>10</v>
      </c>
      <c r="CJ37" s="46">
        <v>10</v>
      </c>
      <c r="CK37" s="46">
        <v>4</v>
      </c>
      <c r="CL37" s="46">
        <v>4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>
        <v>-4</v>
      </c>
      <c r="CS37" s="46">
        <v>-6</v>
      </c>
      <c r="CT37" s="46">
        <v>-6</v>
      </c>
      <c r="CU37" s="46">
        <v>-9</v>
      </c>
      <c r="CV37" s="46">
        <v>-9</v>
      </c>
      <c r="CW37" s="46">
        <v>-12</v>
      </c>
      <c r="CX37" s="46">
        <v>-13</v>
      </c>
      <c r="CY37" s="46">
        <v>-16</v>
      </c>
      <c r="CZ37" s="2">
        <v>-17</v>
      </c>
      <c r="DA37" s="2">
        <v>-20</v>
      </c>
      <c r="DB37" s="2">
        <v>-23</v>
      </c>
      <c r="DC37" s="2">
        <v>-27</v>
      </c>
      <c r="DD37" s="49" t="s">
        <v>201</v>
      </c>
      <c r="DE37" s="2">
        <v>-31</v>
      </c>
      <c r="DF37" s="61">
        <v>-36</v>
      </c>
    </row>
    <row r="38" spans="2:114" x14ac:dyDescent="0.7">
      <c r="B38" s="149"/>
      <c r="C38" s="36" t="s">
        <v>199</v>
      </c>
      <c r="D38" s="2" t="str">
        <f t="shared" si="4"/>
        <v>180/83</v>
      </c>
      <c r="E38" s="2" t="str">
        <f t="shared" si="4"/>
        <v>98/33</v>
      </c>
      <c r="F38" s="2" t="str">
        <f t="shared" si="4"/>
        <v>130/33</v>
      </c>
      <c r="G38" s="2" t="str">
        <f t="shared" si="4"/>
        <v>34/-12</v>
      </c>
      <c r="H38" s="2" t="str">
        <f t="shared" si="4"/>
        <v>53/-12</v>
      </c>
      <c r="I38" s="2" t="str">
        <f t="shared" si="4"/>
        <v>85/-12</v>
      </c>
      <c r="J38" s="2" t="str">
        <f t="shared" si="4"/>
        <v>-3/-37</v>
      </c>
      <c r="K38" s="2" t="str">
        <f t="shared" si="4"/>
        <v>9/-37</v>
      </c>
      <c r="L38" s="2" t="str">
        <f t="shared" si="4"/>
        <v>28/-37</v>
      </c>
      <c r="M38" s="2" t="str">
        <f t="shared" si="4"/>
        <v>-31/-57</v>
      </c>
      <c r="N38" s="2" t="str">
        <f t="shared" si="4"/>
        <v>-23/-57</v>
      </c>
      <c r="O38" s="2" t="str">
        <f t="shared" si="4"/>
        <v>-11/-57</v>
      </c>
      <c r="P38" s="2" t="str">
        <f t="shared" si="4"/>
        <v>-44/-70</v>
      </c>
      <c r="Q38" s="2" t="str">
        <f t="shared" si="4"/>
        <v>-36/-70</v>
      </c>
      <c r="R38" s="2" t="str">
        <f t="shared" si="4"/>
        <v>-51/-77</v>
      </c>
      <c r="S38" s="2" t="str">
        <f t="shared" si="4"/>
        <v>-43/-77</v>
      </c>
      <c r="T38" s="2" t="str">
        <f t="shared" si="3"/>
        <v>-31/-77</v>
      </c>
      <c r="U38" s="2" t="str">
        <f t="shared" si="3"/>
        <v>-12/-77</v>
      </c>
      <c r="V38" s="2" t="str">
        <f t="shared" si="3"/>
        <v>20/-77</v>
      </c>
      <c r="W38" s="2" t="str">
        <f t="shared" si="3"/>
        <v>-57.5/-83.5</v>
      </c>
      <c r="X38" s="2" t="str">
        <f t="shared" si="3"/>
        <v>-54/-87</v>
      </c>
      <c r="Y38" s="2" t="str">
        <f t="shared" si="3"/>
        <v>-62/-88</v>
      </c>
      <c r="Z38" s="2" t="str">
        <f t="shared" si="3"/>
        <v>-58/-92</v>
      </c>
      <c r="AA38" s="2" t="str">
        <f t="shared" si="2"/>
        <v>-68/-94</v>
      </c>
      <c r="AB38" s="2" t="str">
        <f t="shared" si="2"/>
        <v>-64/-98</v>
      </c>
      <c r="AC38" s="2" t="str">
        <f t="shared" si="2"/>
        <v>-75/-101</v>
      </c>
      <c r="AD38" s="2" t="str">
        <f t="shared" si="2"/>
        <v>-71/-105</v>
      </c>
      <c r="AE38" s="2" t="str">
        <f t="shared" si="2"/>
        <v>-82/-108</v>
      </c>
      <c r="AF38" s="2" t="str">
        <f t="shared" si="2"/>
        <v>-78/-112</v>
      </c>
      <c r="AG38" s="2" t="str">
        <f t="shared" si="2"/>
        <v>-84/-118</v>
      </c>
      <c r="AH38" s="2" t="str">
        <f t="shared" si="2"/>
        <v>-91/-125</v>
      </c>
      <c r="AI38" s="2" t="str">
        <f t="shared" si="2"/>
        <v>-97/-131</v>
      </c>
      <c r="AJ38" s="2" t="str">
        <f t="shared" si="2"/>
        <v>-104/-138</v>
      </c>
      <c r="AK38" s="2" t="str">
        <f t="shared" si="2"/>
        <v>-120/-154</v>
      </c>
      <c r="AO38" s="45">
        <v>6</v>
      </c>
      <c r="AP38" s="45">
        <v>10</v>
      </c>
      <c r="AQ38">
        <v>-186</v>
      </c>
      <c r="AR38">
        <v>-116</v>
      </c>
      <c r="AS38">
        <v>-62</v>
      </c>
      <c r="AT38">
        <v>-76</v>
      </c>
      <c r="AU38">
        <v>-40</v>
      </c>
      <c r="AV38">
        <v>-47</v>
      </c>
      <c r="AW38" s="56">
        <v>-61</v>
      </c>
      <c r="AX38" s="46">
        <v>-22</v>
      </c>
      <c r="AY38" s="46">
        <v>-28</v>
      </c>
      <c r="AZ38" s="46">
        <v>-35</v>
      </c>
      <c r="BA38" s="46">
        <v>-11</v>
      </c>
      <c r="BB38" s="46">
        <v>-14</v>
      </c>
      <c r="BC38" s="46">
        <v>-6</v>
      </c>
      <c r="BD38" s="46">
        <v>-9</v>
      </c>
      <c r="BE38" s="46">
        <v>-15</v>
      </c>
      <c r="BF38" s="46">
        <v>-22</v>
      </c>
      <c r="BG38" s="46">
        <v>-36</v>
      </c>
      <c r="BH38" s="46">
        <v>-3</v>
      </c>
      <c r="BI38" s="46">
        <v>-4.5</v>
      </c>
      <c r="BJ38" s="46">
        <v>-7</v>
      </c>
      <c r="BK38" s="46">
        <v>1</v>
      </c>
      <c r="BL38" s="46">
        <v>1</v>
      </c>
      <c r="BM38" s="57">
        <v>6</v>
      </c>
      <c r="BN38" s="46">
        <v>6</v>
      </c>
      <c r="BO38" s="46">
        <v>10</v>
      </c>
      <c r="BP38" s="46">
        <v>15</v>
      </c>
      <c r="BQ38" s="2">
        <v>19</v>
      </c>
      <c r="BR38" s="2">
        <v>23</v>
      </c>
      <c r="BS38" s="47" t="s">
        <v>200</v>
      </c>
      <c r="BT38" s="2">
        <v>28</v>
      </c>
      <c r="BU38" s="2">
        <v>34</v>
      </c>
      <c r="BW38" s="58">
        <v>6</v>
      </c>
      <c r="BX38" s="45">
        <v>10</v>
      </c>
      <c r="BY38" s="2">
        <v>150</v>
      </c>
      <c r="BZ38" s="2">
        <v>80</v>
      </c>
      <c r="CA38" s="2">
        <v>80</v>
      </c>
      <c r="CB38" s="2">
        <v>40</v>
      </c>
      <c r="CC38" s="2">
        <v>40</v>
      </c>
      <c r="CD38" s="2">
        <v>40</v>
      </c>
      <c r="CE38" s="2">
        <v>25</v>
      </c>
      <c r="CF38" s="2">
        <v>25</v>
      </c>
      <c r="CG38" s="46">
        <v>25</v>
      </c>
      <c r="CH38" s="46">
        <v>13</v>
      </c>
      <c r="CI38" s="46">
        <v>13</v>
      </c>
      <c r="CJ38" s="46">
        <v>13</v>
      </c>
      <c r="CK38" s="46">
        <v>5</v>
      </c>
      <c r="CL38" s="46">
        <v>5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46">
        <v>-4.5</v>
      </c>
      <c r="CS38" s="46">
        <v>-7</v>
      </c>
      <c r="CT38" s="46">
        <v>-7</v>
      </c>
      <c r="CU38" s="46">
        <v>-10</v>
      </c>
      <c r="CV38" s="46">
        <v>-12</v>
      </c>
      <c r="CW38" s="46">
        <v>-15</v>
      </c>
      <c r="CX38" s="46">
        <v>-16</v>
      </c>
      <c r="CY38" s="46">
        <v>-19</v>
      </c>
      <c r="CZ38" s="2">
        <v>-21</v>
      </c>
      <c r="DA38" s="2">
        <v>-24</v>
      </c>
      <c r="DB38" s="2">
        <v>-28</v>
      </c>
      <c r="DC38" s="2">
        <v>-32</v>
      </c>
      <c r="DD38" s="49" t="s">
        <v>201</v>
      </c>
      <c r="DE38" s="2">
        <v>-37</v>
      </c>
      <c r="DF38" s="61">
        <v>-43</v>
      </c>
      <c r="DH38" s="51"/>
      <c r="DI38" s="51"/>
      <c r="DJ38" s="51"/>
    </row>
    <row r="39" spans="2:114" x14ac:dyDescent="0.7">
      <c r="AO39" s="48">
        <v>10</v>
      </c>
      <c r="AP39" s="48">
        <v>14</v>
      </c>
      <c r="AQ39">
        <v>-138</v>
      </c>
      <c r="AR39">
        <v>-138</v>
      </c>
      <c r="AS39">
        <v>-77</v>
      </c>
      <c r="AT39">
        <v>-93</v>
      </c>
      <c r="AU39">
        <v>-50</v>
      </c>
      <c r="AV39">
        <v>-59</v>
      </c>
      <c r="AW39" s="56">
        <v>-75</v>
      </c>
      <c r="AX39" s="46">
        <v>-27</v>
      </c>
      <c r="AY39" s="46">
        <v>-34</v>
      </c>
      <c r="AZ39" s="46">
        <v>-43</v>
      </c>
      <c r="BA39" s="46">
        <v>-14</v>
      </c>
      <c r="BB39" s="46">
        <v>-17</v>
      </c>
      <c r="BC39" s="46">
        <v>-8</v>
      </c>
      <c r="BD39" s="46">
        <v>-11</v>
      </c>
      <c r="BE39" s="46">
        <v>-18</v>
      </c>
      <c r="BF39" s="46">
        <v>-27</v>
      </c>
      <c r="BG39" s="46">
        <v>-43</v>
      </c>
      <c r="BH39" s="46">
        <v>-1</v>
      </c>
      <c r="BI39" s="46">
        <v>-5.5</v>
      </c>
      <c r="BJ39" s="46">
        <v>-9</v>
      </c>
      <c r="BK39" s="46">
        <v>1</v>
      </c>
      <c r="BL39" s="46">
        <v>1</v>
      </c>
      <c r="BM39" s="57">
        <v>7</v>
      </c>
      <c r="BN39" s="46">
        <v>7</v>
      </c>
      <c r="BO39" s="46">
        <v>12</v>
      </c>
      <c r="BP39" s="46">
        <v>18</v>
      </c>
      <c r="BQ39" s="2">
        <v>23</v>
      </c>
      <c r="BR39" s="2">
        <v>28</v>
      </c>
      <c r="BS39" s="47" t="s">
        <v>200</v>
      </c>
      <c r="BT39" s="2">
        <v>33</v>
      </c>
      <c r="BU39" s="2">
        <v>40</v>
      </c>
      <c r="BW39" s="59">
        <v>10</v>
      </c>
      <c r="BX39" s="48">
        <v>14</v>
      </c>
      <c r="BY39" s="2">
        <v>150</v>
      </c>
      <c r="BZ39" s="2">
        <v>95</v>
      </c>
      <c r="CA39" s="2">
        <v>95</v>
      </c>
      <c r="CB39" s="2">
        <v>50</v>
      </c>
      <c r="CC39" s="2">
        <v>50</v>
      </c>
      <c r="CD39" s="2">
        <v>50</v>
      </c>
      <c r="CE39" s="2">
        <v>32</v>
      </c>
      <c r="CF39" s="2">
        <v>32</v>
      </c>
      <c r="CG39" s="46">
        <v>32</v>
      </c>
      <c r="CH39" s="46">
        <v>16</v>
      </c>
      <c r="CI39" s="46">
        <v>16</v>
      </c>
      <c r="CJ39" s="46">
        <v>16</v>
      </c>
      <c r="CK39" s="46">
        <v>6</v>
      </c>
      <c r="CL39" s="46">
        <v>6</v>
      </c>
      <c r="CM39" s="46">
        <v>0</v>
      </c>
      <c r="CN39" s="46">
        <v>0</v>
      </c>
      <c r="CO39" s="46">
        <v>0</v>
      </c>
      <c r="CP39" s="46">
        <v>0</v>
      </c>
      <c r="CQ39" s="46">
        <v>0</v>
      </c>
      <c r="CR39" s="46">
        <v>-5.5</v>
      </c>
      <c r="CS39" s="46">
        <v>-9</v>
      </c>
      <c r="CT39" s="46">
        <v>-9</v>
      </c>
      <c r="CU39" s="46">
        <v>-12</v>
      </c>
      <c r="CV39" s="46">
        <v>-15</v>
      </c>
      <c r="CW39" s="46">
        <v>-18</v>
      </c>
      <c r="CX39" s="46">
        <v>-20</v>
      </c>
      <c r="CY39" s="46">
        <v>-23</v>
      </c>
      <c r="CZ39" s="2">
        <v>-26</v>
      </c>
      <c r="DA39" s="2">
        <v>-29</v>
      </c>
      <c r="DB39" s="2">
        <v>-34</v>
      </c>
      <c r="DC39" s="2">
        <v>-39</v>
      </c>
      <c r="DD39" s="49" t="s">
        <v>201</v>
      </c>
      <c r="DE39" s="2">
        <v>-44</v>
      </c>
      <c r="DF39" s="61">
        <v>-51</v>
      </c>
    </row>
    <row r="40" spans="2:114" x14ac:dyDescent="0.7">
      <c r="AO40" s="48">
        <v>14</v>
      </c>
      <c r="AP40" s="48">
        <v>18</v>
      </c>
      <c r="AQ40">
        <v>-138</v>
      </c>
      <c r="AR40">
        <v>-138</v>
      </c>
      <c r="AS40">
        <v>-77</v>
      </c>
      <c r="AT40">
        <v>-93</v>
      </c>
      <c r="AU40">
        <v>-50</v>
      </c>
      <c r="AV40">
        <v>-59</v>
      </c>
      <c r="AW40" s="56">
        <v>-75</v>
      </c>
      <c r="AX40" s="46">
        <v>-27</v>
      </c>
      <c r="AY40" s="46">
        <v>-34</v>
      </c>
      <c r="AZ40" s="46">
        <v>-43</v>
      </c>
      <c r="BA40" s="46">
        <v>-14</v>
      </c>
      <c r="BB40" s="46">
        <v>-17</v>
      </c>
      <c r="BC40" s="46">
        <v>-8</v>
      </c>
      <c r="BD40" s="46">
        <v>-11</v>
      </c>
      <c r="BE40" s="46">
        <v>-18</v>
      </c>
      <c r="BF40" s="46">
        <v>-27</v>
      </c>
      <c r="BG40" s="46">
        <v>-43</v>
      </c>
      <c r="BH40" s="46">
        <v>-1</v>
      </c>
      <c r="BI40" s="46">
        <v>-5.5</v>
      </c>
      <c r="BJ40" s="46">
        <v>-9</v>
      </c>
      <c r="BK40" s="46">
        <v>1</v>
      </c>
      <c r="BL40" s="46">
        <v>1</v>
      </c>
      <c r="BM40" s="57">
        <v>7</v>
      </c>
      <c r="BN40" s="46">
        <v>7</v>
      </c>
      <c r="BO40" s="46">
        <v>12</v>
      </c>
      <c r="BP40" s="46">
        <v>18</v>
      </c>
      <c r="BQ40" s="2">
        <v>23</v>
      </c>
      <c r="BR40" s="2">
        <v>28</v>
      </c>
      <c r="BS40" s="47" t="s">
        <v>200</v>
      </c>
      <c r="BT40" s="2">
        <v>33</v>
      </c>
      <c r="BU40" s="2">
        <v>45</v>
      </c>
      <c r="BW40" s="59">
        <v>14</v>
      </c>
      <c r="BX40" s="48">
        <v>18</v>
      </c>
      <c r="BY40" s="2">
        <v>150</v>
      </c>
      <c r="BZ40" s="2">
        <v>95</v>
      </c>
      <c r="CA40" s="2">
        <v>95</v>
      </c>
      <c r="CB40" s="2">
        <v>50</v>
      </c>
      <c r="CC40" s="2">
        <v>50</v>
      </c>
      <c r="CD40" s="2">
        <v>50</v>
      </c>
      <c r="CE40" s="2">
        <v>32</v>
      </c>
      <c r="CF40" s="2">
        <v>32</v>
      </c>
      <c r="CG40" s="46">
        <v>32</v>
      </c>
      <c r="CH40" s="46">
        <v>16</v>
      </c>
      <c r="CI40" s="46">
        <v>16</v>
      </c>
      <c r="CJ40" s="46">
        <v>16</v>
      </c>
      <c r="CK40" s="46">
        <v>6</v>
      </c>
      <c r="CL40" s="46">
        <v>6</v>
      </c>
      <c r="CM40" s="46">
        <v>0</v>
      </c>
      <c r="CN40" s="46">
        <v>0</v>
      </c>
      <c r="CO40" s="46">
        <v>0</v>
      </c>
      <c r="CP40" s="46">
        <v>0</v>
      </c>
      <c r="CQ40" s="46">
        <v>0</v>
      </c>
      <c r="CR40" s="46">
        <v>-5.5</v>
      </c>
      <c r="CS40" s="46">
        <v>-9</v>
      </c>
      <c r="CT40" s="46">
        <v>-9</v>
      </c>
      <c r="CU40" s="46">
        <v>-12</v>
      </c>
      <c r="CV40" s="46">
        <v>-15</v>
      </c>
      <c r="CW40" s="46">
        <v>-18</v>
      </c>
      <c r="CX40" s="46">
        <v>-20</v>
      </c>
      <c r="CY40" s="46">
        <v>-23</v>
      </c>
      <c r="CZ40" s="2">
        <v>-26</v>
      </c>
      <c r="DA40" s="2">
        <v>-29</v>
      </c>
      <c r="DB40" s="2">
        <v>-34</v>
      </c>
      <c r="DC40" s="2">
        <v>-39</v>
      </c>
      <c r="DD40" s="49" t="s">
        <v>201</v>
      </c>
      <c r="DE40" s="2">
        <v>-44</v>
      </c>
      <c r="DF40" s="61">
        <v>-56</v>
      </c>
    </row>
    <row r="41" spans="2:114" x14ac:dyDescent="0.7">
      <c r="AO41" s="48">
        <v>18</v>
      </c>
      <c r="AP41" s="48">
        <v>24</v>
      </c>
      <c r="AQ41">
        <v>-212</v>
      </c>
      <c r="AR41">
        <v>-162</v>
      </c>
      <c r="AS41">
        <v>-98</v>
      </c>
      <c r="AT41">
        <v>-117</v>
      </c>
      <c r="AU41">
        <v>-61</v>
      </c>
      <c r="AV41">
        <v>-73</v>
      </c>
      <c r="AW41" s="56">
        <v>-92</v>
      </c>
      <c r="AX41" s="46">
        <v>-33</v>
      </c>
      <c r="AY41" s="46">
        <v>-41</v>
      </c>
      <c r="AZ41" s="46">
        <v>-53</v>
      </c>
      <c r="BA41" s="46">
        <v>-16</v>
      </c>
      <c r="BB41" s="46">
        <v>-20</v>
      </c>
      <c r="BC41" s="46">
        <v>-9</v>
      </c>
      <c r="BD41" s="46">
        <v>-13</v>
      </c>
      <c r="BE41" s="46">
        <v>-21</v>
      </c>
      <c r="BF41" s="46">
        <v>-33</v>
      </c>
      <c r="BG41" s="46">
        <v>-52</v>
      </c>
      <c r="BH41" s="46">
        <v>-4.5</v>
      </c>
      <c r="BI41" s="46">
        <v>-6.5</v>
      </c>
      <c r="BJ41" s="46">
        <v>-10</v>
      </c>
      <c r="BK41" s="46">
        <v>2</v>
      </c>
      <c r="BL41" s="46">
        <v>2</v>
      </c>
      <c r="BM41" s="57">
        <v>8</v>
      </c>
      <c r="BN41" s="46">
        <v>8</v>
      </c>
      <c r="BO41" s="46">
        <v>15</v>
      </c>
      <c r="BP41" s="46">
        <v>22</v>
      </c>
      <c r="BQ41" s="2">
        <v>28</v>
      </c>
      <c r="BR41" s="2">
        <v>35</v>
      </c>
      <c r="BS41" s="47" t="s">
        <v>200</v>
      </c>
      <c r="BT41" s="2">
        <v>41</v>
      </c>
      <c r="BU41" s="2">
        <v>54</v>
      </c>
      <c r="BW41" s="59">
        <v>18</v>
      </c>
      <c r="BX41" s="48">
        <v>24</v>
      </c>
      <c r="BY41" s="2">
        <v>160</v>
      </c>
      <c r="BZ41" s="2">
        <v>110</v>
      </c>
      <c r="CA41" s="2">
        <v>110</v>
      </c>
      <c r="CB41" s="2">
        <v>65</v>
      </c>
      <c r="CC41" s="2">
        <v>65</v>
      </c>
      <c r="CD41" s="2">
        <v>65</v>
      </c>
      <c r="CE41" s="2">
        <v>40</v>
      </c>
      <c r="CF41" s="2">
        <v>40</v>
      </c>
      <c r="CG41" s="46">
        <v>40</v>
      </c>
      <c r="CH41" s="46">
        <v>20</v>
      </c>
      <c r="CI41" s="46">
        <v>20</v>
      </c>
      <c r="CJ41" s="46">
        <v>20</v>
      </c>
      <c r="CK41" s="46">
        <v>7</v>
      </c>
      <c r="CL41" s="46">
        <v>7</v>
      </c>
      <c r="CM41" s="46">
        <v>0</v>
      </c>
      <c r="CN41" s="46">
        <v>0</v>
      </c>
      <c r="CO41" s="46">
        <v>0</v>
      </c>
      <c r="CP41" s="46">
        <v>0</v>
      </c>
      <c r="CQ41" s="46">
        <v>0</v>
      </c>
      <c r="CR41" s="46">
        <v>-6.5</v>
      </c>
      <c r="CS41" s="46">
        <v>-10</v>
      </c>
      <c r="CT41" s="46">
        <v>-11</v>
      </c>
      <c r="CU41" s="46">
        <v>-15</v>
      </c>
      <c r="CV41" s="46">
        <v>-17</v>
      </c>
      <c r="CW41" s="46">
        <v>-21</v>
      </c>
      <c r="CX41" s="46">
        <v>-24</v>
      </c>
      <c r="CY41" s="46">
        <v>-28</v>
      </c>
      <c r="CZ41" s="2">
        <v>-31</v>
      </c>
      <c r="DA41" s="2">
        <v>-35</v>
      </c>
      <c r="DB41" s="2">
        <v>-41</v>
      </c>
      <c r="DC41" s="2">
        <v>-48</v>
      </c>
      <c r="DD41" s="49" t="s">
        <v>201</v>
      </c>
      <c r="DE41" s="2">
        <v>-54</v>
      </c>
      <c r="DF41" s="61">
        <v>-67</v>
      </c>
    </row>
    <row r="42" spans="2:114" x14ac:dyDescent="0.7">
      <c r="AO42" s="48">
        <v>24</v>
      </c>
      <c r="AP42" s="48">
        <v>30</v>
      </c>
      <c r="AQ42">
        <v>-212</v>
      </c>
      <c r="AR42">
        <v>-162</v>
      </c>
      <c r="AS42">
        <v>-98</v>
      </c>
      <c r="AT42">
        <v>-117</v>
      </c>
      <c r="AU42">
        <v>-61</v>
      </c>
      <c r="AV42">
        <v>-73</v>
      </c>
      <c r="AW42" s="56">
        <v>-92</v>
      </c>
      <c r="AX42" s="46">
        <v>-33</v>
      </c>
      <c r="AY42" s="46">
        <v>-41</v>
      </c>
      <c r="AZ42" s="46">
        <v>-53</v>
      </c>
      <c r="BA42" s="46">
        <v>-16</v>
      </c>
      <c r="BB42" s="46">
        <v>-20</v>
      </c>
      <c r="BC42" s="46">
        <v>-9</v>
      </c>
      <c r="BD42" s="46">
        <v>-13</v>
      </c>
      <c r="BE42" s="46">
        <v>-21</v>
      </c>
      <c r="BF42" s="46">
        <v>-33</v>
      </c>
      <c r="BG42" s="46">
        <v>-52</v>
      </c>
      <c r="BH42" s="46">
        <v>-4.5</v>
      </c>
      <c r="BI42" s="46">
        <v>-6.5</v>
      </c>
      <c r="BJ42" s="46">
        <v>-10</v>
      </c>
      <c r="BK42" s="46">
        <v>2</v>
      </c>
      <c r="BL42" s="46">
        <v>2</v>
      </c>
      <c r="BM42" s="57">
        <v>8</v>
      </c>
      <c r="BN42" s="46">
        <v>8</v>
      </c>
      <c r="BO42" s="46">
        <v>15</v>
      </c>
      <c r="BP42" s="46">
        <v>22</v>
      </c>
      <c r="BQ42" s="2">
        <v>28</v>
      </c>
      <c r="BR42" s="2">
        <v>35</v>
      </c>
      <c r="BS42" s="2">
        <v>41</v>
      </c>
      <c r="BT42" s="2">
        <v>48</v>
      </c>
      <c r="BU42" s="2">
        <v>64</v>
      </c>
      <c r="BW42" s="59">
        <v>24</v>
      </c>
      <c r="BX42" s="48">
        <v>30</v>
      </c>
      <c r="BY42" s="2">
        <v>160</v>
      </c>
      <c r="BZ42" s="2">
        <v>110</v>
      </c>
      <c r="CA42" s="2">
        <v>110</v>
      </c>
      <c r="CB42" s="2">
        <v>65</v>
      </c>
      <c r="CC42" s="2">
        <v>65</v>
      </c>
      <c r="CD42" s="2">
        <v>65</v>
      </c>
      <c r="CE42" s="2">
        <v>40</v>
      </c>
      <c r="CF42" s="2">
        <v>40</v>
      </c>
      <c r="CG42" s="46">
        <v>40</v>
      </c>
      <c r="CH42" s="46">
        <v>20</v>
      </c>
      <c r="CI42" s="46">
        <v>20</v>
      </c>
      <c r="CJ42" s="46">
        <v>20</v>
      </c>
      <c r="CK42" s="46">
        <v>7</v>
      </c>
      <c r="CL42" s="46">
        <v>7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-6.5</v>
      </c>
      <c r="CS42" s="46">
        <v>-10</v>
      </c>
      <c r="CT42" s="46">
        <v>-11</v>
      </c>
      <c r="CU42" s="46">
        <v>-15</v>
      </c>
      <c r="CV42" s="46">
        <v>-17</v>
      </c>
      <c r="CW42" s="46">
        <v>-21</v>
      </c>
      <c r="CX42" s="46">
        <v>-24</v>
      </c>
      <c r="CY42" s="46">
        <v>-28</v>
      </c>
      <c r="CZ42" s="2">
        <v>-31</v>
      </c>
      <c r="DA42" s="2">
        <v>-35</v>
      </c>
      <c r="DB42" s="2">
        <v>-41</v>
      </c>
      <c r="DC42" s="2">
        <v>-48</v>
      </c>
      <c r="DD42" s="2">
        <v>-54</v>
      </c>
      <c r="DE42" s="2">
        <v>-61</v>
      </c>
      <c r="DF42" s="61">
        <v>-77</v>
      </c>
    </row>
    <row r="43" spans="2:114" x14ac:dyDescent="0.7">
      <c r="AO43" s="48">
        <v>30</v>
      </c>
      <c r="AP43" s="48">
        <v>40</v>
      </c>
      <c r="AQ43">
        <v>-232</v>
      </c>
      <c r="AR43">
        <v>-182</v>
      </c>
      <c r="AS43">
        <v>-119</v>
      </c>
      <c r="AT43">
        <v>-142</v>
      </c>
      <c r="AU43">
        <v>-75</v>
      </c>
      <c r="AV43">
        <v>-89</v>
      </c>
      <c r="AW43" s="56">
        <v>-112</v>
      </c>
      <c r="AX43" s="46">
        <v>-41</v>
      </c>
      <c r="AY43" s="46">
        <v>-50</v>
      </c>
      <c r="AZ43" s="46">
        <v>-64</v>
      </c>
      <c r="BA43" s="46">
        <v>-20</v>
      </c>
      <c r="BB43" s="46">
        <v>-25</v>
      </c>
      <c r="BC43" s="46">
        <v>-11</v>
      </c>
      <c r="BD43" s="46">
        <v>-16</v>
      </c>
      <c r="BE43" s="46">
        <v>-25</v>
      </c>
      <c r="BF43" s="46">
        <v>-39</v>
      </c>
      <c r="BG43" s="46">
        <v>-62</v>
      </c>
      <c r="BH43" s="46">
        <v>-5.5</v>
      </c>
      <c r="BI43" s="46">
        <v>-8</v>
      </c>
      <c r="BJ43" s="46">
        <v>-12</v>
      </c>
      <c r="BK43" s="46">
        <v>2</v>
      </c>
      <c r="BL43" s="46">
        <v>2</v>
      </c>
      <c r="BM43" s="57">
        <v>9</v>
      </c>
      <c r="BN43" s="46">
        <v>9</v>
      </c>
      <c r="BO43" s="46">
        <v>17</v>
      </c>
      <c r="BP43" s="46">
        <v>26</v>
      </c>
      <c r="BQ43" s="2">
        <v>34</v>
      </c>
      <c r="BR43" s="2">
        <v>43</v>
      </c>
      <c r="BS43" s="2">
        <v>48</v>
      </c>
      <c r="BT43" s="2">
        <v>60</v>
      </c>
      <c r="BU43" s="47" t="s">
        <v>200</v>
      </c>
      <c r="BW43" s="59">
        <v>30</v>
      </c>
      <c r="BX43" s="48">
        <v>40</v>
      </c>
      <c r="BY43" s="2">
        <v>170</v>
      </c>
      <c r="BZ43" s="2">
        <v>120</v>
      </c>
      <c r="CA43" s="2">
        <v>120</v>
      </c>
      <c r="CB43" s="2">
        <v>80</v>
      </c>
      <c r="CC43" s="2">
        <v>80</v>
      </c>
      <c r="CD43" s="2">
        <v>80</v>
      </c>
      <c r="CE43" s="2">
        <v>50</v>
      </c>
      <c r="CF43" s="2">
        <v>50</v>
      </c>
      <c r="CG43" s="46">
        <v>50</v>
      </c>
      <c r="CH43" s="46">
        <v>25</v>
      </c>
      <c r="CI43" s="46">
        <v>25</v>
      </c>
      <c r="CJ43" s="46">
        <v>25</v>
      </c>
      <c r="CK43" s="46">
        <v>9</v>
      </c>
      <c r="CL43" s="46">
        <v>9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>
        <v>-8</v>
      </c>
      <c r="CS43" s="46">
        <v>-12</v>
      </c>
      <c r="CT43" s="46">
        <v>-13</v>
      </c>
      <c r="CU43" s="46">
        <v>-18</v>
      </c>
      <c r="CV43" s="46">
        <v>-20</v>
      </c>
      <c r="CW43" s="46">
        <v>-25</v>
      </c>
      <c r="CX43" s="46">
        <v>-28</v>
      </c>
      <c r="CY43" s="46">
        <v>-33</v>
      </c>
      <c r="CZ43" s="2">
        <v>-37</v>
      </c>
      <c r="DA43" s="2">
        <v>-42</v>
      </c>
      <c r="DB43" s="2">
        <v>-50</v>
      </c>
      <c r="DC43" s="2">
        <v>-59</v>
      </c>
      <c r="DD43" s="2">
        <v>-64</v>
      </c>
      <c r="DE43" s="2">
        <v>-76</v>
      </c>
      <c r="DF43" s="82" t="s">
        <v>201</v>
      </c>
    </row>
    <row r="44" spans="2:114" x14ac:dyDescent="0.7">
      <c r="AO44" s="48">
        <v>40</v>
      </c>
      <c r="AP44" s="48">
        <v>50</v>
      </c>
      <c r="AQ44">
        <v>-242</v>
      </c>
      <c r="AR44">
        <v>-192</v>
      </c>
      <c r="AS44">
        <v>-119</v>
      </c>
      <c r="AT44">
        <v>-142</v>
      </c>
      <c r="AU44">
        <v>-75</v>
      </c>
      <c r="AV44">
        <v>-89</v>
      </c>
      <c r="AW44" s="56">
        <v>-112</v>
      </c>
      <c r="AX44" s="46">
        <v>-41</v>
      </c>
      <c r="AY44" s="46">
        <v>-50</v>
      </c>
      <c r="AZ44" s="46">
        <v>-64</v>
      </c>
      <c r="BA44" s="46">
        <v>-20</v>
      </c>
      <c r="BB44" s="46">
        <v>-25</v>
      </c>
      <c r="BC44" s="46">
        <v>-11</v>
      </c>
      <c r="BD44" s="46">
        <v>-16</v>
      </c>
      <c r="BE44" s="46">
        <v>-25</v>
      </c>
      <c r="BF44" s="46">
        <v>-39</v>
      </c>
      <c r="BG44" s="46">
        <v>-62</v>
      </c>
      <c r="BH44" s="46">
        <v>-5.5</v>
      </c>
      <c r="BI44" s="46">
        <v>-8</v>
      </c>
      <c r="BJ44" s="46">
        <v>-12</v>
      </c>
      <c r="BK44" s="46">
        <v>2</v>
      </c>
      <c r="BL44" s="46">
        <v>2</v>
      </c>
      <c r="BM44" s="57">
        <v>9</v>
      </c>
      <c r="BN44" s="46">
        <v>9</v>
      </c>
      <c r="BO44" s="46">
        <v>17</v>
      </c>
      <c r="BP44" s="46">
        <v>26</v>
      </c>
      <c r="BQ44" s="2">
        <v>34</v>
      </c>
      <c r="BR44" s="2">
        <v>43</v>
      </c>
      <c r="BS44" s="2">
        <v>54</v>
      </c>
      <c r="BT44" s="2">
        <v>70</v>
      </c>
      <c r="BU44" s="47" t="s">
        <v>200</v>
      </c>
      <c r="BW44" s="59">
        <v>40</v>
      </c>
      <c r="BX44" s="48">
        <v>50</v>
      </c>
      <c r="BY44" s="2">
        <v>180</v>
      </c>
      <c r="BZ44" s="2">
        <v>130</v>
      </c>
      <c r="CA44" s="2">
        <v>130</v>
      </c>
      <c r="CB44" s="2">
        <v>80</v>
      </c>
      <c r="CC44" s="2">
        <v>80</v>
      </c>
      <c r="CD44" s="2">
        <v>80</v>
      </c>
      <c r="CE44" s="2">
        <v>50</v>
      </c>
      <c r="CF44" s="2">
        <v>50</v>
      </c>
      <c r="CG44" s="46">
        <v>50</v>
      </c>
      <c r="CH44" s="46">
        <v>25</v>
      </c>
      <c r="CI44" s="46">
        <v>25</v>
      </c>
      <c r="CJ44" s="46">
        <v>25</v>
      </c>
      <c r="CK44" s="46">
        <v>9</v>
      </c>
      <c r="CL44" s="46">
        <v>9</v>
      </c>
      <c r="CM44" s="46">
        <v>0</v>
      </c>
      <c r="CN44" s="46">
        <v>0</v>
      </c>
      <c r="CO44" s="46">
        <v>0</v>
      </c>
      <c r="CP44" s="46">
        <v>0</v>
      </c>
      <c r="CQ44" s="46">
        <v>0</v>
      </c>
      <c r="CR44" s="46">
        <v>-8</v>
      </c>
      <c r="CS44" s="46">
        <v>-12</v>
      </c>
      <c r="CT44" s="46">
        <v>-13</v>
      </c>
      <c r="CU44" s="46">
        <v>-18</v>
      </c>
      <c r="CV44" s="46">
        <v>-20</v>
      </c>
      <c r="CW44" s="46">
        <v>-25</v>
      </c>
      <c r="CX44" s="46">
        <v>-28</v>
      </c>
      <c r="CY44" s="46">
        <v>-33</v>
      </c>
      <c r="CZ44" s="2">
        <v>-37</v>
      </c>
      <c r="DA44" s="2">
        <v>-42</v>
      </c>
      <c r="DB44" s="2">
        <v>-50</v>
      </c>
      <c r="DC44" s="2">
        <v>-59</v>
      </c>
      <c r="DD44" s="2">
        <v>-70</v>
      </c>
      <c r="DE44" s="2">
        <v>-86</v>
      </c>
      <c r="DF44" s="82" t="s">
        <v>201</v>
      </c>
    </row>
    <row r="45" spans="2:114" x14ac:dyDescent="0.7">
      <c r="AO45" s="48">
        <v>50</v>
      </c>
      <c r="AP45" s="48">
        <v>65</v>
      </c>
      <c r="AQ45">
        <v>-264</v>
      </c>
      <c r="AR45">
        <v>-214</v>
      </c>
      <c r="AS45">
        <v>-146</v>
      </c>
      <c r="AT45">
        <v>-174</v>
      </c>
      <c r="AU45">
        <v>-90</v>
      </c>
      <c r="AV45">
        <v>-106</v>
      </c>
      <c r="AW45" s="56">
        <v>-134</v>
      </c>
      <c r="AX45" s="46">
        <v>-49</v>
      </c>
      <c r="AY45" s="46">
        <v>-60</v>
      </c>
      <c r="AZ45" s="46">
        <v>-76</v>
      </c>
      <c r="BA45" s="46">
        <v>-23</v>
      </c>
      <c r="BB45" s="46">
        <v>-29</v>
      </c>
      <c r="BC45" s="46">
        <v>-13</v>
      </c>
      <c r="BD45" s="46">
        <v>-19</v>
      </c>
      <c r="BE45" s="46">
        <v>-30</v>
      </c>
      <c r="BF45" s="46">
        <v>-46</v>
      </c>
      <c r="BG45" s="46">
        <v>-74</v>
      </c>
      <c r="BH45" s="46">
        <v>-6.5</v>
      </c>
      <c r="BI45" s="46">
        <v>-9.5</v>
      </c>
      <c r="BJ45" s="46">
        <v>-15</v>
      </c>
      <c r="BK45" s="46">
        <v>2</v>
      </c>
      <c r="BL45" s="46">
        <v>2</v>
      </c>
      <c r="BM45" s="57">
        <v>11</v>
      </c>
      <c r="BN45" s="46">
        <v>11</v>
      </c>
      <c r="BO45" s="46">
        <v>20</v>
      </c>
      <c r="BP45" s="46">
        <v>32</v>
      </c>
      <c r="BQ45" s="2">
        <v>41</v>
      </c>
      <c r="BR45" s="2">
        <v>53</v>
      </c>
      <c r="BS45" s="2">
        <v>66</v>
      </c>
      <c r="BT45" s="2">
        <v>87</v>
      </c>
      <c r="BU45" s="47" t="s">
        <v>200</v>
      </c>
      <c r="BW45" s="59">
        <v>50</v>
      </c>
      <c r="BX45" s="48">
        <v>65</v>
      </c>
      <c r="BY45" s="2">
        <v>190</v>
      </c>
      <c r="BZ45" s="2">
        <v>140</v>
      </c>
      <c r="CA45" s="2">
        <v>140</v>
      </c>
      <c r="CB45" s="2">
        <v>100</v>
      </c>
      <c r="CC45" s="2">
        <v>100</v>
      </c>
      <c r="CD45" s="2">
        <v>100</v>
      </c>
      <c r="CE45" s="2">
        <v>60</v>
      </c>
      <c r="CF45" s="2">
        <v>60</v>
      </c>
      <c r="CG45" s="46">
        <v>60</v>
      </c>
      <c r="CH45" s="46">
        <v>30</v>
      </c>
      <c r="CI45" s="46">
        <v>30</v>
      </c>
      <c r="CJ45" s="46">
        <v>30</v>
      </c>
      <c r="CK45" s="46">
        <v>10</v>
      </c>
      <c r="CL45" s="46">
        <v>10</v>
      </c>
      <c r="CM45" s="46">
        <v>0</v>
      </c>
      <c r="CN45" s="46">
        <v>0</v>
      </c>
      <c r="CO45" s="46">
        <v>0</v>
      </c>
      <c r="CP45" s="46">
        <v>0</v>
      </c>
      <c r="CQ45" s="46">
        <v>0</v>
      </c>
      <c r="CR45" s="46">
        <v>-9.5</v>
      </c>
      <c r="CS45" s="46">
        <v>-15</v>
      </c>
      <c r="CT45" s="46">
        <v>-15</v>
      </c>
      <c r="CU45" s="46">
        <v>-21</v>
      </c>
      <c r="CV45" s="46">
        <v>-24</v>
      </c>
      <c r="CW45" s="46">
        <v>-30</v>
      </c>
      <c r="CX45" s="46">
        <v>-33</v>
      </c>
      <c r="CY45" s="46">
        <v>-39</v>
      </c>
      <c r="CZ45" s="2">
        <v>-45</v>
      </c>
      <c r="DA45" s="2">
        <v>-51</v>
      </c>
      <c r="DB45" s="2">
        <v>-60</v>
      </c>
      <c r="DC45" s="2">
        <v>-72</v>
      </c>
      <c r="DD45" s="2">
        <v>-85</v>
      </c>
      <c r="DE45" s="2">
        <v>-106</v>
      </c>
      <c r="DF45" s="82" t="s">
        <v>201</v>
      </c>
    </row>
    <row r="46" spans="2:114" x14ac:dyDescent="0.7">
      <c r="AO46" s="48">
        <v>65</v>
      </c>
      <c r="AP46" s="48">
        <v>80</v>
      </c>
      <c r="AQ46">
        <v>-274</v>
      </c>
      <c r="AR46">
        <v>-224</v>
      </c>
      <c r="AS46">
        <v>-146</v>
      </c>
      <c r="AT46">
        <v>-174</v>
      </c>
      <c r="AU46">
        <v>-90</v>
      </c>
      <c r="AV46">
        <v>-106</v>
      </c>
      <c r="AW46" s="56">
        <v>-134</v>
      </c>
      <c r="AX46" s="46">
        <v>-49</v>
      </c>
      <c r="AY46" s="46">
        <v>-60</v>
      </c>
      <c r="AZ46" s="46">
        <v>-76</v>
      </c>
      <c r="BA46" s="46">
        <v>-23</v>
      </c>
      <c r="BB46" s="46">
        <v>-29</v>
      </c>
      <c r="BC46" s="46">
        <v>-13</v>
      </c>
      <c r="BD46" s="46">
        <v>-19</v>
      </c>
      <c r="BE46" s="46">
        <v>-30</v>
      </c>
      <c r="BF46" s="46">
        <v>-46</v>
      </c>
      <c r="BG46" s="46">
        <v>-74</v>
      </c>
      <c r="BH46" s="46">
        <v>-6.5</v>
      </c>
      <c r="BI46" s="46">
        <v>-9.5</v>
      </c>
      <c r="BJ46" s="46">
        <v>-15</v>
      </c>
      <c r="BK46" s="46">
        <v>2</v>
      </c>
      <c r="BL46" s="46">
        <v>2</v>
      </c>
      <c r="BM46" s="57">
        <v>11</v>
      </c>
      <c r="BN46" s="46">
        <v>11</v>
      </c>
      <c r="BO46" s="46">
        <v>20</v>
      </c>
      <c r="BP46" s="46">
        <v>32</v>
      </c>
      <c r="BQ46" s="2">
        <v>43</v>
      </c>
      <c r="BR46" s="2">
        <v>59</v>
      </c>
      <c r="BS46" s="2">
        <v>75</v>
      </c>
      <c r="BT46" s="2">
        <v>102</v>
      </c>
      <c r="BU46" s="47" t="s">
        <v>200</v>
      </c>
      <c r="BW46" s="59">
        <v>65</v>
      </c>
      <c r="BX46" s="48">
        <v>80</v>
      </c>
      <c r="BY46" s="2">
        <v>200</v>
      </c>
      <c r="BZ46" s="2">
        <v>150</v>
      </c>
      <c r="CA46" s="2">
        <v>150</v>
      </c>
      <c r="CB46" s="2">
        <v>100</v>
      </c>
      <c r="CC46" s="2">
        <v>100</v>
      </c>
      <c r="CD46" s="2">
        <v>100</v>
      </c>
      <c r="CE46" s="2">
        <v>60</v>
      </c>
      <c r="CF46" s="2">
        <v>60</v>
      </c>
      <c r="CG46" s="46">
        <v>60</v>
      </c>
      <c r="CH46" s="46">
        <v>30</v>
      </c>
      <c r="CI46" s="46">
        <v>30</v>
      </c>
      <c r="CJ46" s="46">
        <v>30</v>
      </c>
      <c r="CK46" s="46">
        <v>10</v>
      </c>
      <c r="CL46" s="46">
        <v>10</v>
      </c>
      <c r="CM46" s="46">
        <v>0</v>
      </c>
      <c r="CN46" s="46">
        <v>0</v>
      </c>
      <c r="CO46" s="46">
        <v>0</v>
      </c>
      <c r="CP46" s="46">
        <v>0</v>
      </c>
      <c r="CQ46" s="46">
        <v>0</v>
      </c>
      <c r="CR46" s="46">
        <v>-9.5</v>
      </c>
      <c r="CS46" s="46">
        <v>-15</v>
      </c>
      <c r="CT46" s="46">
        <v>-15</v>
      </c>
      <c r="CU46" s="46">
        <v>-21</v>
      </c>
      <c r="CV46" s="46">
        <v>-24</v>
      </c>
      <c r="CW46" s="46">
        <v>-30</v>
      </c>
      <c r="CX46" s="46">
        <v>-33</v>
      </c>
      <c r="CY46" s="46">
        <v>-39</v>
      </c>
      <c r="CZ46" s="2">
        <v>-45</v>
      </c>
      <c r="DA46" s="2">
        <v>-51</v>
      </c>
      <c r="DB46" s="2">
        <v>-62</v>
      </c>
      <c r="DC46" s="2">
        <v>-78</v>
      </c>
      <c r="DD46" s="2">
        <v>-94</v>
      </c>
      <c r="DE46" s="2">
        <v>-121</v>
      </c>
      <c r="DF46" s="82" t="s">
        <v>201</v>
      </c>
    </row>
    <row r="47" spans="2:114" x14ac:dyDescent="0.7">
      <c r="AO47" s="48">
        <v>80</v>
      </c>
      <c r="AP47" s="48">
        <v>100</v>
      </c>
      <c r="AQ47">
        <v>-307</v>
      </c>
      <c r="AR47">
        <v>-257</v>
      </c>
      <c r="AS47">
        <v>-174</v>
      </c>
      <c r="AT47">
        <v>-207</v>
      </c>
      <c r="AU47">
        <v>-107</v>
      </c>
      <c r="AV47">
        <v>-107</v>
      </c>
      <c r="AW47" s="56">
        <v>-159</v>
      </c>
      <c r="AX47" s="46">
        <v>-58</v>
      </c>
      <c r="AY47" s="46">
        <v>-71</v>
      </c>
      <c r="AZ47" s="46">
        <v>-90</v>
      </c>
      <c r="BA47" s="46">
        <v>-27</v>
      </c>
      <c r="BB47" s="46">
        <v>-34</v>
      </c>
      <c r="BC47" s="46">
        <v>-15</v>
      </c>
      <c r="BD47" s="46">
        <v>-22</v>
      </c>
      <c r="BE47" s="46">
        <v>-35</v>
      </c>
      <c r="BF47" s="46">
        <v>-54</v>
      </c>
      <c r="BG47" s="46">
        <v>-87</v>
      </c>
      <c r="BH47" s="46">
        <v>-7.5</v>
      </c>
      <c r="BI47" s="46">
        <v>-11</v>
      </c>
      <c r="BJ47" s="46">
        <v>-17</v>
      </c>
      <c r="BK47" s="46">
        <v>3</v>
      </c>
      <c r="BL47" s="46">
        <v>3</v>
      </c>
      <c r="BM47" s="57">
        <v>13</v>
      </c>
      <c r="BN47" s="46">
        <v>13</v>
      </c>
      <c r="BO47" s="46">
        <v>23</v>
      </c>
      <c r="BP47" s="46">
        <v>37</v>
      </c>
      <c r="BQ47" s="2">
        <v>51</v>
      </c>
      <c r="BR47" s="2">
        <v>71</v>
      </c>
      <c r="BS47" s="2">
        <v>91</v>
      </c>
      <c r="BT47" s="2">
        <v>124</v>
      </c>
      <c r="BU47" s="47" t="s">
        <v>200</v>
      </c>
      <c r="BW47" s="59">
        <v>80</v>
      </c>
      <c r="BX47" s="48">
        <v>100</v>
      </c>
      <c r="BY47" s="2">
        <v>220</v>
      </c>
      <c r="BZ47" s="2">
        <v>170</v>
      </c>
      <c r="CA47" s="2">
        <v>170</v>
      </c>
      <c r="CB47" s="2">
        <v>120</v>
      </c>
      <c r="CC47" s="2">
        <v>120</v>
      </c>
      <c r="CD47" s="2">
        <v>120</v>
      </c>
      <c r="CE47" s="2">
        <v>72</v>
      </c>
      <c r="CF47" s="2">
        <v>72</v>
      </c>
      <c r="CG47" s="46">
        <v>72</v>
      </c>
      <c r="CH47" s="46">
        <v>36</v>
      </c>
      <c r="CI47" s="46">
        <v>36</v>
      </c>
      <c r="CJ47" s="46">
        <v>36</v>
      </c>
      <c r="CK47" s="46">
        <v>12</v>
      </c>
      <c r="CL47" s="46">
        <v>12</v>
      </c>
      <c r="CM47" s="46">
        <v>0</v>
      </c>
      <c r="CN47" s="46">
        <v>0</v>
      </c>
      <c r="CO47" s="46">
        <v>0</v>
      </c>
      <c r="CP47" s="46">
        <v>0</v>
      </c>
      <c r="CQ47" s="46">
        <v>0</v>
      </c>
      <c r="CR47" s="46">
        <v>-11</v>
      </c>
      <c r="CS47" s="46">
        <v>-17</v>
      </c>
      <c r="CT47" s="46">
        <v>-18</v>
      </c>
      <c r="CU47" s="46">
        <v>-25</v>
      </c>
      <c r="CV47" s="46">
        <v>-28</v>
      </c>
      <c r="CW47" s="46">
        <v>-35</v>
      </c>
      <c r="CX47" s="46">
        <v>-38</v>
      </c>
      <c r="CY47" s="46">
        <v>-45</v>
      </c>
      <c r="CZ47" s="2">
        <v>-52</v>
      </c>
      <c r="DA47" s="2">
        <v>-59</v>
      </c>
      <c r="DB47" s="2">
        <v>-73</v>
      </c>
      <c r="DC47" s="2">
        <v>-93</v>
      </c>
      <c r="DD47" s="2">
        <v>-113</v>
      </c>
      <c r="DE47" s="2">
        <v>-146</v>
      </c>
      <c r="DF47" s="82" t="s">
        <v>201</v>
      </c>
    </row>
    <row r="48" spans="2:114" x14ac:dyDescent="0.7">
      <c r="AO48" s="48">
        <v>100</v>
      </c>
      <c r="AP48" s="48">
        <v>120</v>
      </c>
      <c r="AQ48">
        <v>-327</v>
      </c>
      <c r="AR48">
        <v>-267</v>
      </c>
      <c r="AS48">
        <v>-174</v>
      </c>
      <c r="AT48">
        <v>-207</v>
      </c>
      <c r="AU48">
        <v>-107</v>
      </c>
      <c r="AV48">
        <v>-107</v>
      </c>
      <c r="AW48" s="56">
        <v>-159</v>
      </c>
      <c r="AX48" s="46">
        <v>-58</v>
      </c>
      <c r="AY48" s="46">
        <v>-71</v>
      </c>
      <c r="AZ48" s="46">
        <v>-90</v>
      </c>
      <c r="BA48" s="46">
        <v>-27</v>
      </c>
      <c r="BB48" s="46">
        <v>-34</v>
      </c>
      <c r="BC48" s="46">
        <v>-15</v>
      </c>
      <c r="BD48" s="46">
        <v>-22</v>
      </c>
      <c r="BE48" s="46">
        <v>-35</v>
      </c>
      <c r="BF48" s="46">
        <v>-54</v>
      </c>
      <c r="BG48" s="46">
        <v>-87</v>
      </c>
      <c r="BH48" s="46">
        <v>-7.5</v>
      </c>
      <c r="BI48" s="46">
        <v>-11</v>
      </c>
      <c r="BJ48" s="46">
        <v>-17</v>
      </c>
      <c r="BK48" s="46">
        <v>3</v>
      </c>
      <c r="BL48" s="46">
        <v>3</v>
      </c>
      <c r="BM48" s="57">
        <v>13</v>
      </c>
      <c r="BN48" s="46">
        <v>13</v>
      </c>
      <c r="BO48" s="46">
        <v>23</v>
      </c>
      <c r="BP48" s="46">
        <v>37</v>
      </c>
      <c r="BQ48" s="2">
        <v>54</v>
      </c>
      <c r="BR48" s="2">
        <v>79</v>
      </c>
      <c r="BS48" s="2">
        <v>104</v>
      </c>
      <c r="BT48" s="2">
        <v>144</v>
      </c>
      <c r="BU48" s="47" t="s">
        <v>200</v>
      </c>
      <c r="BW48" s="59">
        <v>100</v>
      </c>
      <c r="BX48" s="48">
        <v>120</v>
      </c>
      <c r="BY48" s="2">
        <v>240</v>
      </c>
      <c r="BZ48" s="2">
        <v>180</v>
      </c>
      <c r="CA48" s="2">
        <v>180</v>
      </c>
      <c r="CB48" s="2">
        <v>120</v>
      </c>
      <c r="CC48" s="2">
        <v>120</v>
      </c>
      <c r="CD48" s="2">
        <v>120</v>
      </c>
      <c r="CE48" s="2">
        <v>72</v>
      </c>
      <c r="CF48" s="2">
        <v>72</v>
      </c>
      <c r="CG48" s="46">
        <v>72</v>
      </c>
      <c r="CH48" s="46">
        <v>36</v>
      </c>
      <c r="CI48" s="46">
        <v>36</v>
      </c>
      <c r="CJ48" s="46">
        <v>36</v>
      </c>
      <c r="CK48" s="46">
        <v>12</v>
      </c>
      <c r="CL48" s="46">
        <v>12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46">
        <v>-11</v>
      </c>
      <c r="CS48" s="46">
        <v>-17</v>
      </c>
      <c r="CT48" s="46">
        <v>-18</v>
      </c>
      <c r="CU48" s="46">
        <v>-25</v>
      </c>
      <c r="CV48" s="46">
        <v>-28</v>
      </c>
      <c r="CW48" s="46">
        <v>-35</v>
      </c>
      <c r="CX48" s="46">
        <v>-38</v>
      </c>
      <c r="CY48" s="46">
        <v>-45</v>
      </c>
      <c r="CZ48" s="2">
        <v>-52</v>
      </c>
      <c r="DA48" s="2">
        <v>-59</v>
      </c>
      <c r="DB48" s="2">
        <v>-76</v>
      </c>
      <c r="DC48" s="2">
        <v>-101</v>
      </c>
      <c r="DD48" s="2">
        <v>-126</v>
      </c>
      <c r="DE48" s="2">
        <v>-166</v>
      </c>
      <c r="DF48" s="82" t="s">
        <v>201</v>
      </c>
    </row>
    <row r="49" spans="41:110" x14ac:dyDescent="0.7">
      <c r="AO49" s="48">
        <v>120</v>
      </c>
      <c r="AP49" s="48">
        <v>140</v>
      </c>
      <c r="AQ49">
        <v>-360</v>
      </c>
      <c r="AR49">
        <v>-300</v>
      </c>
      <c r="AS49">
        <v>-208</v>
      </c>
      <c r="AT49">
        <v>-245</v>
      </c>
      <c r="AU49">
        <v>-125</v>
      </c>
      <c r="AV49">
        <v>-148</v>
      </c>
      <c r="AW49" s="56">
        <v>-185</v>
      </c>
      <c r="AX49" s="46">
        <v>-68</v>
      </c>
      <c r="AY49" s="46">
        <v>-83</v>
      </c>
      <c r="AZ49" s="46">
        <v>-106</v>
      </c>
      <c r="BA49" s="46">
        <v>-32</v>
      </c>
      <c r="BB49" s="46">
        <v>-39</v>
      </c>
      <c r="BC49" s="46">
        <v>-18</v>
      </c>
      <c r="BD49" s="46">
        <v>-25</v>
      </c>
      <c r="BE49" s="46">
        <v>-40</v>
      </c>
      <c r="BF49" s="46">
        <v>-63</v>
      </c>
      <c r="BG49" s="46">
        <v>-100</v>
      </c>
      <c r="BH49" s="46">
        <v>-9</v>
      </c>
      <c r="BI49" s="46">
        <v>-12.5</v>
      </c>
      <c r="BJ49" s="46">
        <v>-20</v>
      </c>
      <c r="BK49" s="46">
        <v>3</v>
      </c>
      <c r="BL49" s="46">
        <v>3</v>
      </c>
      <c r="BM49" s="57">
        <v>15</v>
      </c>
      <c r="BN49" s="46">
        <v>15</v>
      </c>
      <c r="BO49" s="46">
        <v>27</v>
      </c>
      <c r="BP49" s="46">
        <v>43</v>
      </c>
      <c r="BQ49" s="2">
        <v>63</v>
      </c>
      <c r="BR49" s="2">
        <v>92</v>
      </c>
      <c r="BS49" s="2">
        <v>122</v>
      </c>
      <c r="BT49" s="47" t="s">
        <v>200</v>
      </c>
      <c r="BU49" s="47" t="s">
        <v>200</v>
      </c>
      <c r="BW49" s="59">
        <v>120</v>
      </c>
      <c r="BX49" s="48">
        <v>140</v>
      </c>
      <c r="BY49" s="2">
        <v>260</v>
      </c>
      <c r="BZ49" s="2">
        <v>200</v>
      </c>
      <c r="CA49" s="2">
        <v>200</v>
      </c>
      <c r="CB49" s="2">
        <v>145</v>
      </c>
      <c r="CC49" s="2">
        <v>145</v>
      </c>
      <c r="CD49" s="2">
        <v>145</v>
      </c>
      <c r="CE49" s="2">
        <v>85</v>
      </c>
      <c r="CF49" s="2">
        <v>85</v>
      </c>
      <c r="CG49" s="46">
        <v>85</v>
      </c>
      <c r="CH49" s="46">
        <v>43</v>
      </c>
      <c r="CI49" s="46">
        <v>43</v>
      </c>
      <c r="CJ49" s="46">
        <v>43</v>
      </c>
      <c r="CK49" s="46">
        <v>14</v>
      </c>
      <c r="CL49" s="46">
        <v>14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46">
        <v>-12.5</v>
      </c>
      <c r="CS49" s="46">
        <v>-20</v>
      </c>
      <c r="CT49" s="46">
        <v>-21</v>
      </c>
      <c r="CU49" s="46">
        <v>-28</v>
      </c>
      <c r="CV49" s="46">
        <v>-33</v>
      </c>
      <c r="CW49" s="46">
        <v>-40</v>
      </c>
      <c r="CX49" s="46">
        <v>-45</v>
      </c>
      <c r="CY49" s="46">
        <v>-52</v>
      </c>
      <c r="CZ49" s="2">
        <v>-61</v>
      </c>
      <c r="DA49" s="2">
        <v>-68</v>
      </c>
      <c r="DB49" s="2">
        <v>-88</v>
      </c>
      <c r="DC49" s="2">
        <v>-117</v>
      </c>
      <c r="DD49" s="2">
        <v>-147</v>
      </c>
      <c r="DE49" s="49" t="s">
        <v>201</v>
      </c>
      <c r="DF49" s="82" t="s">
        <v>201</v>
      </c>
    </row>
    <row r="50" spans="41:110" x14ac:dyDescent="0.7">
      <c r="AO50" s="50">
        <v>140</v>
      </c>
      <c r="AP50" s="50">
        <v>160</v>
      </c>
      <c r="AQ50">
        <v>-380</v>
      </c>
      <c r="AR50">
        <v>-310</v>
      </c>
      <c r="AS50">
        <v>-208</v>
      </c>
      <c r="AT50">
        <v>-245</v>
      </c>
      <c r="AU50">
        <v>-125</v>
      </c>
      <c r="AV50">
        <v>-148</v>
      </c>
      <c r="AW50" s="56">
        <v>-185</v>
      </c>
      <c r="AX50" s="46">
        <v>-68</v>
      </c>
      <c r="AY50" s="46">
        <v>-83</v>
      </c>
      <c r="AZ50" s="46">
        <v>-106</v>
      </c>
      <c r="BA50" s="46">
        <v>-32</v>
      </c>
      <c r="BB50" s="46">
        <v>-39</v>
      </c>
      <c r="BC50" s="46">
        <v>-18</v>
      </c>
      <c r="BD50" s="46">
        <v>-25</v>
      </c>
      <c r="BE50" s="46">
        <v>-40</v>
      </c>
      <c r="BF50" s="46">
        <v>-63</v>
      </c>
      <c r="BG50" s="46">
        <v>-100</v>
      </c>
      <c r="BH50" s="46">
        <v>-9</v>
      </c>
      <c r="BI50" s="46">
        <v>-12.5</v>
      </c>
      <c r="BJ50" s="46">
        <v>-20</v>
      </c>
      <c r="BK50" s="46">
        <v>3</v>
      </c>
      <c r="BL50" s="46">
        <v>3</v>
      </c>
      <c r="BM50" s="57">
        <v>15</v>
      </c>
      <c r="BN50" s="46">
        <v>15</v>
      </c>
      <c r="BO50" s="46">
        <v>27</v>
      </c>
      <c r="BP50" s="46">
        <v>43</v>
      </c>
      <c r="BQ50" s="2">
        <v>65</v>
      </c>
      <c r="BR50" s="2">
        <v>100</v>
      </c>
      <c r="BS50" s="2">
        <v>134</v>
      </c>
      <c r="BT50" s="47" t="s">
        <v>200</v>
      </c>
      <c r="BU50" s="47" t="s">
        <v>200</v>
      </c>
      <c r="BW50" s="60">
        <v>140</v>
      </c>
      <c r="BX50" s="50">
        <v>160</v>
      </c>
      <c r="BY50" s="2">
        <v>280</v>
      </c>
      <c r="BZ50" s="2">
        <v>210</v>
      </c>
      <c r="CA50" s="2">
        <v>210</v>
      </c>
      <c r="CB50" s="2">
        <v>145</v>
      </c>
      <c r="CC50" s="2">
        <v>145</v>
      </c>
      <c r="CD50" s="2">
        <v>145</v>
      </c>
      <c r="CE50" s="2">
        <v>85</v>
      </c>
      <c r="CF50" s="2">
        <v>85</v>
      </c>
      <c r="CG50" s="46">
        <v>85</v>
      </c>
      <c r="CH50" s="46">
        <v>43</v>
      </c>
      <c r="CI50" s="46">
        <v>43</v>
      </c>
      <c r="CJ50" s="46">
        <v>43</v>
      </c>
      <c r="CK50" s="46">
        <v>14</v>
      </c>
      <c r="CL50" s="46">
        <v>14</v>
      </c>
      <c r="CM50" s="46">
        <v>0</v>
      </c>
      <c r="CN50" s="46">
        <v>0</v>
      </c>
      <c r="CO50" s="46">
        <v>0</v>
      </c>
      <c r="CP50" s="46">
        <v>0</v>
      </c>
      <c r="CQ50" s="46">
        <v>0</v>
      </c>
      <c r="CR50" s="46">
        <v>-12.5</v>
      </c>
      <c r="CS50" s="46">
        <v>-20</v>
      </c>
      <c r="CT50" s="46">
        <v>-21</v>
      </c>
      <c r="CU50" s="46">
        <v>-28</v>
      </c>
      <c r="CV50" s="46">
        <v>-33</v>
      </c>
      <c r="CW50" s="46">
        <v>-40</v>
      </c>
      <c r="CX50" s="46">
        <v>-45</v>
      </c>
      <c r="CY50" s="46">
        <v>-52</v>
      </c>
      <c r="CZ50" s="2">
        <v>-61</v>
      </c>
      <c r="DA50" s="2">
        <v>-68</v>
      </c>
      <c r="DB50" s="2">
        <v>-90</v>
      </c>
      <c r="DC50" s="2">
        <v>-125</v>
      </c>
      <c r="DD50" s="2">
        <v>-159</v>
      </c>
      <c r="DE50" s="49" t="s">
        <v>201</v>
      </c>
      <c r="DF50" s="82" t="s">
        <v>201</v>
      </c>
    </row>
    <row r="51" spans="41:110" x14ac:dyDescent="0.7">
      <c r="AO51" s="48">
        <v>160</v>
      </c>
      <c r="AP51" s="48">
        <v>180</v>
      </c>
      <c r="AQ51">
        <v>-410</v>
      </c>
      <c r="AR51">
        <v>-330</v>
      </c>
      <c r="AS51">
        <v>-208</v>
      </c>
      <c r="AT51">
        <v>-245</v>
      </c>
      <c r="AU51">
        <v>-125</v>
      </c>
      <c r="AV51">
        <v>-148</v>
      </c>
      <c r="AW51" s="56">
        <v>-185</v>
      </c>
      <c r="AX51" s="46">
        <v>-68</v>
      </c>
      <c r="AY51" s="46">
        <v>-83</v>
      </c>
      <c r="AZ51" s="46">
        <v>-106</v>
      </c>
      <c r="BA51" s="46">
        <v>-32</v>
      </c>
      <c r="BB51" s="46">
        <v>-39</v>
      </c>
      <c r="BC51" s="46">
        <v>-18</v>
      </c>
      <c r="BD51" s="46">
        <v>-25</v>
      </c>
      <c r="BE51" s="46">
        <v>-40</v>
      </c>
      <c r="BF51" s="46">
        <v>-63</v>
      </c>
      <c r="BG51" s="46">
        <v>-100</v>
      </c>
      <c r="BH51" s="46">
        <v>-9</v>
      </c>
      <c r="BI51" s="46">
        <v>-12.5</v>
      </c>
      <c r="BJ51" s="46">
        <v>-20</v>
      </c>
      <c r="BK51" s="46">
        <v>3</v>
      </c>
      <c r="BL51" s="46">
        <v>3</v>
      </c>
      <c r="BM51" s="57">
        <v>15</v>
      </c>
      <c r="BN51" s="46">
        <v>15</v>
      </c>
      <c r="BO51" s="46">
        <v>27</v>
      </c>
      <c r="BP51" s="46">
        <v>43</v>
      </c>
      <c r="BQ51" s="2">
        <v>68</v>
      </c>
      <c r="BR51" s="2">
        <v>108</v>
      </c>
      <c r="BS51" s="2">
        <v>146</v>
      </c>
      <c r="BT51" s="47" t="s">
        <v>200</v>
      </c>
      <c r="BU51" s="47" t="s">
        <v>200</v>
      </c>
      <c r="BW51" s="59">
        <v>160</v>
      </c>
      <c r="BX51" s="48">
        <v>180</v>
      </c>
      <c r="BY51" s="2">
        <v>310</v>
      </c>
      <c r="BZ51" s="2">
        <v>230</v>
      </c>
      <c r="CA51" s="2">
        <v>230</v>
      </c>
      <c r="CB51" s="2">
        <v>145</v>
      </c>
      <c r="CC51" s="2">
        <v>145</v>
      </c>
      <c r="CD51" s="2">
        <v>145</v>
      </c>
      <c r="CE51" s="2">
        <v>85</v>
      </c>
      <c r="CF51" s="2">
        <v>85</v>
      </c>
      <c r="CG51" s="46">
        <v>85</v>
      </c>
      <c r="CH51" s="46">
        <v>43</v>
      </c>
      <c r="CI51" s="46">
        <v>43</v>
      </c>
      <c r="CJ51" s="46">
        <v>43</v>
      </c>
      <c r="CK51" s="46">
        <v>14</v>
      </c>
      <c r="CL51" s="46">
        <v>14</v>
      </c>
      <c r="CM51" s="46">
        <v>0</v>
      </c>
      <c r="CN51" s="46">
        <v>0</v>
      </c>
      <c r="CO51" s="46">
        <v>0</v>
      </c>
      <c r="CP51" s="46">
        <v>0</v>
      </c>
      <c r="CQ51" s="46">
        <v>0</v>
      </c>
      <c r="CR51" s="46">
        <v>-12.5</v>
      </c>
      <c r="CS51" s="46">
        <v>-20</v>
      </c>
      <c r="CT51" s="46">
        <v>-21</v>
      </c>
      <c r="CU51" s="46">
        <v>-28</v>
      </c>
      <c r="CV51" s="46">
        <v>-33</v>
      </c>
      <c r="CW51" s="46">
        <v>-40</v>
      </c>
      <c r="CX51" s="46">
        <v>-45</v>
      </c>
      <c r="CY51" s="46">
        <v>-52</v>
      </c>
      <c r="CZ51" s="2">
        <v>-61</v>
      </c>
      <c r="DA51" s="2">
        <v>-68</v>
      </c>
      <c r="DB51" s="2">
        <v>-93</v>
      </c>
      <c r="DC51" s="2">
        <v>-133</v>
      </c>
      <c r="DD51" s="2">
        <v>-171</v>
      </c>
      <c r="DE51" s="49" t="s">
        <v>201</v>
      </c>
      <c r="DF51" s="82" t="s">
        <v>201</v>
      </c>
    </row>
    <row r="52" spans="41:110" x14ac:dyDescent="0.7">
      <c r="AO52" s="48">
        <v>180</v>
      </c>
      <c r="AP52" s="48">
        <v>200</v>
      </c>
      <c r="AQ52">
        <v>-455</v>
      </c>
      <c r="AR52">
        <v>-355</v>
      </c>
      <c r="AS52">
        <v>-242</v>
      </c>
      <c r="AT52">
        <v>-285</v>
      </c>
      <c r="AU52">
        <v>-146</v>
      </c>
      <c r="AV52">
        <v>-172</v>
      </c>
      <c r="AW52" s="56">
        <v>-215</v>
      </c>
      <c r="AX52" s="46">
        <v>-79</v>
      </c>
      <c r="AY52" s="46">
        <v>-96</v>
      </c>
      <c r="AZ52" s="46">
        <v>-122</v>
      </c>
      <c r="BA52" s="46">
        <v>-35</v>
      </c>
      <c r="BB52" s="46">
        <v>-44</v>
      </c>
      <c r="BC52" s="46">
        <v>-20</v>
      </c>
      <c r="BD52" s="46">
        <v>-29</v>
      </c>
      <c r="BE52" s="46">
        <v>-46</v>
      </c>
      <c r="BF52" s="46">
        <v>-72</v>
      </c>
      <c r="BG52" s="46">
        <v>-115</v>
      </c>
      <c r="BH52" s="46">
        <v>-10</v>
      </c>
      <c r="BI52" s="46">
        <v>-14.5</v>
      </c>
      <c r="BJ52" s="46">
        <v>-23</v>
      </c>
      <c r="BK52" s="46">
        <v>4</v>
      </c>
      <c r="BL52" s="46">
        <v>4</v>
      </c>
      <c r="BM52" s="57">
        <v>17</v>
      </c>
      <c r="BN52" s="46">
        <v>17</v>
      </c>
      <c r="BO52" s="46">
        <v>31</v>
      </c>
      <c r="BP52" s="46">
        <v>50</v>
      </c>
      <c r="BQ52" s="2">
        <v>77</v>
      </c>
      <c r="BR52" s="2">
        <v>122</v>
      </c>
      <c r="BS52" s="47" t="s">
        <v>200</v>
      </c>
      <c r="BT52" s="47" t="s">
        <v>200</v>
      </c>
      <c r="BU52" s="47" t="s">
        <v>200</v>
      </c>
      <c r="BW52" s="59">
        <v>180</v>
      </c>
      <c r="BX52" s="48">
        <v>200</v>
      </c>
      <c r="BY52" s="2">
        <v>340</v>
      </c>
      <c r="BZ52" s="2">
        <v>240</v>
      </c>
      <c r="CA52" s="2">
        <v>240</v>
      </c>
      <c r="CB52" s="2">
        <v>170</v>
      </c>
      <c r="CC52" s="2">
        <v>170</v>
      </c>
      <c r="CD52" s="2">
        <v>170</v>
      </c>
      <c r="CE52" s="2">
        <v>100</v>
      </c>
      <c r="CF52" s="2">
        <v>100</v>
      </c>
      <c r="CG52" s="46">
        <v>100</v>
      </c>
      <c r="CH52" s="46">
        <v>50</v>
      </c>
      <c r="CI52" s="46">
        <v>50</v>
      </c>
      <c r="CJ52" s="46">
        <v>50</v>
      </c>
      <c r="CK52" s="46">
        <v>15</v>
      </c>
      <c r="CL52" s="46">
        <v>15</v>
      </c>
      <c r="CM52" s="46">
        <v>0</v>
      </c>
      <c r="CN52" s="46">
        <v>0</v>
      </c>
      <c r="CO52" s="46">
        <v>0</v>
      </c>
      <c r="CP52" s="46">
        <v>0</v>
      </c>
      <c r="CQ52" s="46">
        <v>0</v>
      </c>
      <c r="CR52" s="46">
        <v>-14.5</v>
      </c>
      <c r="CS52" s="46">
        <v>-23</v>
      </c>
      <c r="CT52" s="46">
        <v>-24</v>
      </c>
      <c r="CU52" s="46">
        <v>-33</v>
      </c>
      <c r="CV52" s="46">
        <v>-37</v>
      </c>
      <c r="CW52" s="46">
        <v>-46</v>
      </c>
      <c r="CX52" s="46">
        <v>-51</v>
      </c>
      <c r="CY52" s="46">
        <v>-60</v>
      </c>
      <c r="CZ52" s="2">
        <v>-70</v>
      </c>
      <c r="DA52" s="2">
        <v>-79</v>
      </c>
      <c r="DB52" s="2">
        <v>-106</v>
      </c>
      <c r="DC52" s="2">
        <v>-151</v>
      </c>
      <c r="DD52" s="49" t="s">
        <v>201</v>
      </c>
      <c r="DE52" s="49" t="s">
        <v>201</v>
      </c>
      <c r="DF52" s="82" t="s">
        <v>201</v>
      </c>
    </row>
    <row r="53" spans="41:110" x14ac:dyDescent="0.7">
      <c r="AO53" s="48">
        <v>200</v>
      </c>
      <c r="AP53" s="48">
        <v>225</v>
      </c>
      <c r="AQ53">
        <v>-495</v>
      </c>
      <c r="AR53">
        <v>-375</v>
      </c>
      <c r="AS53">
        <v>-242</v>
      </c>
      <c r="AT53">
        <v>-285</v>
      </c>
      <c r="AU53">
        <v>-146</v>
      </c>
      <c r="AV53">
        <v>-172</v>
      </c>
      <c r="AW53" s="56">
        <v>-215</v>
      </c>
      <c r="AX53" s="46">
        <v>-79</v>
      </c>
      <c r="AY53" s="46">
        <v>-96</v>
      </c>
      <c r="AZ53" s="46">
        <v>-122</v>
      </c>
      <c r="BA53" s="46">
        <v>-35</v>
      </c>
      <c r="BB53" s="46">
        <v>-44</v>
      </c>
      <c r="BC53" s="46">
        <v>-20</v>
      </c>
      <c r="BD53" s="46">
        <v>-29</v>
      </c>
      <c r="BE53" s="46">
        <v>-46</v>
      </c>
      <c r="BF53" s="46">
        <v>-72</v>
      </c>
      <c r="BG53" s="46">
        <v>-115</v>
      </c>
      <c r="BH53" s="46">
        <v>-10</v>
      </c>
      <c r="BI53" s="46">
        <v>-14.5</v>
      </c>
      <c r="BJ53" s="46">
        <v>-23</v>
      </c>
      <c r="BK53" s="46">
        <v>4</v>
      </c>
      <c r="BL53" s="46">
        <v>4</v>
      </c>
      <c r="BM53" s="57">
        <v>17</v>
      </c>
      <c r="BN53" s="46">
        <v>17</v>
      </c>
      <c r="BO53" s="46">
        <v>31</v>
      </c>
      <c r="BP53" s="46">
        <v>50</v>
      </c>
      <c r="BQ53" s="2">
        <v>80</v>
      </c>
      <c r="BR53" s="2">
        <v>130</v>
      </c>
      <c r="BS53" s="47" t="s">
        <v>200</v>
      </c>
      <c r="BT53" s="47" t="s">
        <v>200</v>
      </c>
      <c r="BU53" s="47" t="s">
        <v>200</v>
      </c>
      <c r="BW53" s="59">
        <v>200</v>
      </c>
      <c r="BX53" s="48">
        <v>225</v>
      </c>
      <c r="BY53" s="2">
        <v>380</v>
      </c>
      <c r="BZ53" s="2">
        <v>260</v>
      </c>
      <c r="CA53" s="2">
        <v>260</v>
      </c>
      <c r="CB53" s="2">
        <v>170</v>
      </c>
      <c r="CC53" s="2">
        <v>170</v>
      </c>
      <c r="CD53" s="2">
        <v>170</v>
      </c>
      <c r="CE53" s="2">
        <v>100</v>
      </c>
      <c r="CF53" s="2">
        <v>100</v>
      </c>
      <c r="CG53" s="46">
        <v>100</v>
      </c>
      <c r="CH53" s="46">
        <v>50</v>
      </c>
      <c r="CI53" s="46">
        <v>50</v>
      </c>
      <c r="CJ53" s="46">
        <v>50</v>
      </c>
      <c r="CK53" s="46">
        <v>15</v>
      </c>
      <c r="CL53" s="46">
        <v>15</v>
      </c>
      <c r="CM53" s="46">
        <v>0</v>
      </c>
      <c r="CN53" s="46">
        <v>0</v>
      </c>
      <c r="CO53" s="46">
        <v>0</v>
      </c>
      <c r="CP53" s="46">
        <v>0</v>
      </c>
      <c r="CQ53" s="46">
        <v>0</v>
      </c>
      <c r="CR53" s="46">
        <v>-14.5</v>
      </c>
      <c r="CS53" s="46">
        <v>-23</v>
      </c>
      <c r="CT53" s="46">
        <v>-24</v>
      </c>
      <c r="CU53" s="46">
        <v>-33</v>
      </c>
      <c r="CV53" s="46">
        <v>-37</v>
      </c>
      <c r="CW53" s="46">
        <v>-46</v>
      </c>
      <c r="CX53" s="46">
        <v>-51</v>
      </c>
      <c r="CY53" s="46">
        <v>-60</v>
      </c>
      <c r="CZ53" s="2">
        <v>-70</v>
      </c>
      <c r="DA53" s="2">
        <v>-79</v>
      </c>
      <c r="DB53" s="2">
        <v>-109</v>
      </c>
      <c r="DC53" s="2">
        <v>-159</v>
      </c>
      <c r="DD53" s="49" t="s">
        <v>201</v>
      </c>
      <c r="DE53" s="49" t="s">
        <v>201</v>
      </c>
      <c r="DF53" s="82" t="s">
        <v>201</v>
      </c>
    </row>
    <row r="54" spans="41:110" x14ac:dyDescent="0.7">
      <c r="AO54" s="48">
        <v>225</v>
      </c>
      <c r="AP54" s="48">
        <v>250</v>
      </c>
      <c r="AQ54">
        <v>-535</v>
      </c>
      <c r="AR54">
        <v>-395</v>
      </c>
      <c r="AS54">
        <v>-242</v>
      </c>
      <c r="AT54">
        <v>-285</v>
      </c>
      <c r="AU54">
        <v>-146</v>
      </c>
      <c r="AV54">
        <v>-172</v>
      </c>
      <c r="AW54" s="56">
        <v>-215</v>
      </c>
      <c r="AX54" s="46">
        <v>-79</v>
      </c>
      <c r="AY54" s="46">
        <v>-96</v>
      </c>
      <c r="AZ54" s="46">
        <v>-122</v>
      </c>
      <c r="BA54" s="46">
        <v>-35</v>
      </c>
      <c r="BB54" s="46">
        <v>-44</v>
      </c>
      <c r="BC54" s="46">
        <v>-20</v>
      </c>
      <c r="BD54" s="46">
        <v>-29</v>
      </c>
      <c r="BE54" s="46">
        <v>-46</v>
      </c>
      <c r="BF54" s="46">
        <v>-72</v>
      </c>
      <c r="BG54" s="46">
        <v>-115</v>
      </c>
      <c r="BH54" s="46">
        <v>-10</v>
      </c>
      <c r="BI54" s="46">
        <v>-14.5</v>
      </c>
      <c r="BJ54" s="46">
        <v>-23</v>
      </c>
      <c r="BK54" s="46">
        <v>4</v>
      </c>
      <c r="BL54" s="46">
        <v>4</v>
      </c>
      <c r="BM54" s="57">
        <v>17</v>
      </c>
      <c r="BN54" s="46">
        <v>17</v>
      </c>
      <c r="BO54" s="46">
        <v>31</v>
      </c>
      <c r="BP54" s="46">
        <v>50</v>
      </c>
      <c r="BQ54" s="2">
        <v>84</v>
      </c>
      <c r="BR54" s="2">
        <v>140</v>
      </c>
      <c r="BS54" s="47" t="s">
        <v>200</v>
      </c>
      <c r="BT54" s="47" t="s">
        <v>200</v>
      </c>
      <c r="BU54" s="47" t="s">
        <v>200</v>
      </c>
      <c r="BW54" s="59">
        <v>225</v>
      </c>
      <c r="BX54" s="48">
        <v>250</v>
      </c>
      <c r="BY54" s="2">
        <v>420</v>
      </c>
      <c r="BZ54" s="2">
        <v>280</v>
      </c>
      <c r="CA54" s="2">
        <v>280</v>
      </c>
      <c r="CB54" s="2">
        <v>170</v>
      </c>
      <c r="CC54" s="2">
        <v>170</v>
      </c>
      <c r="CD54" s="2">
        <v>170</v>
      </c>
      <c r="CE54" s="2">
        <v>100</v>
      </c>
      <c r="CF54" s="2">
        <v>100</v>
      </c>
      <c r="CG54" s="46">
        <v>100</v>
      </c>
      <c r="CH54" s="46">
        <v>50</v>
      </c>
      <c r="CI54" s="46">
        <v>50</v>
      </c>
      <c r="CJ54" s="46">
        <v>50</v>
      </c>
      <c r="CK54" s="46">
        <v>15</v>
      </c>
      <c r="CL54" s="46">
        <v>15</v>
      </c>
      <c r="CM54" s="46">
        <v>0</v>
      </c>
      <c r="CN54" s="46">
        <v>0</v>
      </c>
      <c r="CO54" s="46">
        <v>0</v>
      </c>
      <c r="CP54" s="46">
        <v>0</v>
      </c>
      <c r="CQ54" s="46">
        <v>0</v>
      </c>
      <c r="CR54" s="46">
        <v>-14.5</v>
      </c>
      <c r="CS54" s="46">
        <v>-23</v>
      </c>
      <c r="CT54" s="46">
        <v>-24</v>
      </c>
      <c r="CU54" s="46">
        <v>-33</v>
      </c>
      <c r="CV54" s="46">
        <v>-37</v>
      </c>
      <c r="CW54" s="46">
        <v>-46</v>
      </c>
      <c r="CX54" s="46">
        <v>-51</v>
      </c>
      <c r="CY54" s="46">
        <v>-60</v>
      </c>
      <c r="CZ54" s="2">
        <v>-70</v>
      </c>
      <c r="DA54" s="2">
        <v>-79</v>
      </c>
      <c r="DB54" s="2">
        <v>-113</v>
      </c>
      <c r="DC54" s="2">
        <v>-169</v>
      </c>
      <c r="DD54" s="49" t="s">
        <v>201</v>
      </c>
      <c r="DE54" s="49" t="s">
        <v>201</v>
      </c>
      <c r="DF54" s="82" t="s">
        <v>201</v>
      </c>
    </row>
    <row r="55" spans="41:110" x14ac:dyDescent="0.7">
      <c r="AO55" s="48">
        <v>250</v>
      </c>
      <c r="AP55" s="48">
        <v>280</v>
      </c>
      <c r="AQ55">
        <v>-610</v>
      </c>
      <c r="AR55">
        <v>-610</v>
      </c>
      <c r="AS55">
        <v>-271</v>
      </c>
      <c r="AT55">
        <v>-320</v>
      </c>
      <c r="AU55">
        <v>-162</v>
      </c>
      <c r="AV55">
        <v>-191</v>
      </c>
      <c r="AW55" s="56">
        <v>-240</v>
      </c>
      <c r="AX55" s="46">
        <v>-88</v>
      </c>
      <c r="AY55" s="46">
        <v>-108</v>
      </c>
      <c r="AZ55" s="46">
        <v>-137</v>
      </c>
      <c r="BA55" s="46">
        <v>-40</v>
      </c>
      <c r="BB55" s="46">
        <v>-49</v>
      </c>
      <c r="BC55" s="46">
        <v>-23</v>
      </c>
      <c r="BD55" s="46">
        <v>-32</v>
      </c>
      <c r="BE55" s="46">
        <v>-52</v>
      </c>
      <c r="BF55" s="46">
        <v>-81</v>
      </c>
      <c r="BG55" s="46">
        <v>-130</v>
      </c>
      <c r="BH55" s="46">
        <v>-11.5</v>
      </c>
      <c r="BI55" s="46">
        <v>-16</v>
      </c>
      <c r="BJ55" s="46">
        <v>-26</v>
      </c>
      <c r="BK55" s="46">
        <v>4</v>
      </c>
      <c r="BL55" s="46">
        <v>4</v>
      </c>
      <c r="BM55" s="57">
        <v>20</v>
      </c>
      <c r="BN55" s="46">
        <v>20</v>
      </c>
      <c r="BO55" s="46">
        <v>34</v>
      </c>
      <c r="BP55" s="46">
        <v>56</v>
      </c>
      <c r="BQ55" s="2">
        <v>94</v>
      </c>
      <c r="BR55" s="47" t="s">
        <v>200</v>
      </c>
      <c r="BS55" s="47" t="s">
        <v>200</v>
      </c>
      <c r="BT55" s="47" t="s">
        <v>200</v>
      </c>
      <c r="BU55" s="47" t="s">
        <v>200</v>
      </c>
      <c r="BW55" s="59">
        <v>250</v>
      </c>
      <c r="BX55" s="48">
        <v>280</v>
      </c>
      <c r="BY55" s="2">
        <v>480</v>
      </c>
      <c r="BZ55" s="2">
        <v>300</v>
      </c>
      <c r="CA55" s="2">
        <v>300</v>
      </c>
      <c r="CB55" s="2">
        <v>190</v>
      </c>
      <c r="CC55" s="2">
        <v>190</v>
      </c>
      <c r="CD55" s="2">
        <v>190</v>
      </c>
      <c r="CE55" s="2">
        <v>110</v>
      </c>
      <c r="CF55" s="2">
        <v>110</v>
      </c>
      <c r="CG55" s="46">
        <v>110</v>
      </c>
      <c r="CH55" s="46">
        <v>56</v>
      </c>
      <c r="CI55" s="46">
        <v>56</v>
      </c>
      <c r="CJ55" s="46">
        <v>56</v>
      </c>
      <c r="CK55" s="46">
        <v>17</v>
      </c>
      <c r="CL55" s="46">
        <v>17</v>
      </c>
      <c r="CM55" s="46">
        <v>0</v>
      </c>
      <c r="CN55" s="46">
        <v>0</v>
      </c>
      <c r="CO55" s="46">
        <v>0</v>
      </c>
      <c r="CP55" s="46">
        <v>0</v>
      </c>
      <c r="CQ55" s="46">
        <v>0</v>
      </c>
      <c r="CR55" s="46">
        <v>-16</v>
      </c>
      <c r="CS55" s="46">
        <v>-26</v>
      </c>
      <c r="CT55" s="46">
        <v>-27</v>
      </c>
      <c r="CU55" s="46">
        <v>-36</v>
      </c>
      <c r="CV55" s="46">
        <v>-41</v>
      </c>
      <c r="CW55" s="46">
        <v>-52</v>
      </c>
      <c r="CX55" s="46">
        <v>-57</v>
      </c>
      <c r="CY55" s="46">
        <v>-66</v>
      </c>
      <c r="CZ55" s="2">
        <v>-79</v>
      </c>
      <c r="DA55" s="2">
        <v>-88</v>
      </c>
      <c r="DB55" s="2">
        <v>-126</v>
      </c>
      <c r="DC55" s="49" t="s">
        <v>201</v>
      </c>
      <c r="DD55" s="49" t="s">
        <v>201</v>
      </c>
      <c r="DE55" s="49" t="s">
        <v>201</v>
      </c>
      <c r="DF55" s="82" t="s">
        <v>201</v>
      </c>
    </row>
    <row r="56" spans="41:110" x14ac:dyDescent="0.7">
      <c r="AO56" s="48">
        <v>280</v>
      </c>
      <c r="AP56" s="48">
        <v>315</v>
      </c>
      <c r="AQ56">
        <v>-670</v>
      </c>
      <c r="AR56">
        <v>-460</v>
      </c>
      <c r="AS56">
        <v>-271</v>
      </c>
      <c r="AT56">
        <v>-320</v>
      </c>
      <c r="AU56">
        <v>-162</v>
      </c>
      <c r="AV56">
        <v>-191</v>
      </c>
      <c r="AW56" s="56">
        <v>-240</v>
      </c>
      <c r="AX56" s="46">
        <v>-88</v>
      </c>
      <c r="AY56" s="46">
        <v>-108</v>
      </c>
      <c r="AZ56" s="46">
        <v>-137</v>
      </c>
      <c r="BA56" s="46">
        <v>-40</v>
      </c>
      <c r="BB56" s="46">
        <v>-49</v>
      </c>
      <c r="BC56" s="46">
        <v>-23</v>
      </c>
      <c r="BD56" s="46">
        <v>-32</v>
      </c>
      <c r="BE56" s="46">
        <v>-52</v>
      </c>
      <c r="BF56" s="46">
        <v>-81</v>
      </c>
      <c r="BG56" s="46">
        <v>-130</v>
      </c>
      <c r="BH56" s="46">
        <v>-11.5</v>
      </c>
      <c r="BI56" s="46">
        <v>-16</v>
      </c>
      <c r="BJ56" s="46">
        <v>-26</v>
      </c>
      <c r="BK56" s="46">
        <v>4</v>
      </c>
      <c r="BL56" s="46">
        <v>4</v>
      </c>
      <c r="BM56" s="57">
        <v>20</v>
      </c>
      <c r="BN56" s="46">
        <v>20</v>
      </c>
      <c r="BO56" s="46">
        <v>34</v>
      </c>
      <c r="BP56" s="46">
        <v>56</v>
      </c>
      <c r="BQ56" s="2">
        <v>98</v>
      </c>
      <c r="BR56" s="47" t="s">
        <v>200</v>
      </c>
      <c r="BS56" s="47" t="s">
        <v>200</v>
      </c>
      <c r="BT56" s="47" t="s">
        <v>200</v>
      </c>
      <c r="BU56" s="47" t="s">
        <v>200</v>
      </c>
      <c r="BW56" s="59">
        <v>280</v>
      </c>
      <c r="BX56" s="48">
        <v>315</v>
      </c>
      <c r="BY56" s="2">
        <v>540</v>
      </c>
      <c r="BZ56" s="2">
        <v>330</v>
      </c>
      <c r="CA56" s="2">
        <v>330</v>
      </c>
      <c r="CB56" s="2">
        <v>190</v>
      </c>
      <c r="CC56" s="2">
        <v>190</v>
      </c>
      <c r="CD56" s="2">
        <v>190</v>
      </c>
      <c r="CE56" s="2">
        <v>110</v>
      </c>
      <c r="CF56" s="2">
        <v>110</v>
      </c>
      <c r="CG56" s="46">
        <v>110</v>
      </c>
      <c r="CH56" s="46">
        <v>56</v>
      </c>
      <c r="CI56" s="46">
        <v>56</v>
      </c>
      <c r="CJ56" s="46">
        <v>56</v>
      </c>
      <c r="CK56" s="46">
        <v>17</v>
      </c>
      <c r="CL56" s="46">
        <v>17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46">
        <v>-16</v>
      </c>
      <c r="CS56" s="46">
        <v>-26</v>
      </c>
      <c r="CT56" s="46">
        <v>-27</v>
      </c>
      <c r="CU56" s="46">
        <v>-36</v>
      </c>
      <c r="CV56" s="46">
        <v>-41</v>
      </c>
      <c r="CW56" s="46">
        <v>-52</v>
      </c>
      <c r="CX56" s="46">
        <v>-57</v>
      </c>
      <c r="CY56" s="46">
        <v>-66</v>
      </c>
      <c r="CZ56" s="2">
        <v>-79</v>
      </c>
      <c r="DA56" s="2">
        <v>-88</v>
      </c>
      <c r="DB56" s="2">
        <v>-130</v>
      </c>
      <c r="DC56" s="49" t="s">
        <v>201</v>
      </c>
      <c r="DD56" s="49" t="s">
        <v>201</v>
      </c>
      <c r="DE56" s="49" t="s">
        <v>201</v>
      </c>
      <c r="DF56" s="82" t="s">
        <v>201</v>
      </c>
    </row>
    <row r="57" spans="41:110" x14ac:dyDescent="0.7">
      <c r="AO57" s="48">
        <v>315</v>
      </c>
      <c r="AP57" s="48">
        <v>355</v>
      </c>
      <c r="AQ57">
        <v>-740</v>
      </c>
      <c r="AR57">
        <v>-500</v>
      </c>
      <c r="AS57">
        <v>-299</v>
      </c>
      <c r="AT57">
        <v>-350</v>
      </c>
      <c r="AU57">
        <v>-182</v>
      </c>
      <c r="AV57">
        <v>-214</v>
      </c>
      <c r="AW57" s="56">
        <v>-265</v>
      </c>
      <c r="AX57" s="46">
        <v>-98</v>
      </c>
      <c r="AY57" s="46">
        <v>-119</v>
      </c>
      <c r="AZ57" s="46">
        <v>-151</v>
      </c>
      <c r="BA57" s="46">
        <v>-43</v>
      </c>
      <c r="BB57" s="46">
        <v>-54</v>
      </c>
      <c r="BC57" s="46">
        <v>-25</v>
      </c>
      <c r="BD57" s="46">
        <v>-36</v>
      </c>
      <c r="BE57" s="46">
        <v>-57</v>
      </c>
      <c r="BF57" s="46">
        <v>-89</v>
      </c>
      <c r="BG57" s="46">
        <v>-140</v>
      </c>
      <c r="BH57" s="46">
        <v>-12.5</v>
      </c>
      <c r="BI57" s="46">
        <v>-18</v>
      </c>
      <c r="BJ57" s="46">
        <v>-28</v>
      </c>
      <c r="BK57" s="46">
        <v>4</v>
      </c>
      <c r="BL57" s="46">
        <v>4</v>
      </c>
      <c r="BM57" s="57">
        <v>21</v>
      </c>
      <c r="BN57" s="46">
        <v>21</v>
      </c>
      <c r="BO57" s="46">
        <v>37</v>
      </c>
      <c r="BP57" s="46">
        <v>62</v>
      </c>
      <c r="BQ57" s="2">
        <v>108</v>
      </c>
      <c r="BR57" s="47" t="s">
        <v>200</v>
      </c>
      <c r="BS57" s="47" t="s">
        <v>200</v>
      </c>
      <c r="BT57" s="47" t="s">
        <v>200</v>
      </c>
      <c r="BU57" s="47" t="s">
        <v>200</v>
      </c>
      <c r="BW57" s="59">
        <v>315</v>
      </c>
      <c r="BX57" s="48">
        <v>355</v>
      </c>
      <c r="BY57" s="2">
        <v>600</v>
      </c>
      <c r="BZ57" s="2">
        <v>360</v>
      </c>
      <c r="CA57" s="2">
        <v>360</v>
      </c>
      <c r="CB57" s="2">
        <v>210</v>
      </c>
      <c r="CC57" s="2">
        <v>210</v>
      </c>
      <c r="CD57" s="2">
        <v>210</v>
      </c>
      <c r="CE57" s="2">
        <v>125</v>
      </c>
      <c r="CF57" s="2">
        <v>125</v>
      </c>
      <c r="CG57" s="46">
        <v>125</v>
      </c>
      <c r="CH57" s="46">
        <v>62</v>
      </c>
      <c r="CI57" s="46">
        <v>62</v>
      </c>
      <c r="CJ57" s="46">
        <v>62</v>
      </c>
      <c r="CK57" s="46">
        <v>18</v>
      </c>
      <c r="CL57" s="46">
        <v>18</v>
      </c>
      <c r="CM57" s="46">
        <v>0</v>
      </c>
      <c r="CN57" s="46">
        <v>0</v>
      </c>
      <c r="CO57" s="46">
        <v>0</v>
      </c>
      <c r="CP57" s="46">
        <v>0</v>
      </c>
      <c r="CQ57" s="46">
        <v>0</v>
      </c>
      <c r="CR57" s="46">
        <v>-18</v>
      </c>
      <c r="CS57" s="46">
        <v>-28</v>
      </c>
      <c r="CT57" s="46">
        <v>-29</v>
      </c>
      <c r="CU57" s="46">
        <v>-40</v>
      </c>
      <c r="CV57" s="46">
        <v>-46</v>
      </c>
      <c r="CW57" s="46">
        <v>-57</v>
      </c>
      <c r="CX57" s="46">
        <v>-62</v>
      </c>
      <c r="CY57" s="46">
        <v>-73</v>
      </c>
      <c r="CZ57" s="2">
        <v>-87</v>
      </c>
      <c r="DA57" s="2">
        <v>-98</v>
      </c>
      <c r="DB57" s="2">
        <v>-144</v>
      </c>
      <c r="DC57" s="49" t="s">
        <v>201</v>
      </c>
      <c r="DD57" s="49" t="s">
        <v>201</v>
      </c>
      <c r="DE57" s="49" t="s">
        <v>201</v>
      </c>
      <c r="DF57" s="82" t="s">
        <v>201</v>
      </c>
    </row>
    <row r="58" spans="41:110" x14ac:dyDescent="0.7">
      <c r="AO58" s="48">
        <v>355</v>
      </c>
      <c r="AP58" s="48">
        <v>400</v>
      </c>
      <c r="AQ58">
        <v>-820</v>
      </c>
      <c r="AR58">
        <v>-540</v>
      </c>
      <c r="AS58">
        <v>-299</v>
      </c>
      <c r="AT58">
        <v>-350</v>
      </c>
      <c r="AU58">
        <v>-182</v>
      </c>
      <c r="AV58">
        <v>-214</v>
      </c>
      <c r="AW58" s="56">
        <v>-265</v>
      </c>
      <c r="AX58" s="46">
        <v>-98</v>
      </c>
      <c r="AY58" s="46">
        <v>-119</v>
      </c>
      <c r="AZ58" s="46">
        <v>-151</v>
      </c>
      <c r="BA58" s="46">
        <v>-43</v>
      </c>
      <c r="BB58" s="46">
        <v>-54</v>
      </c>
      <c r="BC58" s="46">
        <v>-25</v>
      </c>
      <c r="BD58" s="46">
        <v>-36</v>
      </c>
      <c r="BE58" s="46">
        <v>-57</v>
      </c>
      <c r="BF58" s="46">
        <v>-89</v>
      </c>
      <c r="BG58" s="46">
        <v>-140</v>
      </c>
      <c r="BH58" s="46">
        <v>-12.5</v>
      </c>
      <c r="BI58" s="46">
        <v>-18</v>
      </c>
      <c r="BJ58" s="46">
        <v>-28</v>
      </c>
      <c r="BK58" s="46">
        <v>4</v>
      </c>
      <c r="BL58" s="46">
        <v>4</v>
      </c>
      <c r="BM58" s="57">
        <v>21</v>
      </c>
      <c r="BN58" s="46">
        <v>21</v>
      </c>
      <c r="BO58" s="46">
        <v>37</v>
      </c>
      <c r="BP58" s="46">
        <v>62</v>
      </c>
      <c r="BQ58" s="2">
        <v>144</v>
      </c>
      <c r="BR58" s="47" t="s">
        <v>200</v>
      </c>
      <c r="BS58" s="47" t="s">
        <v>200</v>
      </c>
      <c r="BT58" s="47" t="s">
        <v>200</v>
      </c>
      <c r="BU58" s="47" t="s">
        <v>200</v>
      </c>
      <c r="BW58" s="59">
        <v>355</v>
      </c>
      <c r="BX58" s="48">
        <v>400</v>
      </c>
      <c r="BY58" s="2">
        <v>680</v>
      </c>
      <c r="BZ58" s="2">
        <v>400</v>
      </c>
      <c r="CA58" s="2">
        <v>400</v>
      </c>
      <c r="CB58" s="2">
        <v>210</v>
      </c>
      <c r="CC58" s="2">
        <v>210</v>
      </c>
      <c r="CD58" s="2">
        <v>210</v>
      </c>
      <c r="CE58" s="2">
        <v>125</v>
      </c>
      <c r="CF58" s="2">
        <v>125</v>
      </c>
      <c r="CG58" s="46">
        <v>125</v>
      </c>
      <c r="CH58" s="46">
        <v>62</v>
      </c>
      <c r="CI58" s="46">
        <v>62</v>
      </c>
      <c r="CJ58" s="46">
        <v>62</v>
      </c>
      <c r="CK58" s="46">
        <v>18</v>
      </c>
      <c r="CL58" s="46">
        <v>18</v>
      </c>
      <c r="CM58" s="46">
        <v>0</v>
      </c>
      <c r="CN58" s="46">
        <v>0</v>
      </c>
      <c r="CO58" s="46">
        <v>0</v>
      </c>
      <c r="CP58" s="46">
        <v>0</v>
      </c>
      <c r="CQ58" s="46">
        <v>0</v>
      </c>
      <c r="CR58" s="46">
        <v>-18</v>
      </c>
      <c r="CS58" s="46">
        <v>-28</v>
      </c>
      <c r="CT58" s="46">
        <v>-29</v>
      </c>
      <c r="CU58" s="46">
        <v>-40</v>
      </c>
      <c r="CV58" s="46">
        <v>-46</v>
      </c>
      <c r="CW58" s="46">
        <v>-57</v>
      </c>
      <c r="CX58" s="46">
        <v>-62</v>
      </c>
      <c r="CY58" s="46">
        <v>-73</v>
      </c>
      <c r="CZ58" s="2">
        <v>-87</v>
      </c>
      <c r="DA58" s="2">
        <v>-98</v>
      </c>
      <c r="DB58" s="2">
        <v>-150</v>
      </c>
      <c r="DC58" s="49" t="s">
        <v>201</v>
      </c>
      <c r="DD58" s="49" t="s">
        <v>201</v>
      </c>
      <c r="DE58" s="49" t="s">
        <v>201</v>
      </c>
      <c r="DF58" s="82" t="s">
        <v>201</v>
      </c>
    </row>
    <row r="59" spans="41:110" x14ac:dyDescent="0.7">
      <c r="AO59" s="48">
        <v>400</v>
      </c>
      <c r="AP59" s="48">
        <v>450</v>
      </c>
      <c r="AQ59">
        <v>-915</v>
      </c>
      <c r="AR59">
        <v>-595</v>
      </c>
      <c r="AS59">
        <v>-327</v>
      </c>
      <c r="AT59">
        <v>-385</v>
      </c>
      <c r="AU59">
        <v>-198</v>
      </c>
      <c r="AV59">
        <v>-232</v>
      </c>
      <c r="AW59" s="56">
        <v>-290</v>
      </c>
      <c r="AX59" s="46">
        <v>-108</v>
      </c>
      <c r="AY59" s="46">
        <v>-131</v>
      </c>
      <c r="AZ59" s="46">
        <v>-165</v>
      </c>
      <c r="BA59" s="46">
        <v>-47</v>
      </c>
      <c r="BB59" s="46">
        <v>-60</v>
      </c>
      <c r="BC59" s="46">
        <v>-27</v>
      </c>
      <c r="BD59" s="46">
        <v>-40</v>
      </c>
      <c r="BE59" s="46">
        <v>-63</v>
      </c>
      <c r="BF59" s="46">
        <v>-97</v>
      </c>
      <c r="BG59" s="46">
        <v>-155</v>
      </c>
      <c r="BH59" s="46">
        <v>-13.5</v>
      </c>
      <c r="BI59" s="46">
        <v>-20</v>
      </c>
      <c r="BJ59" s="46">
        <v>-31</v>
      </c>
      <c r="BK59" s="46">
        <v>5</v>
      </c>
      <c r="BL59" s="46">
        <v>5</v>
      </c>
      <c r="BM59" s="57">
        <v>23</v>
      </c>
      <c r="BN59" s="46">
        <v>23</v>
      </c>
      <c r="BO59" s="46">
        <v>40</v>
      </c>
      <c r="BP59" s="46">
        <v>68</v>
      </c>
      <c r="BQ59" s="2">
        <v>126</v>
      </c>
      <c r="BR59" s="47" t="s">
        <v>200</v>
      </c>
      <c r="BS59" s="47" t="s">
        <v>200</v>
      </c>
      <c r="BT59" s="47" t="s">
        <v>200</v>
      </c>
      <c r="BU59" s="47" t="s">
        <v>200</v>
      </c>
      <c r="BW59" s="59">
        <v>400</v>
      </c>
      <c r="BX59" s="48">
        <v>450</v>
      </c>
      <c r="BY59" s="2">
        <v>760</v>
      </c>
      <c r="BZ59" s="2">
        <v>440</v>
      </c>
      <c r="CA59" s="2">
        <v>440</v>
      </c>
      <c r="CB59" s="2">
        <v>230</v>
      </c>
      <c r="CC59" s="2">
        <v>230</v>
      </c>
      <c r="CD59" s="2">
        <v>230</v>
      </c>
      <c r="CE59" s="2">
        <v>135</v>
      </c>
      <c r="CF59" s="2">
        <v>135</v>
      </c>
      <c r="CG59" s="46">
        <v>135</v>
      </c>
      <c r="CH59" s="46">
        <v>68</v>
      </c>
      <c r="CI59" s="46">
        <v>68</v>
      </c>
      <c r="CJ59" s="46">
        <v>68</v>
      </c>
      <c r="CK59" s="46">
        <v>20</v>
      </c>
      <c r="CL59" s="46">
        <v>20</v>
      </c>
      <c r="CM59" s="46">
        <v>0</v>
      </c>
      <c r="CN59" s="46">
        <v>0</v>
      </c>
      <c r="CO59" s="46">
        <v>0</v>
      </c>
      <c r="CP59" s="46">
        <v>0</v>
      </c>
      <c r="CQ59" s="46">
        <v>0</v>
      </c>
      <c r="CR59" s="46">
        <v>-20</v>
      </c>
      <c r="CS59" s="46">
        <v>-31</v>
      </c>
      <c r="CT59" s="46">
        <v>-32</v>
      </c>
      <c r="CU59" s="46">
        <v>-45</v>
      </c>
      <c r="CV59" s="46">
        <v>-50</v>
      </c>
      <c r="CW59" s="46">
        <v>-63</v>
      </c>
      <c r="CX59" s="46">
        <v>-67</v>
      </c>
      <c r="CY59" s="46">
        <v>-80</v>
      </c>
      <c r="CZ59" s="2">
        <v>-95</v>
      </c>
      <c r="DA59" s="2">
        <v>-108</v>
      </c>
      <c r="DB59" s="2">
        <v>-166</v>
      </c>
      <c r="DC59" s="49" t="s">
        <v>201</v>
      </c>
      <c r="DD59" s="49" t="s">
        <v>201</v>
      </c>
      <c r="DE59" s="49" t="s">
        <v>201</v>
      </c>
      <c r="DF59" s="82" t="s">
        <v>201</v>
      </c>
    </row>
    <row r="60" spans="41:110" x14ac:dyDescent="0.7">
      <c r="AO60" s="48">
        <v>450</v>
      </c>
      <c r="AP60" s="48">
        <v>500</v>
      </c>
      <c r="AQ60">
        <v>-995</v>
      </c>
      <c r="AR60">
        <v>-635</v>
      </c>
      <c r="AS60">
        <v>-327</v>
      </c>
      <c r="AT60">
        <v>-385</v>
      </c>
      <c r="AU60">
        <v>-198</v>
      </c>
      <c r="AV60">
        <v>-232</v>
      </c>
      <c r="AW60" s="56">
        <v>-290</v>
      </c>
      <c r="AX60" s="46">
        <v>-108</v>
      </c>
      <c r="AY60" s="46">
        <v>-131</v>
      </c>
      <c r="AZ60" s="46">
        <v>-165</v>
      </c>
      <c r="BA60" s="46">
        <v>-47</v>
      </c>
      <c r="BB60" s="46">
        <v>-60</v>
      </c>
      <c r="BC60" s="46">
        <v>-27</v>
      </c>
      <c r="BD60" s="46">
        <v>-40</v>
      </c>
      <c r="BE60" s="46">
        <v>-63</v>
      </c>
      <c r="BF60" s="46">
        <v>-97</v>
      </c>
      <c r="BG60" s="46">
        <v>-155</v>
      </c>
      <c r="BH60" s="46">
        <v>-13.5</v>
      </c>
      <c r="BI60" s="46">
        <v>-20</v>
      </c>
      <c r="BJ60" s="46">
        <v>-31</v>
      </c>
      <c r="BK60" s="46">
        <v>5</v>
      </c>
      <c r="BL60" s="46">
        <v>5</v>
      </c>
      <c r="BM60" s="57">
        <v>23</v>
      </c>
      <c r="BN60" s="46">
        <v>23</v>
      </c>
      <c r="BO60" s="46">
        <v>40</v>
      </c>
      <c r="BP60" s="46">
        <v>68</v>
      </c>
      <c r="BQ60" s="2">
        <v>132</v>
      </c>
      <c r="BR60" s="47" t="s">
        <v>200</v>
      </c>
      <c r="BS60" s="47" t="s">
        <v>200</v>
      </c>
      <c r="BT60" s="47" t="s">
        <v>200</v>
      </c>
      <c r="BU60" s="47" t="s">
        <v>200</v>
      </c>
      <c r="BW60" s="87">
        <v>450</v>
      </c>
      <c r="BX60" s="88">
        <v>500</v>
      </c>
      <c r="BY60" s="89">
        <v>840</v>
      </c>
      <c r="BZ60" s="89">
        <v>480</v>
      </c>
      <c r="CA60" s="89">
        <v>480</v>
      </c>
      <c r="CB60" s="89">
        <v>230</v>
      </c>
      <c r="CC60" s="89">
        <v>230</v>
      </c>
      <c r="CD60" s="89">
        <v>230</v>
      </c>
      <c r="CE60" s="89">
        <v>135</v>
      </c>
      <c r="CF60" s="89">
        <v>135</v>
      </c>
      <c r="CG60" s="90">
        <v>135</v>
      </c>
      <c r="CH60" s="90">
        <v>68</v>
      </c>
      <c r="CI60" s="90">
        <v>68</v>
      </c>
      <c r="CJ60" s="90">
        <v>68</v>
      </c>
      <c r="CK60" s="90">
        <v>20</v>
      </c>
      <c r="CL60" s="90">
        <v>20</v>
      </c>
      <c r="CM60" s="90">
        <v>0</v>
      </c>
      <c r="CN60" s="90">
        <v>0</v>
      </c>
      <c r="CO60" s="90">
        <v>0</v>
      </c>
      <c r="CP60" s="90">
        <v>0</v>
      </c>
      <c r="CQ60" s="90">
        <v>0</v>
      </c>
      <c r="CR60" s="90">
        <v>-20</v>
      </c>
      <c r="CS60" s="90">
        <v>-31</v>
      </c>
      <c r="CT60" s="90">
        <v>-32</v>
      </c>
      <c r="CU60" s="90">
        <v>-45</v>
      </c>
      <c r="CV60" s="90">
        <v>-50</v>
      </c>
      <c r="CW60" s="90">
        <v>-63</v>
      </c>
      <c r="CX60" s="90">
        <v>-67</v>
      </c>
      <c r="CY60" s="90">
        <v>-80</v>
      </c>
      <c r="CZ60" s="89">
        <v>-95</v>
      </c>
      <c r="DA60" s="89">
        <v>-108</v>
      </c>
      <c r="DB60" s="89">
        <v>-172</v>
      </c>
      <c r="DC60" s="91" t="s">
        <v>201</v>
      </c>
      <c r="DD60" s="91" t="s">
        <v>201</v>
      </c>
      <c r="DE60" s="91" t="s">
        <v>201</v>
      </c>
      <c r="DF60" s="93" t="s">
        <v>201</v>
      </c>
    </row>
  </sheetData>
  <mergeCells count="2">
    <mergeCell ref="B7:C7"/>
    <mergeCell ref="B8:B38"/>
  </mergeCells>
  <phoneticPr fontId="1"/>
  <conditionalFormatting sqref="D8:AK38">
    <cfRule type="expression" dxfId="2" priority="1">
      <formula>ISERROR(D8)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7308-FBBF-4EE8-A0F6-1E6BC5A0B069}">
  <dimension ref="A1:I46"/>
  <sheetViews>
    <sheetView topLeftCell="B6" zoomScale="80" zoomScaleNormal="80" workbookViewId="0">
      <selection activeCell="B4" sqref="B4"/>
    </sheetView>
  </sheetViews>
  <sheetFormatPr defaultRowHeight="17.649999999999999" x14ac:dyDescent="0.7"/>
  <sheetData>
    <row r="1" spans="1:4" x14ac:dyDescent="0.7">
      <c r="A1" t="s">
        <v>39</v>
      </c>
      <c r="B1">
        <v>40</v>
      </c>
    </row>
    <row r="2" spans="1:4" x14ac:dyDescent="0.7">
      <c r="A2" t="s">
        <v>40</v>
      </c>
      <c r="B2">
        <v>60</v>
      </c>
    </row>
    <row r="3" spans="1:4" x14ac:dyDescent="0.7">
      <c r="A3" t="s">
        <v>41</v>
      </c>
      <c r="B3">
        <v>45</v>
      </c>
    </row>
    <row r="4" spans="1:4" x14ac:dyDescent="0.7">
      <c r="A4" t="s">
        <v>42</v>
      </c>
      <c r="B4">
        <v>50</v>
      </c>
    </row>
    <row r="5" spans="1:4" x14ac:dyDescent="0.7">
      <c r="A5" t="s">
        <v>43</v>
      </c>
      <c r="B5">
        <f>(B1^2*(B4^2+B2^2))
/(B4^2*(B2^2-B1^2))*B3</f>
        <v>87.84</v>
      </c>
      <c r="D5">
        <f>B3*(1+(B2/B4)^2)/((B2/B1)^2-1)</f>
        <v>87.84</v>
      </c>
    </row>
    <row r="8" spans="1:4" x14ac:dyDescent="0.7">
      <c r="D8" t="s">
        <v>44</v>
      </c>
    </row>
    <row r="9" spans="1:4" x14ac:dyDescent="0.7">
      <c r="B9" t="s">
        <v>45</v>
      </c>
    </row>
    <row r="16" spans="1:4" x14ac:dyDescent="0.7">
      <c r="A16" t="s">
        <v>39</v>
      </c>
      <c r="B16">
        <v>40</v>
      </c>
    </row>
    <row r="17" spans="1:2" x14ac:dyDescent="0.7">
      <c r="A17" t="s">
        <v>40</v>
      </c>
      <c r="B17">
        <v>60</v>
      </c>
    </row>
    <row r="18" spans="1:2" x14ac:dyDescent="0.7">
      <c r="A18" t="s">
        <v>48</v>
      </c>
      <c r="B18">
        <v>0</v>
      </c>
    </row>
    <row r="19" spans="1:2" x14ac:dyDescent="0.7">
      <c r="A19" t="s">
        <v>47</v>
      </c>
      <c r="B19">
        <v>45</v>
      </c>
    </row>
    <row r="20" spans="1:2" x14ac:dyDescent="0.7">
      <c r="A20" t="s">
        <v>42</v>
      </c>
      <c r="B20">
        <v>40</v>
      </c>
    </row>
    <row r="21" spans="1:2" x14ac:dyDescent="0.7">
      <c r="B21">
        <f>(B18*B16^2*(B17^2+B20^2)-B19*B17^2*(B20^2+B16^2))
/((B17^2-B16^2)*B20^2)</f>
        <v>-162</v>
      </c>
    </row>
    <row r="22" spans="1:2" x14ac:dyDescent="0.7">
      <c r="B22" t="s">
        <v>49</v>
      </c>
    </row>
    <row r="28" spans="1:2" x14ac:dyDescent="0.7">
      <c r="B28" t="s">
        <v>218</v>
      </c>
    </row>
    <row r="29" spans="1:2" x14ac:dyDescent="0.7">
      <c r="B29" s="95" t="s">
        <v>217</v>
      </c>
    </row>
    <row r="46" spans="9:9" x14ac:dyDescent="0.7">
      <c r="I46" t="s">
        <v>50</v>
      </c>
    </row>
  </sheetData>
  <phoneticPr fontId="1"/>
  <hyperlinks>
    <hyperlink ref="B29" r:id="rId1" xr:uid="{C65096F4-A9D7-4457-B909-58391504E429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2 o W C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D a h Y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o W C V I F 7 6 h 0 o A Q A A j Q E A A B M A H A B G b 3 J t d W x h c y 9 T Z W N 0 a W 9 u M S 5 t I K I Y A C i g F A A A A A A A A A A A A A A A A A A A A A A A A A A A A C t O T S 7 J z M 9 T C I b Q h t a 8 X L x c x R m J R a k p C o + b 2 x 4 3 7 3 n c P O 1 x 8 2 p D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Z 3 A n P p s 1 U 0 l E o A c o p l K R W l N T q K F Q r P d + x 7 O m e f c 8 a l j / Z 3 / R s 6 o Z o 9 4 D E W K A i z 7 w S M x M 9 k D F g V Y + b 5 z 5 u W g Q 2 b / O z 9 V O i d W N h B u W V 5 i a l F k G M 2 j 7 r R d u K p 3 u 2 Q o 0 y N I j T N d P 3 x q b 0 5 c z e J 3 v 6 n z f t 1 H j R M O F p 1 2 z N a F 8 M e 2 s 1 e b k y 8 3 D 5 3 B o A U E s B A i 0 A F A A C A A g A 2 o W C V O z q t N y j A A A A 9 g A A A B I A A A A A A A A A A A A A A A A A A A A A A E N v b m Z p Z y 9 Q Y W N r Y W d l L n h t b F B L A Q I t A B Q A A g A I A N q F g l Q P y u m r p A A A A O k A A A A T A A A A A A A A A A A A A A A A A O 8 A A A B b Q 2 9 u d G V u d F 9 U e X B l c 1 0 u e G 1 s U E s B A i 0 A F A A C A A g A 2 o W C V I F 7 6 h 0 o A Q A A j Q E A A B M A A A A A A A A A A A A A A A A A 4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s A A A A A A A C d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w V D E 1 O j I 1 O j M z L j c z N j c 5 N z Z a I i A v P j x F b n R y e S B U e X B l P S J G a W x s Q 2 9 s d W 1 u V H l w Z X M i I F Z h b H V l P S J z Q m d N R k J R T T 0 i I C 8 + P E V u d H J 5 I F R 5 c G U 9 I k Z p b G x D b 2 x 1 b W 5 O Y W 1 l c y I g V m F s d W U 9 I n N b J n F 1 b 3 Q 7 5 p 2 Q 5 p a Z J n F 1 b 3 Q 7 L C Z x d W 9 0 O + e 4 p u W 8 v u a A p + S / g u a V s F t H U G F d J n F 1 b 3 Q 7 L C Z x d W 9 0 O + O D n e O C o u O C v e O D s + a v l F s t X S Z x d W 9 0 O y w m c X V v d D v n t 5 r o h q j l v L X k v 4 L m l b B b M T B e L T Y v S 1 0 m c X V v d D s s J n F 1 b 3 Q 7 6 Z m N 5 L y P 5 4 K 5 K O i A k O W K m y l b T V B h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E v 5 a S J 5 p u 0 4 4 G V 4 4 K M 4 4 G f 5 Z 6 L L n v m n Z D m l p k s M H 0 m c X V v d D s s J n F 1 b 3 Q 7 U 2 V j d G l v b j E v 4 4 O G 4 4 O 8 4 4 O W 4 4 O r M S / l p I n m m 7 T j g Z X j g o z j g Z / l n o s u e + e 4 p u W 8 v u a A p + S / g u a V s F t H U G F d L D F 9 J n F 1 b 3 Q 7 L C Z x d W 9 0 O 1 N l Y 3 R p b 2 4 x L + O D h u O D v O O D l u O D q z E v 5 a S J 5 p u 0 4 4 G V 4 4 K M 4 4 G f 5 Z 6 L L n v j g 5 3 j g q L j g r 3 j g 7 P m r 5 R b L V 0 s M n 0 m c X V v d D s s J n F 1 b 3 Q 7 U 2 V j d G l v b j E v 4 4 O G 4 4 O 8 4 4 O W 4 4 O r M S / l p I n m m 7 T j g Z X j g o z j g Z / l n o s u e + e 3 m u i G q O W 8 t e S / g u a V s F s x M F 4 t N i 9 L X S w z f S Z x d W 9 0 O y w m c X V v d D t T Z W N 0 a W 9 u M S / j g 4 b j g 7 z j g 5 b j g 6 s x L + W k i e a b t O O B l e O C j O O B n + W e i y 5 7 6 Z m N 5 L y P 5 4 K 5 K O i A k O W K m y l b T V B h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x L + W k i e a b t O O B l e O C j O O B n + W e i y 5 7 5 p 2 Q 5 p a Z L D B 9 J n F 1 b 3 Q 7 L C Z x d W 9 0 O 1 N l Y 3 R p b 2 4 x L + O D h u O D v O O D l u O D q z E v 5 a S J 5 p u 0 4 4 G V 4 4 K M 4 4 G f 5 Z 6 L L n v n u K b l v L 7 m g K f k v 4 L m l b B b R 1 B h X S w x f S Z x d W 9 0 O y w m c X V v d D t T Z W N 0 a W 9 u M S / j g 4 b j g 7 z j g 5 b j g 6 s x L + W k i e a b t O O B l e O C j O O B n + W e i y 5 7 4 4 O d 4 4 K i 4 4 K 9 4 4 O z 5 q + U W y 1 d L D J 9 J n F 1 b 3 Q 7 L C Z x d W 9 0 O 1 N l Y 3 R p b 2 4 x L + O D h u O D v O O D l u O D q z E v 5 a S J 5 p u 0 4 4 G V 4 4 K M 4 4 G f 5 Z 6 L L n v n t 5 r o h q j l v L X k v 4 L m l b B b M T B e L T Y v S 1 0 s M 3 0 m c X V v d D s s J n F 1 b 3 Q 7 U 2 V j d G l v b j E v 4 4 O G 4 4 O 8 4 4 O W 4 4 O r M S / l p I n m m 7 T j g Z X j g o z j g Z / l n o s u e + m Z j e S 8 j + e C u S j o g J D l i p s p W 0 1 Q Y V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T V Y X A X 5 J E C Y X n 8 o X A z I P g A A A A A C A A A A A A A Q Z g A A A A E A A C A A A A A W 7 8 O y K V 1 E a o p I 2 5 R U k o Y r 3 P P g h 3 o c d I O v j e t z 8 z H t / Q A A A A A O g A A A A A I A A C A A A A C 1 y M 0 4 Z O K c y k 7 o 9 m X A + a s Q H j c u I 2 I a Y c g s / p r k f d p m P F A A A A C q 4 Y N 1 w F B Q y i T m j R a 0 v e I 3 4 C U m 7 1 G m i I y h b E x g n p j w Z N g E V R 5 j m 2 5 3 8 Z w M H v O 4 + D n Y M O q g / q z b n M o D f T N K G E w O 7 N H M d t F W P D D q o g Q + Z 7 U 3 k E A A A A A Q 9 O h v N 5 E P D k J f a k l z 4 Q d 7 p W C S F + Q 2 8 k 5 d 5 Z o b 1 + 2 3 h t O 7 H S g C 9 3 T 2 K k c Q 7 1 Z r + y L E U V 7 s + k i 8 G Y p r F J F x 1 G 5 O < / D a t a M a s h u p > 
</file>

<file path=customXml/itemProps1.xml><?xml version="1.0" encoding="utf-8"?>
<ds:datastoreItem xmlns:ds="http://schemas.openxmlformats.org/officeDocument/2006/customXml" ds:itemID="{E1188EE1-70BF-433F-B6A0-0BAF0E4430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12</vt:i4>
      </vt:variant>
    </vt:vector>
  </HeadingPairs>
  <TitlesOfParts>
    <vt:vector size="17" baseType="lpstr">
      <vt:lpstr>寸法→圧入力</vt:lpstr>
      <vt:lpstr>グラフ</vt:lpstr>
      <vt:lpstr>Material Table</vt:lpstr>
      <vt:lpstr>standard tolerance table</vt:lpstr>
      <vt:lpstr>円周応力</vt:lpstr>
      <vt:lpstr>グラフ!Linear_Expansion_Coefficient_List</vt:lpstr>
      <vt:lpstr>寸法→圧入力!Linear_Expansion_Coefficient_List</vt:lpstr>
      <vt:lpstr>Linear_Expansion_Coefficient_List</vt:lpstr>
      <vt:lpstr>グラフ!Material_List</vt:lpstr>
      <vt:lpstr>寸法→圧入力!Material_List</vt:lpstr>
      <vt:lpstr>Material_List</vt:lpstr>
      <vt:lpstr>グラフ!Poissons_Ratio_List</vt:lpstr>
      <vt:lpstr>寸法→圧入力!Poissons_Ratio_List</vt:lpstr>
      <vt:lpstr>Poissons_Ratio_List</vt:lpstr>
      <vt:lpstr>グラフ!Youngs_Modulus_List</vt:lpstr>
      <vt:lpstr>寸法→圧入力!Youngs_Modulus_List</vt:lpstr>
      <vt:lpstr>Youngs_Modulus_List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2022-06-28T13:51:22Z</dcterms:modified>
</cp:coreProperties>
</file>